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6_Marchés carbone\61_National\619_Label bas-carbone\2. Projets\1. Forêt\1. Labellisés\2020GESREB001 Reboisement Haute Doller\"/>
    </mc:Choice>
  </mc:AlternateContent>
  <bookViews>
    <workbookView xWindow="0" yWindow="0" windowWidth="7965" windowHeight="7575" activeTab="1"/>
  </bookViews>
  <sheets>
    <sheet name="Paramètres" sheetId="3" r:id="rId1"/>
    <sheet name="Analyse_carbone" sheetId="1" r:id="rId2"/>
  </sheets>
  <externalReferences>
    <externalReference r:id="rId3"/>
  </externalReferences>
  <definedNames>
    <definedName name="Clitiere">Paramètres!$B$11</definedName>
    <definedName name="Coefficient_de_substitution">Paramètres!$B$18</definedName>
    <definedName name="CoefSubEmballage">Paramètres!$C$18</definedName>
    <definedName name="CoefSubEnergie">Paramètres!$E$18</definedName>
    <definedName name="CoefSubPanneaux">Paramètres!$D$18</definedName>
    <definedName name="CoefSubSciage">Paramètres!$B$18</definedName>
    <definedName name="CoefSubst">Paramètres!$B$18:$D$18</definedName>
    <definedName name="Csol">Paramètres!$B$10</definedName>
    <definedName name="DecCours">Paramètres!$B$16:$D$16</definedName>
    <definedName name="DecPasse">Paramètres!$B$17:$D$17</definedName>
    <definedName name="Demi_vie">Paramètres!$B$15:$D$15</definedName>
    <definedName name="InfraBoul">Paramètres!$B$8</definedName>
    <definedName name="InfraCed">Paramètres!$B$6</definedName>
    <definedName name="InfraDg">Paramètres!$B$4</definedName>
    <definedName name="InfraFs">Paramètres!$B$1</definedName>
    <definedName name="InfraHet">Paramètres!$B$9</definedName>
    <definedName name="InfraMel">Paramètres!$B$5</definedName>
    <definedName name="InfraPinL">Paramètres!$B$7</definedName>
    <definedName name="InfraRx">Paramètres!$B$2</definedName>
    <definedName name="MasseMol">Paramètres!$B$12</definedName>
    <definedName name="Surf">[1]Analyse_économique!$G$11</definedName>
    <definedName name="SurfZ1">[1]Analyse_économique!$F$2</definedName>
    <definedName name="SurfZ2">[1]Analyse_économique!$F$3</definedName>
    <definedName name="SurfZ3_Ced">[1]Analyse_économique!$F$6</definedName>
    <definedName name="SurfZ3_Dg">[1]Analyse_économique!$F$5</definedName>
    <definedName name="SurfZ4">[1]Analyse_économique!$F$7</definedName>
    <definedName name="SurfZ5_Ced">[1]Analyse_économique!$F$10</definedName>
    <definedName name="SurfZ5_Dg">[1]Analyse_économique!$F$11</definedName>
    <definedName name="SurfZ5_Mel">[1]Analyse_économique!$F$9</definedName>
    <definedName name="TauxC">Paramètres!$B$3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53" i="1" l="1"/>
  <c r="C759" i="1" l="1"/>
  <c r="D640" i="1" l="1"/>
  <c r="C190" i="1"/>
  <c r="D190" i="1"/>
  <c r="E190" i="1"/>
  <c r="C195" i="1"/>
  <c r="D195" i="1"/>
  <c r="E195" i="1"/>
  <c r="C200" i="1"/>
  <c r="D200" i="1"/>
  <c r="E200" i="1"/>
  <c r="AE200" i="1"/>
  <c r="AF200" i="1" s="1"/>
  <c r="AG200" i="1" s="1"/>
  <c r="C205" i="1"/>
  <c r="D205" i="1"/>
  <c r="E205" i="1"/>
  <c r="AD205" i="1"/>
  <c r="AD210" i="1" s="1"/>
  <c r="AE210" i="1" s="1"/>
  <c r="AF210" i="1" s="1"/>
  <c r="C210" i="1"/>
  <c r="D210" i="1"/>
  <c r="E210" i="1"/>
  <c r="AG210" i="1" l="1"/>
  <c r="AE205" i="1"/>
  <c r="AF205" i="1" s="1"/>
  <c r="K734" i="1"/>
  <c r="K668" i="1"/>
  <c r="K498" i="1"/>
  <c r="K564" i="1"/>
  <c r="C17" i="3"/>
  <c r="C16" i="3"/>
  <c r="D17" i="3"/>
  <c r="D16" i="3"/>
  <c r="AE81" i="1"/>
  <c r="AF81" i="1" s="1"/>
  <c r="AG81" i="1" s="1"/>
  <c r="AD82" i="1"/>
  <c r="AD83" i="1" s="1"/>
  <c r="AE83" i="1" s="1"/>
  <c r="AF83" i="1" s="1"/>
  <c r="AG83" i="1" s="1"/>
  <c r="C83" i="1"/>
  <c r="C148" i="1"/>
  <c r="C150" i="1"/>
  <c r="L150" i="1" s="1"/>
  <c r="C175" i="1"/>
  <c r="L175" i="1" s="1" a="1"/>
  <c r="L175" i="1" s="1"/>
  <c r="D175" i="1"/>
  <c r="C180" i="1"/>
  <c r="D180" i="1"/>
  <c r="C185" i="1"/>
  <c r="D185" i="1"/>
  <c r="E185" i="1"/>
  <c r="AD215" i="1"/>
  <c r="C215" i="1"/>
  <c r="D215" i="1"/>
  <c r="E215" i="1"/>
  <c r="C222" i="1"/>
  <c r="D222" i="1"/>
  <c r="E222" i="1"/>
  <c r="F222" i="1"/>
  <c r="AE222" i="1"/>
  <c r="AF222" i="1" s="1"/>
  <c r="C287" i="1"/>
  <c r="AD287" i="1"/>
  <c r="AE287" i="1" s="1"/>
  <c r="AF287" i="1" s="1"/>
  <c r="AG287" i="1" s="1"/>
  <c r="C288" i="1"/>
  <c r="D288" i="1"/>
  <c r="E288" i="1"/>
  <c r="F288" i="1"/>
  <c r="C313" i="1"/>
  <c r="D313" i="1"/>
  <c r="C318" i="1"/>
  <c r="D318" i="1"/>
  <c r="C323" i="1"/>
  <c r="D323" i="1"/>
  <c r="E323" i="1"/>
  <c r="AE323" i="1"/>
  <c r="AF323" i="1" s="1"/>
  <c r="AG323" i="1" s="1"/>
  <c r="C328" i="1"/>
  <c r="D328" i="1"/>
  <c r="E328" i="1"/>
  <c r="AD328" i="1"/>
  <c r="AD333" i="1" s="1"/>
  <c r="C333" i="1"/>
  <c r="D333" i="1"/>
  <c r="E333" i="1"/>
  <c r="C338" i="1"/>
  <c r="D338" i="1"/>
  <c r="E338" i="1"/>
  <c r="C343" i="1"/>
  <c r="D343" i="1"/>
  <c r="E343" i="1"/>
  <c r="C348" i="1"/>
  <c r="D348" i="1"/>
  <c r="E348" i="1"/>
  <c r="AE348" i="1"/>
  <c r="AF348" i="1" s="1"/>
  <c r="AG348" i="1" s="1"/>
  <c r="C353" i="1"/>
  <c r="D353" i="1"/>
  <c r="E353" i="1"/>
  <c r="C359" i="1"/>
  <c r="D359" i="1"/>
  <c r="E359" i="1"/>
  <c r="F359" i="1"/>
  <c r="C424" i="1"/>
  <c r="D425" i="1"/>
  <c r="E425" i="1"/>
  <c r="F425" i="1"/>
  <c r="C445" i="1"/>
  <c r="D445" i="1"/>
  <c r="C450" i="1"/>
  <c r="D450" i="1"/>
  <c r="C455" i="1"/>
  <c r="L455" i="1" s="1" a="1"/>
  <c r="L455" i="1" s="1"/>
  <c r="D455" i="1"/>
  <c r="C460" i="1"/>
  <c r="D460" i="1"/>
  <c r="E460" i="1"/>
  <c r="C465" i="1"/>
  <c r="D465" i="1"/>
  <c r="E465" i="1"/>
  <c r="C470" i="1"/>
  <c r="D470" i="1"/>
  <c r="E470" i="1"/>
  <c r="C475" i="1"/>
  <c r="D475" i="1"/>
  <c r="E475" i="1"/>
  <c r="C480" i="1"/>
  <c r="D480" i="1"/>
  <c r="E480" i="1"/>
  <c r="C485" i="1"/>
  <c r="D485" i="1"/>
  <c r="E485" i="1"/>
  <c r="C490" i="1"/>
  <c r="D490" i="1"/>
  <c r="E490" i="1"/>
  <c r="C498" i="1"/>
  <c r="D498" i="1"/>
  <c r="E498" i="1"/>
  <c r="F498" i="1"/>
  <c r="C563" i="1"/>
  <c r="D564" i="1"/>
  <c r="L564" i="1" s="1"/>
  <c r="E564" i="1"/>
  <c r="F564" i="1"/>
  <c r="C589" i="1"/>
  <c r="D589" i="1"/>
  <c r="C594" i="1"/>
  <c r="D594" i="1"/>
  <c r="C599" i="1"/>
  <c r="D599" i="1"/>
  <c r="E599" i="1"/>
  <c r="C604" i="1"/>
  <c r="D604" i="1"/>
  <c r="E604" i="1"/>
  <c r="C609" i="1"/>
  <c r="D609" i="1"/>
  <c r="E609" i="1"/>
  <c r="C610" i="1"/>
  <c r="C614" i="1"/>
  <c r="D614" i="1"/>
  <c r="E614" i="1"/>
  <c r="C619" i="1"/>
  <c r="D619" i="1"/>
  <c r="E619" i="1"/>
  <c r="C620" i="1"/>
  <c r="C624" i="1"/>
  <c r="D624" i="1"/>
  <c r="E624" i="1"/>
  <c r="C630" i="1"/>
  <c r="D630" i="1"/>
  <c r="C640" i="1"/>
  <c r="C650" i="1"/>
  <c r="D650" i="1"/>
  <c r="E650" i="1"/>
  <c r="C659" i="1"/>
  <c r="D659" i="1"/>
  <c r="E659" i="1"/>
  <c r="C668" i="1"/>
  <c r="D668" i="1"/>
  <c r="E668" i="1"/>
  <c r="F668" i="1"/>
  <c r="C733" i="1"/>
  <c r="D734" i="1"/>
  <c r="E734" i="1"/>
  <c r="F734" i="1"/>
  <c r="C752" i="1"/>
  <c r="L752" i="1" s="1" a="1"/>
  <c r="L752" i="1" s="1"/>
  <c r="C755" i="1"/>
  <c r="C758" i="1"/>
  <c r="D758" i="1"/>
  <c r="D759" i="1"/>
  <c r="L759" i="1" s="1" a="1"/>
  <c r="L759" i="1" s="1"/>
  <c r="C764" i="1"/>
  <c r="L764" i="1" s="1" a="1"/>
  <c r="L764" i="1" s="1"/>
  <c r="D764" i="1"/>
  <c r="C769" i="1"/>
  <c r="D769" i="1"/>
  <c r="E769" i="1"/>
  <c r="C770" i="1"/>
  <c r="D770" i="1"/>
  <c r="E770" i="1"/>
  <c r="C774" i="1"/>
  <c r="D774" i="1"/>
  <c r="E774" i="1"/>
  <c r="C776" i="1"/>
  <c r="D776" i="1"/>
  <c r="E776" i="1"/>
  <c r="C779" i="1"/>
  <c r="D779" i="1"/>
  <c r="E779" i="1"/>
  <c r="C780" i="1"/>
  <c r="C782" i="1"/>
  <c r="D782" i="1"/>
  <c r="E782" i="1"/>
  <c r="C784" i="1"/>
  <c r="D784" i="1"/>
  <c r="E784" i="1"/>
  <c r="C789" i="1"/>
  <c r="D789" i="1"/>
  <c r="E789" i="1"/>
  <c r="C790" i="1"/>
  <c r="C794" i="1"/>
  <c r="D794" i="1"/>
  <c r="E794" i="1"/>
  <c r="C800" i="1"/>
  <c r="D800" i="1"/>
  <c r="C810" i="1"/>
  <c r="D810" i="1"/>
  <c r="C820" i="1"/>
  <c r="D820" i="1"/>
  <c r="E820" i="1"/>
  <c r="C829" i="1"/>
  <c r="D829" i="1"/>
  <c r="E829" i="1"/>
  <c r="L755" i="1" l="1" a="1"/>
  <c r="L755" i="1" s="1"/>
  <c r="L734" i="1"/>
  <c r="L594" i="1" a="1"/>
  <c r="L594" i="1" s="1"/>
  <c r="L425" i="1"/>
  <c r="L83" i="1"/>
  <c r="L589" i="1" a="1"/>
  <c r="L589" i="1" s="1"/>
  <c r="D846" i="1" s="1"/>
  <c r="L498" i="1"/>
  <c r="L222" i="1"/>
  <c r="L668" i="1"/>
  <c r="L445" i="1" a="1"/>
  <c r="L445" i="1" s="1"/>
  <c r="L318" i="1" a="1"/>
  <c r="L318" i="1" s="1"/>
  <c r="L758" i="1" a="1"/>
  <c r="L758" i="1" s="1"/>
  <c r="L450" i="1" a="1"/>
  <c r="L450" i="1" s="1"/>
  <c r="L359" i="1"/>
  <c r="L313" i="1" a="1"/>
  <c r="L313" i="1" s="1"/>
  <c r="L288" i="1"/>
  <c r="L180" i="1" a="1"/>
  <c r="L180" i="1" s="1"/>
  <c r="AG205" i="1"/>
  <c r="AE328" i="1"/>
  <c r="AF328" i="1" s="1"/>
  <c r="AG328" i="1" s="1"/>
  <c r="AD288" i="1"/>
  <c r="AD148" i="1"/>
  <c r="AD150" i="1" s="1"/>
  <c r="AG222" i="1"/>
  <c r="AD338" i="1"/>
  <c r="AE333" i="1"/>
  <c r="AF333" i="1" s="1"/>
  <c r="AD217" i="1"/>
  <c r="AE215" i="1"/>
  <c r="AF215" i="1" s="1"/>
  <c r="AE82" i="1"/>
  <c r="AF82" i="1" s="1"/>
  <c r="AE148" i="1" l="1"/>
  <c r="AF148" i="1" s="1"/>
  <c r="AG148" i="1" s="1"/>
  <c r="AD313" i="1"/>
  <c r="AE288" i="1"/>
  <c r="AF288" i="1" s="1"/>
  <c r="AE217" i="1"/>
  <c r="AF217" i="1" s="1"/>
  <c r="AD218" i="1"/>
  <c r="AG333" i="1"/>
  <c r="AE338" i="1"/>
  <c r="AF338" i="1" s="1"/>
  <c r="AD343" i="1"/>
  <c r="AE343" i="1" s="1"/>
  <c r="AF343" i="1" s="1"/>
  <c r="AD175" i="1"/>
  <c r="AE150" i="1"/>
  <c r="AF150" i="1" s="1"/>
  <c r="AG82" i="1"/>
  <c r="AG215" i="1"/>
  <c r="AD72" i="1"/>
  <c r="AD73" i="1" s="1"/>
  <c r="AD62" i="1"/>
  <c r="AD63" i="1" s="1"/>
  <c r="AD64" i="1" s="1"/>
  <c r="AD65" i="1" s="1"/>
  <c r="AD66" i="1" s="1"/>
  <c r="AD67" i="1" s="1"/>
  <c r="AD68" i="1" s="1"/>
  <c r="AD69" i="1" s="1"/>
  <c r="AD70" i="1" s="1"/>
  <c r="AD52" i="1"/>
  <c r="AD53" i="1" s="1"/>
  <c r="AD54" i="1" s="1"/>
  <c r="AD55" i="1" s="1"/>
  <c r="AD56" i="1" s="1"/>
  <c r="AD57" i="1" s="1"/>
  <c r="AD58" i="1" s="1"/>
  <c r="AD59" i="1" s="1"/>
  <c r="AD60" i="1" s="1"/>
  <c r="AD46" i="1"/>
  <c r="AD47" i="1" s="1"/>
  <c r="AD48" i="1" s="1"/>
  <c r="AD49" i="1" s="1"/>
  <c r="AD50" i="1" s="1"/>
  <c r="AD36" i="1"/>
  <c r="AD37" i="1" s="1"/>
  <c r="AD38" i="1" s="1"/>
  <c r="AD39" i="1" s="1"/>
  <c r="AD40" i="1" s="1"/>
  <c r="AD41" i="1" s="1"/>
  <c r="AD42" i="1" s="1"/>
  <c r="AD43" i="1" s="1"/>
  <c r="AD44" i="1" s="1"/>
  <c r="W54" i="1"/>
  <c r="W48" i="1"/>
  <c r="W49" i="1" s="1"/>
  <c r="W50" i="1" s="1"/>
  <c r="W51" i="1" s="1"/>
  <c r="W52" i="1" s="1"/>
  <c r="W42" i="1"/>
  <c r="W43" i="1" s="1"/>
  <c r="W44" i="1" s="1"/>
  <c r="W45" i="1" s="1"/>
  <c r="W46" i="1" s="1"/>
  <c r="W36" i="1"/>
  <c r="W37" i="1" s="1"/>
  <c r="W38" i="1" s="1"/>
  <c r="W39" i="1" s="1"/>
  <c r="W40" i="1" s="1"/>
  <c r="W30" i="1"/>
  <c r="W31" i="1" s="1"/>
  <c r="W32" i="1" s="1"/>
  <c r="W33" i="1" s="1"/>
  <c r="W34" i="1" s="1"/>
  <c r="W27" i="1"/>
  <c r="W28" i="1" s="1"/>
  <c r="W24" i="1"/>
  <c r="W25" i="1" s="1"/>
  <c r="P56" i="1"/>
  <c r="P57" i="1" s="1"/>
  <c r="P58" i="1" s="1"/>
  <c r="P59" i="1" s="1"/>
  <c r="P51" i="1"/>
  <c r="P52" i="1" s="1"/>
  <c r="P53" i="1" s="1"/>
  <c r="P54" i="1" s="1"/>
  <c r="P46" i="1"/>
  <c r="P47" i="1" s="1"/>
  <c r="P48" i="1" s="1"/>
  <c r="P49" i="1" s="1"/>
  <c r="P41" i="1"/>
  <c r="P42" i="1" s="1"/>
  <c r="P43" i="1" s="1"/>
  <c r="P44" i="1" s="1"/>
  <c r="P36" i="1"/>
  <c r="P37" i="1" s="1"/>
  <c r="P38" i="1" s="1"/>
  <c r="P39" i="1" s="1"/>
  <c r="P31" i="1"/>
  <c r="P32" i="1" s="1"/>
  <c r="P33" i="1" s="1"/>
  <c r="P34" i="1" s="1"/>
  <c r="P25" i="1"/>
  <c r="P26" i="1" s="1"/>
  <c r="P27" i="1" s="1"/>
  <c r="P28" i="1" s="1"/>
  <c r="P29" i="1" s="1"/>
  <c r="I61" i="1"/>
  <c r="I62" i="1" s="1"/>
  <c r="I63" i="1" s="1"/>
  <c r="I64" i="1" s="1"/>
  <c r="I56" i="1"/>
  <c r="I57" i="1" s="1"/>
  <c r="I58" i="1" s="1"/>
  <c r="I59" i="1" s="1"/>
  <c r="I51" i="1"/>
  <c r="I52" i="1" s="1"/>
  <c r="I53" i="1" s="1"/>
  <c r="I54" i="1" s="1"/>
  <c r="I46" i="1"/>
  <c r="I47" i="1" s="1"/>
  <c r="I48" i="1" s="1"/>
  <c r="I49" i="1" s="1"/>
  <c r="I41" i="1"/>
  <c r="I42" i="1" s="1"/>
  <c r="I43" i="1" s="1"/>
  <c r="I44" i="1" s="1"/>
  <c r="I36" i="1"/>
  <c r="I37" i="1" s="1"/>
  <c r="I38" i="1" s="1"/>
  <c r="I39" i="1" s="1"/>
  <c r="I31" i="1"/>
  <c r="I32" i="1" s="1"/>
  <c r="I33" i="1" s="1"/>
  <c r="I34" i="1" s="1"/>
  <c r="I26" i="1"/>
  <c r="I27" i="1" s="1"/>
  <c r="I28" i="1" s="1"/>
  <c r="I29" i="1" s="1"/>
  <c r="I21" i="1"/>
  <c r="I22" i="1" s="1"/>
  <c r="I23" i="1" s="1"/>
  <c r="I24" i="1" s="1"/>
  <c r="B66" i="1"/>
  <c r="B61" i="1"/>
  <c r="B56" i="1"/>
  <c r="B57" i="1" s="1"/>
  <c r="B58" i="1" s="1"/>
  <c r="B59" i="1" s="1"/>
  <c r="B51" i="1"/>
  <c r="B52" i="1" s="1"/>
  <c r="B53" i="1" s="1"/>
  <c r="B54" i="1" s="1"/>
  <c r="B46" i="1"/>
  <c r="B47" i="1" s="1"/>
  <c r="B48" i="1" s="1"/>
  <c r="B49" i="1" s="1"/>
  <c r="B41" i="1"/>
  <c r="B42" i="1" s="1"/>
  <c r="B43" i="1" s="1"/>
  <c r="B44" i="1" s="1"/>
  <c r="B36" i="1"/>
  <c r="B37" i="1" s="1"/>
  <c r="B38" i="1" s="1"/>
  <c r="B39" i="1" s="1"/>
  <c r="B31" i="1"/>
  <c r="B32" i="1" s="1"/>
  <c r="B33" i="1" s="1"/>
  <c r="B34" i="1" s="1"/>
  <c r="B26" i="1"/>
  <c r="B27" i="1" s="1"/>
  <c r="B24" i="1"/>
  <c r="B23" i="1"/>
  <c r="AG288" i="1" l="1"/>
  <c r="AD318" i="1"/>
  <c r="AE318" i="1" s="1"/>
  <c r="AF318" i="1" s="1"/>
  <c r="AG318" i="1" s="1"/>
  <c r="AE313" i="1"/>
  <c r="AF313" i="1" s="1"/>
  <c r="AG313" i="1" s="1"/>
  <c r="AG343" i="1"/>
  <c r="AG338" i="1"/>
  <c r="AE73" i="1"/>
  <c r="AF73" i="1" s="1"/>
  <c r="AD74" i="1"/>
  <c r="AG150" i="1"/>
  <c r="AD219" i="1"/>
  <c r="AE218" i="1"/>
  <c r="AF218" i="1" s="1"/>
  <c r="AD180" i="1"/>
  <c r="AE175" i="1"/>
  <c r="AF175" i="1" s="1"/>
  <c r="AG217" i="1"/>
  <c r="P15" i="1"/>
  <c r="P6" i="1" s="1"/>
  <c r="P7" i="1" s="1"/>
  <c r="P8" i="1" s="1"/>
  <c r="P9" i="1" s="1"/>
  <c r="P10" i="1" s="1"/>
  <c r="P11" i="1" s="1"/>
  <c r="P12" i="1" s="1"/>
  <c r="P13" i="1" s="1"/>
  <c r="P14" i="1" s="1"/>
  <c r="P16" i="1"/>
  <c r="I66" i="1"/>
  <c r="I67" i="1" s="1"/>
  <c r="I68" i="1" s="1"/>
  <c r="I69" i="1" s="1"/>
  <c r="W55" i="1"/>
  <c r="W56" i="1" s="1"/>
  <c r="W57" i="1" s="1"/>
  <c r="W58" i="1" s="1"/>
  <c r="W59" i="1" s="1"/>
  <c r="W60" i="1" s="1"/>
  <c r="W61" i="1" s="1"/>
  <c r="W62" i="1" s="1"/>
  <c r="W63" i="1" s="1"/>
  <c r="W64" i="1" s="1"/>
  <c r="P61" i="1"/>
  <c r="P62" i="1" s="1"/>
  <c r="P63" i="1" s="1"/>
  <c r="P64" i="1" s="1"/>
  <c r="B62" i="1"/>
  <c r="B63" i="1" s="1"/>
  <c r="B64" i="1" s="1"/>
  <c r="B67" i="1"/>
  <c r="B68" i="1" s="1"/>
  <c r="B69" i="1" s="1"/>
  <c r="AH318" i="1" l="1"/>
  <c r="AH150" i="1"/>
  <c r="AH338" i="1"/>
  <c r="AH288" i="1"/>
  <c r="AD75" i="1"/>
  <c r="AE74" i="1"/>
  <c r="AF74" i="1" s="1"/>
  <c r="AG73" i="1"/>
  <c r="AH73" i="1" s="1"/>
  <c r="AG175" i="1"/>
  <c r="AD185" i="1"/>
  <c r="AD190" i="1" s="1"/>
  <c r="AE180" i="1"/>
  <c r="AF180" i="1" s="1"/>
  <c r="AG218" i="1"/>
  <c r="AH218" i="1" s="1"/>
  <c r="AD220" i="1"/>
  <c r="AE219" i="1"/>
  <c r="AF219" i="1" s="1"/>
  <c r="B17" i="3"/>
  <c r="B16" i="3"/>
  <c r="B12" i="3"/>
  <c r="AE71" i="1"/>
  <c r="AF71" i="1" s="1"/>
  <c r="AG71" i="1" s="1"/>
  <c r="AL70" i="1"/>
  <c r="AM70" i="1" s="1"/>
  <c r="J70" i="1"/>
  <c r="K70" i="1" s="1"/>
  <c r="C70" i="1"/>
  <c r="D70" i="1" s="1"/>
  <c r="E70" i="1" s="1"/>
  <c r="AL69" i="1"/>
  <c r="AM69" i="1" s="1"/>
  <c r="AL68" i="1"/>
  <c r="AM68" i="1" s="1"/>
  <c r="AN68" i="1" s="1"/>
  <c r="AL67" i="1"/>
  <c r="AM67" i="1" s="1"/>
  <c r="AL66" i="1"/>
  <c r="AM66" i="1" s="1"/>
  <c r="AL65" i="1"/>
  <c r="AM65" i="1" s="1"/>
  <c r="AN65" i="1" s="1"/>
  <c r="X65" i="1"/>
  <c r="Y65" i="1" s="1"/>
  <c r="Q65" i="1"/>
  <c r="R65" i="1" s="1"/>
  <c r="J65" i="1"/>
  <c r="K65" i="1" s="1"/>
  <c r="C65" i="1"/>
  <c r="D65" i="1" s="1"/>
  <c r="AL64" i="1"/>
  <c r="AM64" i="1" s="1"/>
  <c r="AL63" i="1"/>
  <c r="AM63" i="1" s="1"/>
  <c r="AL62" i="1"/>
  <c r="AM62" i="1" s="1"/>
  <c r="AL61" i="1"/>
  <c r="AM61" i="1" s="1"/>
  <c r="AN61" i="1" s="1"/>
  <c r="AE61" i="1"/>
  <c r="AF61" i="1" s="1"/>
  <c r="AL60" i="1"/>
  <c r="AM60" i="1" s="1"/>
  <c r="Q60" i="1"/>
  <c r="R60" i="1" s="1"/>
  <c r="J60" i="1"/>
  <c r="K60" i="1" s="1"/>
  <c r="C60" i="1"/>
  <c r="D60" i="1" s="1"/>
  <c r="AL59" i="1"/>
  <c r="AM59" i="1" s="1"/>
  <c r="AL58" i="1"/>
  <c r="AM58" i="1" s="1"/>
  <c r="AL57" i="1"/>
  <c r="AM57" i="1" s="1"/>
  <c r="AL56" i="1"/>
  <c r="AM56" i="1" s="1"/>
  <c r="AL55" i="1"/>
  <c r="AM55" i="1" s="1"/>
  <c r="Q55" i="1"/>
  <c r="R55" i="1" s="1"/>
  <c r="S55" i="1" s="1"/>
  <c r="T55" i="1" s="1"/>
  <c r="J55" i="1"/>
  <c r="K55" i="1" s="1"/>
  <c r="L55" i="1" s="1"/>
  <c r="C55" i="1"/>
  <c r="D55" i="1" s="1"/>
  <c r="E55" i="1" s="1"/>
  <c r="AL54" i="1"/>
  <c r="AM54" i="1" s="1"/>
  <c r="AN54" i="1" s="1"/>
  <c r="AL53" i="1"/>
  <c r="AM53" i="1" s="1"/>
  <c r="X53" i="1"/>
  <c r="Y53" i="1" s="1"/>
  <c r="AL52" i="1"/>
  <c r="AM52" i="1" s="1"/>
  <c r="AL51" i="1"/>
  <c r="AM51" i="1" s="1"/>
  <c r="AN51" i="1" s="1"/>
  <c r="AE51" i="1"/>
  <c r="AF51" i="1" s="1"/>
  <c r="AL50" i="1"/>
  <c r="AM50" i="1" s="1"/>
  <c r="Q50" i="1"/>
  <c r="R50" i="1" s="1"/>
  <c r="S50" i="1" s="1"/>
  <c r="J50" i="1"/>
  <c r="K50" i="1" s="1"/>
  <c r="C50" i="1"/>
  <c r="D50" i="1" s="1"/>
  <c r="E50" i="1" s="1"/>
  <c r="AL49" i="1"/>
  <c r="AM49" i="1" s="1"/>
  <c r="AL48" i="1"/>
  <c r="AM48" i="1" s="1"/>
  <c r="AN48" i="1" s="1"/>
  <c r="AL47" i="1"/>
  <c r="AM47" i="1" s="1"/>
  <c r="X47" i="1"/>
  <c r="Y47" i="1" s="1"/>
  <c r="Z47" i="1" s="1"/>
  <c r="AA47" i="1" s="1"/>
  <c r="AL46" i="1"/>
  <c r="AM46" i="1" s="1"/>
  <c r="AL45" i="1"/>
  <c r="AM45" i="1" s="1"/>
  <c r="AN45" i="1" s="1"/>
  <c r="AE45" i="1"/>
  <c r="AF45" i="1" s="1"/>
  <c r="Q45" i="1"/>
  <c r="R45" i="1" s="1"/>
  <c r="J45" i="1"/>
  <c r="K45" i="1" s="1"/>
  <c r="L45" i="1" s="1"/>
  <c r="C45" i="1"/>
  <c r="D45" i="1" s="1"/>
  <c r="AL44" i="1"/>
  <c r="AM44" i="1" s="1"/>
  <c r="AN44" i="1" s="1"/>
  <c r="AL43" i="1"/>
  <c r="AM43" i="1" s="1"/>
  <c r="AL42" i="1"/>
  <c r="AM42" i="1" s="1"/>
  <c r="AL41" i="1"/>
  <c r="AM41" i="1" s="1"/>
  <c r="AN41" i="1" s="1"/>
  <c r="X41" i="1"/>
  <c r="Y41" i="1" s="1"/>
  <c r="AL40" i="1"/>
  <c r="AM40" i="1" s="1"/>
  <c r="Q40" i="1"/>
  <c r="R40" i="1" s="1"/>
  <c r="S40" i="1" s="1"/>
  <c r="J40" i="1"/>
  <c r="K40" i="1" s="1"/>
  <c r="L40" i="1" s="1"/>
  <c r="C40" i="1"/>
  <c r="D40" i="1" s="1"/>
  <c r="E40" i="1" s="1"/>
  <c r="F40" i="1" s="1"/>
  <c r="AL39" i="1"/>
  <c r="AM39" i="1" s="1"/>
  <c r="AL38" i="1"/>
  <c r="AM38" i="1" s="1"/>
  <c r="AN38" i="1" s="1"/>
  <c r="AL37" i="1"/>
  <c r="AM37" i="1" s="1"/>
  <c r="AN37" i="1" s="1"/>
  <c r="AL36" i="1"/>
  <c r="AM36" i="1" s="1"/>
  <c r="AL35" i="1"/>
  <c r="AM35" i="1" s="1"/>
  <c r="AE35" i="1"/>
  <c r="AF35" i="1" s="1"/>
  <c r="X35" i="1"/>
  <c r="Y35" i="1" s="1"/>
  <c r="Q35" i="1"/>
  <c r="R35" i="1" s="1"/>
  <c r="J35" i="1"/>
  <c r="K35" i="1" s="1"/>
  <c r="C35" i="1"/>
  <c r="D35" i="1" s="1"/>
  <c r="AL34" i="1"/>
  <c r="AM34" i="1" s="1"/>
  <c r="AD34" i="1"/>
  <c r="AE34" i="1" s="1"/>
  <c r="AF34" i="1" s="1"/>
  <c r="AL33" i="1"/>
  <c r="AM33" i="1" s="1"/>
  <c r="AD33" i="1"/>
  <c r="AE33" i="1" s="1"/>
  <c r="AF33" i="1" s="1"/>
  <c r="AL32" i="1"/>
  <c r="AM32" i="1" s="1"/>
  <c r="AD32" i="1"/>
  <c r="AE32" i="1" s="1"/>
  <c r="AF32" i="1" s="1"/>
  <c r="AL31" i="1"/>
  <c r="AM31" i="1" s="1"/>
  <c r="AN31" i="1" s="1"/>
  <c r="AD31" i="1"/>
  <c r="AE31" i="1" s="1"/>
  <c r="AF31" i="1" s="1"/>
  <c r="AL30" i="1"/>
  <c r="AM30" i="1" s="1"/>
  <c r="AN30" i="1" s="1"/>
  <c r="AD30" i="1"/>
  <c r="AE30" i="1" s="1"/>
  <c r="AF30" i="1" s="1"/>
  <c r="Q30" i="1"/>
  <c r="R30" i="1" s="1"/>
  <c r="J30" i="1"/>
  <c r="K30" i="1" s="1"/>
  <c r="C30" i="1"/>
  <c r="D30" i="1" s="1"/>
  <c r="AL29" i="1"/>
  <c r="AM29" i="1" s="1"/>
  <c r="AD29" i="1"/>
  <c r="AE29" i="1" s="1"/>
  <c r="AF29" i="1" s="1"/>
  <c r="X29" i="1"/>
  <c r="Y29" i="1" s="1"/>
  <c r="AL28" i="1"/>
  <c r="AM28" i="1" s="1"/>
  <c r="AD28" i="1"/>
  <c r="AE28" i="1" s="1"/>
  <c r="AF28" i="1" s="1"/>
  <c r="AL27" i="1"/>
  <c r="AM27" i="1" s="1"/>
  <c r="AN27" i="1" s="1"/>
  <c r="AD27" i="1"/>
  <c r="AE27" i="1" s="1"/>
  <c r="AF27" i="1" s="1"/>
  <c r="AL26" i="1"/>
  <c r="AM26" i="1" s="1"/>
  <c r="AN26" i="1" s="1"/>
  <c r="AD26" i="1"/>
  <c r="X26" i="1"/>
  <c r="Y26" i="1" s="1"/>
  <c r="AL25" i="1"/>
  <c r="AM25" i="1" s="1"/>
  <c r="AN25" i="1" s="1"/>
  <c r="J25" i="1"/>
  <c r="K25" i="1" s="1"/>
  <c r="C25" i="1"/>
  <c r="D25" i="1" s="1"/>
  <c r="AL24" i="1"/>
  <c r="AM24" i="1" s="1"/>
  <c r="AN24" i="1" s="1"/>
  <c r="Q24" i="1"/>
  <c r="R24" i="1" s="1"/>
  <c r="C24" i="1"/>
  <c r="D24" i="1" s="1"/>
  <c r="AL23" i="1"/>
  <c r="AM23" i="1" s="1"/>
  <c r="X23" i="1"/>
  <c r="Y23" i="1" s="1"/>
  <c r="P23" i="1"/>
  <c r="Q23" i="1" s="1"/>
  <c r="R23" i="1" s="1"/>
  <c r="C23" i="1"/>
  <c r="D23" i="1" s="1"/>
  <c r="AL22" i="1"/>
  <c r="AM22" i="1" s="1"/>
  <c r="AN22" i="1" s="1"/>
  <c r="W22" i="1"/>
  <c r="X22" i="1" s="1"/>
  <c r="Y22" i="1" s="1"/>
  <c r="P22" i="1"/>
  <c r="Q22" i="1" s="1"/>
  <c r="R22" i="1" s="1"/>
  <c r="C22" i="1"/>
  <c r="D22" i="1" s="1"/>
  <c r="AL21" i="1"/>
  <c r="AM21" i="1" s="1"/>
  <c r="AN21" i="1" s="1"/>
  <c r="AO21" i="1" s="1"/>
  <c r="W21" i="1"/>
  <c r="X21" i="1" s="1"/>
  <c r="Y21" i="1" s="1"/>
  <c r="P21" i="1"/>
  <c r="Q21" i="1" s="1"/>
  <c r="R21" i="1" s="1"/>
  <c r="B21" i="1"/>
  <c r="C21" i="1" s="1"/>
  <c r="D21" i="1" s="1"/>
  <c r="AL20" i="1"/>
  <c r="AM20" i="1" s="1"/>
  <c r="AN20" i="1" s="1"/>
  <c r="AO20" i="1" s="1"/>
  <c r="W20" i="1"/>
  <c r="X20" i="1" s="1"/>
  <c r="Y20" i="1" s="1"/>
  <c r="P20" i="1"/>
  <c r="Q20" i="1" s="1"/>
  <c r="R20" i="1" s="1"/>
  <c r="J20" i="1"/>
  <c r="K20" i="1" s="1"/>
  <c r="B20" i="1"/>
  <c r="C20" i="1" s="1"/>
  <c r="D20" i="1" s="1"/>
  <c r="AL19" i="1"/>
  <c r="AM19" i="1" s="1"/>
  <c r="AN19" i="1" s="1"/>
  <c r="W19" i="1"/>
  <c r="X19" i="1" s="1"/>
  <c r="Y19" i="1" s="1"/>
  <c r="P19" i="1"/>
  <c r="Q19" i="1" s="1"/>
  <c r="R19" i="1" s="1"/>
  <c r="I19" i="1"/>
  <c r="J19" i="1" s="1"/>
  <c r="K19" i="1" s="1"/>
  <c r="B19" i="1"/>
  <c r="C19" i="1" s="1"/>
  <c r="D19" i="1" s="1"/>
  <c r="AL18" i="1"/>
  <c r="AM18" i="1" s="1"/>
  <c r="W18" i="1"/>
  <c r="X18" i="1" s="1"/>
  <c r="Y18" i="1" s="1"/>
  <c r="P18" i="1"/>
  <c r="Q18" i="1" s="1"/>
  <c r="R18" i="1" s="1"/>
  <c r="I18" i="1"/>
  <c r="J18" i="1" s="1"/>
  <c r="K18" i="1" s="1"/>
  <c r="B18" i="1"/>
  <c r="C18" i="1" s="1"/>
  <c r="D18" i="1" s="1"/>
  <c r="AL17" i="1"/>
  <c r="AM17" i="1" s="1"/>
  <c r="W17" i="1"/>
  <c r="X17" i="1" s="1"/>
  <c r="Y17" i="1" s="1"/>
  <c r="P17" i="1"/>
  <c r="Q17" i="1" s="1"/>
  <c r="R17" i="1" s="1"/>
  <c r="I17" i="1"/>
  <c r="J17" i="1" s="1"/>
  <c r="K17" i="1" s="1"/>
  <c r="B17" i="1"/>
  <c r="C17" i="1" s="1"/>
  <c r="D17" i="1" s="1"/>
  <c r="AL16" i="1"/>
  <c r="AM16" i="1" s="1"/>
  <c r="W16" i="1"/>
  <c r="X16" i="1" s="1"/>
  <c r="Y16" i="1" s="1"/>
  <c r="I16" i="1"/>
  <c r="J16" i="1" s="1"/>
  <c r="K16" i="1" s="1"/>
  <c r="B16" i="1"/>
  <c r="C16" i="1" s="1"/>
  <c r="D16" i="1" s="1"/>
  <c r="AL15" i="1"/>
  <c r="AM15" i="1" s="1"/>
  <c r="W15" i="1"/>
  <c r="X15" i="1" s="1"/>
  <c r="Y15" i="1" s="1"/>
  <c r="I15" i="1"/>
  <c r="J15" i="1" s="1"/>
  <c r="K15" i="1" s="1"/>
  <c r="B15" i="1"/>
  <c r="C15" i="1" s="1"/>
  <c r="D15" i="1" s="1"/>
  <c r="AL14" i="1"/>
  <c r="AM14" i="1" s="1"/>
  <c r="W14" i="1"/>
  <c r="X14" i="1" s="1"/>
  <c r="Y14" i="1" s="1"/>
  <c r="I14" i="1"/>
  <c r="J14" i="1" s="1"/>
  <c r="K14" i="1" s="1"/>
  <c r="B14" i="1"/>
  <c r="C14" i="1" s="1"/>
  <c r="D14" i="1" s="1"/>
  <c r="AL13" i="1"/>
  <c r="AM13" i="1" s="1"/>
  <c r="AN13" i="1" s="1"/>
  <c r="W13" i="1"/>
  <c r="X13" i="1" s="1"/>
  <c r="Y13" i="1" s="1"/>
  <c r="I13" i="1"/>
  <c r="J13" i="1" s="1"/>
  <c r="K13" i="1" s="1"/>
  <c r="B13" i="1"/>
  <c r="C13" i="1" s="1"/>
  <c r="D13" i="1" s="1"/>
  <c r="AL12" i="1"/>
  <c r="AM12" i="1" s="1"/>
  <c r="W12" i="1"/>
  <c r="X12" i="1" s="1"/>
  <c r="Y12" i="1" s="1"/>
  <c r="I12" i="1"/>
  <c r="J12" i="1" s="1"/>
  <c r="K12" i="1" s="1"/>
  <c r="B12" i="1"/>
  <c r="C12" i="1" s="1"/>
  <c r="D12" i="1" s="1"/>
  <c r="AL11" i="1"/>
  <c r="AM11" i="1" s="1"/>
  <c r="AN11" i="1" s="1"/>
  <c r="AO11" i="1" s="1"/>
  <c r="W11" i="1"/>
  <c r="X11" i="1" s="1"/>
  <c r="Y11" i="1" s="1"/>
  <c r="I11" i="1"/>
  <c r="J11" i="1" s="1"/>
  <c r="K11" i="1" s="1"/>
  <c r="B11" i="1"/>
  <c r="C11" i="1" s="1"/>
  <c r="D11" i="1" s="1"/>
  <c r="AL10" i="1"/>
  <c r="AM10" i="1" s="1"/>
  <c r="W10" i="1"/>
  <c r="I10" i="1"/>
  <c r="J10" i="1" s="1"/>
  <c r="K10" i="1" s="1"/>
  <c r="B10" i="1"/>
  <c r="C10" i="1" s="1"/>
  <c r="D10" i="1" s="1"/>
  <c r="AL9" i="1"/>
  <c r="AM9" i="1" s="1"/>
  <c r="I9" i="1"/>
  <c r="J9" i="1" s="1"/>
  <c r="K9" i="1" s="1"/>
  <c r="B9" i="1"/>
  <c r="C9" i="1" s="1"/>
  <c r="D9" i="1" s="1"/>
  <c r="AL8" i="1"/>
  <c r="AM8" i="1" s="1"/>
  <c r="I8" i="1"/>
  <c r="J8" i="1" s="1"/>
  <c r="K8" i="1" s="1"/>
  <c r="B8" i="1"/>
  <c r="C8" i="1" s="1"/>
  <c r="D8" i="1" s="1"/>
  <c r="AL7" i="1"/>
  <c r="AM7" i="1" s="1"/>
  <c r="I7" i="1"/>
  <c r="J7" i="1" s="1"/>
  <c r="K7" i="1" s="1"/>
  <c r="B7" i="1"/>
  <c r="C7" i="1" s="1"/>
  <c r="D7" i="1" s="1"/>
  <c r="AL6" i="1"/>
  <c r="AM6" i="1" s="1"/>
  <c r="I6" i="1"/>
  <c r="J6" i="1" s="1"/>
  <c r="K6" i="1" s="1"/>
  <c r="B6" i="1"/>
  <c r="C6" i="1" s="1"/>
  <c r="D6" i="1" s="1"/>
  <c r="AL5" i="1"/>
  <c r="AM5" i="1" s="1"/>
  <c r="AE5" i="1"/>
  <c r="AF5" i="1" s="1"/>
  <c r="X5" i="1"/>
  <c r="Y5" i="1" s="1"/>
  <c r="Q5" i="1"/>
  <c r="R5" i="1" s="1"/>
  <c r="J5" i="1"/>
  <c r="K5" i="1" s="1"/>
  <c r="C5" i="1"/>
  <c r="D5" i="1" s="1"/>
  <c r="G200" i="1" l="1"/>
  <c r="H195" i="1"/>
  <c r="G190" i="1"/>
  <c r="I195" i="1"/>
  <c r="I200" i="1"/>
  <c r="G425" i="1"/>
  <c r="H210" i="1"/>
  <c r="G734" i="1"/>
  <c r="I424" i="1"/>
  <c r="G205" i="1"/>
  <c r="I205" i="1"/>
  <c r="G210" i="1"/>
  <c r="I210" i="1"/>
  <c r="G195" i="1"/>
  <c r="H424" i="1"/>
  <c r="H190" i="1"/>
  <c r="H200" i="1"/>
  <c r="AH200" i="1"/>
  <c r="I190" i="1"/>
  <c r="H205" i="1"/>
  <c r="G564" i="1"/>
  <c r="I755" i="1"/>
  <c r="H594" i="1"/>
  <c r="AH287" i="1"/>
  <c r="G790" i="1"/>
  <c r="I779" i="1"/>
  <c r="I599" i="1"/>
  <c r="G318" i="1"/>
  <c r="AH83" i="1"/>
  <c r="H450" i="1"/>
  <c r="I148" i="1"/>
  <c r="G594" i="1"/>
  <c r="H353" i="1"/>
  <c r="H770" i="1"/>
  <c r="H359" i="1"/>
  <c r="H589" i="1"/>
  <c r="G782" i="1"/>
  <c r="H215" i="1"/>
  <c r="I759" i="1"/>
  <c r="H148" i="1"/>
  <c r="H563" i="1"/>
  <c r="G563" i="1"/>
  <c r="G599" i="1"/>
  <c r="G338" i="1"/>
  <c r="I782" i="1"/>
  <c r="G445" i="1"/>
  <c r="H445" i="1"/>
  <c r="I353" i="1"/>
  <c r="G784" i="1"/>
  <c r="H599" i="1"/>
  <c r="I318" i="1"/>
  <c r="G770" i="1"/>
  <c r="I150" i="1"/>
  <c r="H150" i="1"/>
  <c r="G789" i="1"/>
  <c r="I480" i="1"/>
  <c r="I470" i="1"/>
  <c r="H348" i="1"/>
  <c r="G490" i="1"/>
  <c r="I764" i="1"/>
  <c r="G810" i="1"/>
  <c r="H769" i="1"/>
  <c r="I640" i="1"/>
  <c r="G498" i="1"/>
  <c r="H650" i="1"/>
  <c r="G455" i="1"/>
  <c r="H343" i="1"/>
  <c r="I323" i="1"/>
  <c r="G475" i="1"/>
  <c r="H465" i="1"/>
  <c r="H820" i="1"/>
  <c r="I794" i="1"/>
  <c r="G630" i="1"/>
  <c r="H733" i="1"/>
  <c r="I450" i="1"/>
  <c r="I776" i="1"/>
  <c r="I734" i="1"/>
  <c r="I589" i="1"/>
  <c r="I619" i="1"/>
  <c r="G764" i="1"/>
  <c r="G175" i="1"/>
  <c r="G333" i="1"/>
  <c r="G779" i="1"/>
  <c r="H774" i="1"/>
  <c r="H755" i="1"/>
  <c r="G755" i="1"/>
  <c r="H784" i="1"/>
  <c r="I609" i="1"/>
  <c r="AH210" i="1"/>
  <c r="H610" i="1"/>
  <c r="G604" i="1"/>
  <c r="I563" i="1"/>
  <c r="G668" i="1"/>
  <c r="I215" i="1"/>
  <c r="H758" i="1"/>
  <c r="I564" i="1"/>
  <c r="G287" i="1"/>
  <c r="H175" i="1"/>
  <c r="G328" i="1"/>
  <c r="G614" i="1"/>
  <c r="G619" i="1"/>
  <c r="G610" i="1"/>
  <c r="G148" i="1"/>
  <c r="H185" i="1"/>
  <c r="H609" i="1"/>
  <c r="G609" i="1"/>
  <c r="H604" i="1"/>
  <c r="G313" i="1"/>
  <c r="G758" i="1"/>
  <c r="G589" i="1"/>
  <c r="H318" i="1"/>
  <c r="I774" i="1"/>
  <c r="I185" i="1"/>
  <c r="I610" i="1"/>
  <c r="H338" i="1"/>
  <c r="H425" i="1"/>
  <c r="H328" i="1"/>
  <c r="I222" i="1"/>
  <c r="H829" i="1"/>
  <c r="G480" i="1"/>
  <c r="H470" i="1"/>
  <c r="I460" i="1"/>
  <c r="I288" i="1"/>
  <c r="I800" i="1"/>
  <c r="H764" i="1"/>
  <c r="I752" i="1"/>
  <c r="G769" i="1"/>
  <c r="H640" i="1"/>
  <c r="I624" i="1"/>
  <c r="G650" i="1"/>
  <c r="I790" i="1"/>
  <c r="G343" i="1"/>
  <c r="H323" i="1"/>
  <c r="I485" i="1"/>
  <c r="G465" i="1"/>
  <c r="G820" i="1"/>
  <c r="H794" i="1"/>
  <c r="I659" i="1"/>
  <c r="AH81" i="1"/>
  <c r="I784" i="1"/>
  <c r="G780" i="1"/>
  <c r="H734" i="1"/>
  <c r="G215" i="1"/>
  <c r="H779" i="1"/>
  <c r="G185" i="1"/>
  <c r="I620" i="1"/>
  <c r="I498" i="1"/>
  <c r="G620" i="1"/>
  <c r="I604" i="1"/>
  <c r="I594" i="1"/>
  <c r="I175" i="1"/>
  <c r="G776" i="1"/>
  <c r="H780" i="1"/>
  <c r="I313" i="1"/>
  <c r="H776" i="1"/>
  <c r="G180" i="1"/>
  <c r="H222" i="1"/>
  <c r="H789" i="1"/>
  <c r="G460" i="1"/>
  <c r="I490" i="1"/>
  <c r="I810" i="1"/>
  <c r="H624" i="1"/>
  <c r="H790" i="1"/>
  <c r="G323" i="1"/>
  <c r="I475" i="1"/>
  <c r="G794" i="1"/>
  <c r="I630" i="1"/>
  <c r="I348" i="1"/>
  <c r="I287" i="1"/>
  <c r="I180" i="1"/>
  <c r="I733" i="1"/>
  <c r="H782" i="1"/>
  <c r="I83" i="1"/>
  <c r="I789" i="1"/>
  <c r="G800" i="1"/>
  <c r="G752" i="1"/>
  <c r="J821" i="1" s="1" a="1"/>
  <c r="J821" i="1" s="1"/>
  <c r="H498" i="1"/>
  <c r="I465" i="1"/>
  <c r="G83" i="1"/>
  <c r="I445" i="1"/>
  <c r="I770" i="1"/>
  <c r="G424" i="1"/>
  <c r="H180" i="1"/>
  <c r="H287" i="1"/>
  <c r="H668" i="1"/>
  <c r="I614" i="1"/>
  <c r="I780" i="1"/>
  <c r="I333" i="1"/>
  <c r="H333" i="1"/>
  <c r="G359" i="1"/>
  <c r="I758" i="1"/>
  <c r="H83" i="1"/>
  <c r="G150" i="1"/>
  <c r="H480" i="1"/>
  <c r="G288" i="1"/>
  <c r="H800" i="1"/>
  <c r="H752" i="1"/>
  <c r="G640" i="1"/>
  <c r="AH348" i="1"/>
  <c r="I455" i="1"/>
  <c r="H485" i="1"/>
  <c r="I829" i="1"/>
  <c r="H659" i="1"/>
  <c r="H620" i="1"/>
  <c r="H564" i="1"/>
  <c r="G733" i="1"/>
  <c r="G348" i="1"/>
  <c r="H619" i="1"/>
  <c r="H614" i="1"/>
  <c r="H759" i="1"/>
  <c r="H313" i="1"/>
  <c r="I338" i="1"/>
  <c r="G353" i="1"/>
  <c r="G450" i="1"/>
  <c r="G829" i="1"/>
  <c r="G470" i="1"/>
  <c r="H288" i="1"/>
  <c r="H490" i="1"/>
  <c r="H810" i="1"/>
  <c r="G624" i="1"/>
  <c r="I650" i="1"/>
  <c r="I343" i="1"/>
  <c r="H475" i="1"/>
  <c r="I820" i="1"/>
  <c r="H630" i="1"/>
  <c r="AH323" i="1"/>
  <c r="I668" i="1"/>
  <c r="I359" i="1"/>
  <c r="G759" i="1"/>
  <c r="G774" i="1"/>
  <c r="I425" i="1"/>
  <c r="G222" i="1"/>
  <c r="H460" i="1"/>
  <c r="I769" i="1"/>
  <c r="H455" i="1"/>
  <c r="G485" i="1"/>
  <c r="G659" i="1"/>
  <c r="I328" i="1"/>
  <c r="AH205" i="1"/>
  <c r="AH222" i="1"/>
  <c r="AH328" i="1"/>
  <c r="AH82" i="1"/>
  <c r="AH215" i="1"/>
  <c r="AH333" i="1"/>
  <c r="AH148" i="1"/>
  <c r="AH175" i="1"/>
  <c r="AH343" i="1"/>
  <c r="AH217" i="1"/>
  <c r="AH313" i="1"/>
  <c r="AE190" i="1"/>
  <c r="AF190" i="1" s="1"/>
  <c r="AD195" i="1"/>
  <c r="AE195" i="1" s="1"/>
  <c r="AF195" i="1" s="1"/>
  <c r="AG180" i="1"/>
  <c r="AH180" i="1" s="1"/>
  <c r="AE185" i="1"/>
  <c r="AF185" i="1" s="1"/>
  <c r="AG219" i="1"/>
  <c r="AH219" i="1" s="1"/>
  <c r="AE220" i="1"/>
  <c r="AF220" i="1" s="1"/>
  <c r="AD221" i="1"/>
  <c r="AE221" i="1" s="1"/>
  <c r="AF221" i="1" s="1"/>
  <c r="AG74" i="1"/>
  <c r="AH74" i="1" s="1"/>
  <c r="AE75" i="1"/>
  <c r="AF75" i="1" s="1"/>
  <c r="AD76" i="1"/>
  <c r="S17" i="1"/>
  <c r="T17" i="1" s="1"/>
  <c r="L18" i="1"/>
  <c r="M18" i="1" s="1"/>
  <c r="E19" i="1"/>
  <c r="F19" i="1" s="1"/>
  <c r="Z21" i="1"/>
  <c r="AA21" i="1" s="1"/>
  <c r="Z23" i="1"/>
  <c r="AA23" i="1" s="1"/>
  <c r="Z17" i="1"/>
  <c r="AA17" i="1" s="1"/>
  <c r="E20" i="1"/>
  <c r="F20" i="1" s="1"/>
  <c r="AG30" i="1"/>
  <c r="AH30" i="1" s="1"/>
  <c r="AG34" i="1"/>
  <c r="AH34" i="1" s="1"/>
  <c r="Z18" i="1"/>
  <c r="AA18" i="1" s="1"/>
  <c r="L25" i="1"/>
  <c r="M25" i="1" s="1"/>
  <c r="AO37" i="1"/>
  <c r="AO41" i="1"/>
  <c r="AO45" i="1"/>
  <c r="AO48" i="1"/>
  <c r="F55" i="1"/>
  <c r="AO68" i="1"/>
  <c r="E18" i="1"/>
  <c r="F18" i="1" s="1"/>
  <c r="S21" i="1"/>
  <c r="T21" i="1" s="1"/>
  <c r="E35" i="1"/>
  <c r="F35" i="1" s="1"/>
  <c r="T40" i="1"/>
  <c r="AH71" i="1"/>
  <c r="X10" i="1"/>
  <c r="Y10" i="1" s="1"/>
  <c r="Z10" i="1" s="1"/>
  <c r="W6" i="1"/>
  <c r="W7" i="1" s="1"/>
  <c r="W8" i="1" s="1"/>
  <c r="AE26" i="1"/>
  <c r="AF26" i="1" s="1"/>
  <c r="AD6" i="1"/>
  <c r="AD7" i="1" s="1"/>
  <c r="AD8" i="1" s="1"/>
  <c r="AD9" i="1" s="1"/>
  <c r="AD10" i="1" s="1"/>
  <c r="AD11" i="1" s="1"/>
  <c r="AD12" i="1" s="1"/>
  <c r="AD13" i="1" s="1"/>
  <c r="AD14" i="1" s="1"/>
  <c r="AD15" i="1" s="1"/>
  <c r="AD16" i="1" s="1"/>
  <c r="AD17" i="1" s="1"/>
  <c r="AD18" i="1" s="1"/>
  <c r="AD19" i="1" s="1"/>
  <c r="AD20" i="1" s="1"/>
  <c r="AD21" i="1" s="1"/>
  <c r="AD22" i="1" s="1"/>
  <c r="AD23" i="1" s="1"/>
  <c r="AD24" i="1" s="1"/>
  <c r="AO19" i="1"/>
  <c r="AN34" i="1"/>
  <c r="AO34" i="1" s="1"/>
  <c r="F50" i="1"/>
  <c r="AN57" i="1"/>
  <c r="AO57" i="1" s="1"/>
  <c r="AO61" i="1"/>
  <c r="AO54" i="1"/>
  <c r="AO44" i="1"/>
  <c r="AO51" i="1"/>
  <c r="AN58" i="1"/>
  <c r="AO58" i="1" s="1"/>
  <c r="E7" i="1"/>
  <c r="F7" i="1" s="1"/>
  <c r="AN10" i="1"/>
  <c r="AO10" i="1" s="1"/>
  <c r="E23" i="1"/>
  <c r="F23" i="1" s="1"/>
  <c r="Z15" i="1"/>
  <c r="AA15" i="1" s="1"/>
  <c r="AG5" i="1"/>
  <c r="AH5" i="1" s="1"/>
  <c r="L7" i="1"/>
  <c r="M7" i="1" s="1"/>
  <c r="AN15" i="1"/>
  <c r="AO15" i="1" s="1"/>
  <c r="AG32" i="1"/>
  <c r="AH32" i="1" s="1"/>
  <c r="E14" i="1"/>
  <c r="F14" i="1" s="1"/>
  <c r="AN12" i="1"/>
  <c r="AO12" i="1" s="1"/>
  <c r="AN17" i="1"/>
  <c r="AO17" i="1" s="1"/>
  <c r="L11" i="1"/>
  <c r="M11" i="1" s="1"/>
  <c r="L19" i="1"/>
  <c r="M19" i="1" s="1"/>
  <c r="E9" i="1"/>
  <c r="F9" i="1" s="1"/>
  <c r="E11" i="1"/>
  <c r="F11" i="1" s="1"/>
  <c r="AN18" i="1"/>
  <c r="AO18" i="1" s="1"/>
  <c r="Z14" i="1"/>
  <c r="AA14" i="1" s="1"/>
  <c r="AN7" i="1"/>
  <c r="AO7" i="1" s="1"/>
  <c r="L13" i="1"/>
  <c r="M13" i="1" s="1"/>
  <c r="AN14" i="1"/>
  <c r="AO14" i="1" s="1"/>
  <c r="E5" i="1"/>
  <c r="F5" i="1" s="1"/>
  <c r="L16" i="1"/>
  <c r="M16" i="1" s="1"/>
  <c r="L17" i="1"/>
  <c r="M17" i="1" s="1"/>
  <c r="E6" i="1"/>
  <c r="F6" i="1" s="1"/>
  <c r="E8" i="1"/>
  <c r="F8" i="1" s="1"/>
  <c r="E10" i="1"/>
  <c r="F10" i="1" s="1"/>
  <c r="Z13" i="1"/>
  <c r="AA13" i="1" s="1"/>
  <c r="S19" i="1"/>
  <c r="T19" i="1" s="1"/>
  <c r="Z22" i="1"/>
  <c r="AA22" i="1" s="1"/>
  <c r="L14" i="1"/>
  <c r="M14" i="1" s="1"/>
  <c r="L9" i="1"/>
  <c r="M9" i="1" s="1"/>
  <c r="AN9" i="1"/>
  <c r="AO9" i="1" s="1"/>
  <c r="L5" i="1"/>
  <c r="M5" i="1" s="1"/>
  <c r="L6" i="1"/>
  <c r="M6" i="1" s="1"/>
  <c r="L8" i="1"/>
  <c r="M8" i="1" s="1"/>
  <c r="L10" i="1"/>
  <c r="M10" i="1" s="1"/>
  <c r="E12" i="1"/>
  <c r="F12" i="1" s="1"/>
  <c r="L15" i="1"/>
  <c r="M15" i="1" s="1"/>
  <c r="Z16" i="1"/>
  <c r="AA16" i="1" s="1"/>
  <c r="S18" i="1"/>
  <c r="T18" i="1" s="1"/>
  <c r="S20" i="1"/>
  <c r="T20" i="1" s="1"/>
  <c r="E24" i="1"/>
  <c r="F24" i="1" s="1"/>
  <c r="AG28" i="1"/>
  <c r="AH28" i="1" s="1"/>
  <c r="Z12" i="1"/>
  <c r="AA12" i="1" s="1"/>
  <c r="Z20" i="1"/>
  <c r="AA20" i="1" s="1"/>
  <c r="E13" i="1"/>
  <c r="F13" i="1" s="1"/>
  <c r="Z11" i="1"/>
  <c r="AA11" i="1" s="1"/>
  <c r="E16" i="1"/>
  <c r="F16" i="1" s="1"/>
  <c r="AN5" i="1"/>
  <c r="AO5" i="1" s="1"/>
  <c r="E15" i="1"/>
  <c r="F15" i="1" s="1"/>
  <c r="S5" i="1"/>
  <c r="T5" i="1" s="1"/>
  <c r="AN6" i="1"/>
  <c r="AO6" i="1" s="1"/>
  <c r="AN8" i="1"/>
  <c r="AO8" i="1" s="1"/>
  <c r="L12" i="1"/>
  <c r="M12" i="1" s="1"/>
  <c r="S23" i="1"/>
  <c r="T23" i="1" s="1"/>
  <c r="AN23" i="1"/>
  <c r="AO23" i="1" s="1"/>
  <c r="S24" i="1"/>
  <c r="T24" i="1" s="1"/>
  <c r="Z26" i="1"/>
  <c r="AA26" i="1" s="1"/>
  <c r="AN36" i="1"/>
  <c r="AO36" i="1" s="1"/>
  <c r="S45" i="1"/>
  <c r="T45" i="1" s="1"/>
  <c r="AN63" i="1"/>
  <c r="AO63" i="1" s="1"/>
  <c r="E17" i="1"/>
  <c r="F17" i="1" s="1"/>
  <c r="AO24" i="1"/>
  <c r="AG35" i="1"/>
  <c r="AH35" i="1" s="1"/>
  <c r="Z5" i="1"/>
  <c r="AA5" i="1" s="1"/>
  <c r="AO13" i="1"/>
  <c r="E21" i="1"/>
  <c r="F21" i="1" s="1"/>
  <c r="AN29" i="1"/>
  <c r="AO29" i="1" s="1"/>
  <c r="AN35" i="1"/>
  <c r="AO35" i="1" s="1"/>
  <c r="B838" i="1" s="1"/>
  <c r="AN56" i="1"/>
  <c r="AO56" i="1" s="1"/>
  <c r="Z19" i="1"/>
  <c r="AA19" i="1" s="1"/>
  <c r="AG29" i="1"/>
  <c r="AH29" i="1" s="1"/>
  <c r="L20" i="1"/>
  <c r="M20" i="1" s="1"/>
  <c r="E25" i="1"/>
  <c r="F25" i="1" s="1"/>
  <c r="AN43" i="1"/>
  <c r="AO43" i="1" s="1"/>
  <c r="S22" i="1"/>
  <c r="T22" i="1" s="1"/>
  <c r="AN16" i="1"/>
  <c r="AO16" i="1" s="1"/>
  <c r="E22" i="1"/>
  <c r="F22" i="1" s="1"/>
  <c r="AO25" i="1"/>
  <c r="AG27" i="1"/>
  <c r="AH27" i="1" s="1"/>
  <c r="E30" i="1"/>
  <c r="F30" i="1" s="1"/>
  <c r="AG31" i="1"/>
  <c r="AH31" i="1" s="1"/>
  <c r="L35" i="1"/>
  <c r="M35" i="1" s="1"/>
  <c r="AN39" i="1"/>
  <c r="AO39" i="1" s="1"/>
  <c r="AN42" i="1"/>
  <c r="AO42" i="1" s="1"/>
  <c r="C27" i="1"/>
  <c r="D27" i="1" s="1"/>
  <c r="B28" i="1"/>
  <c r="AO26" i="1"/>
  <c r="AO27" i="1"/>
  <c r="Z29" i="1"/>
  <c r="AA29" i="1" s="1"/>
  <c r="AO30" i="1"/>
  <c r="AO31" i="1"/>
  <c r="S35" i="1"/>
  <c r="T35" i="1" s="1"/>
  <c r="AN53" i="1"/>
  <c r="AO53" i="1" s="1"/>
  <c r="AO22" i="1"/>
  <c r="S30" i="1"/>
  <c r="T30" i="1" s="1"/>
  <c r="L30" i="1"/>
  <c r="M30" i="1" s="1"/>
  <c r="AG33" i="1"/>
  <c r="AH33" i="1" s="1"/>
  <c r="Z35" i="1"/>
  <c r="AA35" i="1" s="1"/>
  <c r="AN47" i="1"/>
  <c r="AO47" i="1" s="1"/>
  <c r="AN28" i="1"/>
  <c r="AO28" i="1" s="1"/>
  <c r="AN32" i="1"/>
  <c r="AO32" i="1" s="1"/>
  <c r="AN33" i="1"/>
  <c r="AO33" i="1" s="1"/>
  <c r="L50" i="1"/>
  <c r="M50" i="1" s="1"/>
  <c r="AN49" i="1"/>
  <c r="AO49" i="1" s="1"/>
  <c r="AN60" i="1"/>
  <c r="AO60" i="1" s="1"/>
  <c r="AN70" i="1"/>
  <c r="AO70" i="1" s="1"/>
  <c r="C26" i="1"/>
  <c r="D26" i="1" s="1"/>
  <c r="AO38" i="1"/>
  <c r="AN50" i="1"/>
  <c r="AO50" i="1" s="1"/>
  <c r="AN64" i="1"/>
  <c r="AO64" i="1" s="1"/>
  <c r="M40" i="1"/>
  <c r="AG45" i="1"/>
  <c r="AH45" i="1" s="1"/>
  <c r="E65" i="1"/>
  <c r="F65" i="1" s="1"/>
  <c r="AN66" i="1"/>
  <c r="AO66" i="1" s="1"/>
  <c r="E45" i="1"/>
  <c r="F45" i="1" s="1"/>
  <c r="S65" i="1"/>
  <c r="T65" i="1" s="1"/>
  <c r="AN40" i="1"/>
  <c r="AO40" i="1" s="1"/>
  <c r="Z41" i="1"/>
  <c r="AA41" i="1" s="1"/>
  <c r="AN46" i="1"/>
  <c r="AO46" i="1" s="1"/>
  <c r="T50" i="1"/>
  <c r="AN62" i="1"/>
  <c r="AO62" i="1" s="1"/>
  <c r="M45" i="1"/>
  <c r="AG51" i="1"/>
  <c r="AH51" i="1" s="1"/>
  <c r="AN52" i="1"/>
  <c r="AO52" i="1" s="1"/>
  <c r="AN69" i="1"/>
  <c r="AO69" i="1" s="1"/>
  <c r="L60" i="1"/>
  <c r="M60" i="1" s="1"/>
  <c r="AO65" i="1"/>
  <c r="Z53" i="1"/>
  <c r="AA53" i="1" s="1"/>
  <c r="L65" i="1"/>
  <c r="M65" i="1" s="1"/>
  <c r="F70" i="1"/>
  <c r="L70" i="1"/>
  <c r="M70" i="1" s="1"/>
  <c r="M55" i="1"/>
  <c r="AN59" i="1"/>
  <c r="AO59" i="1" s="1"/>
  <c r="AG61" i="1"/>
  <c r="AH61" i="1" s="1"/>
  <c r="Z65" i="1"/>
  <c r="AA65" i="1" s="1"/>
  <c r="AN55" i="1"/>
  <c r="AO55" i="1" s="1"/>
  <c r="E60" i="1"/>
  <c r="F60" i="1" s="1"/>
  <c r="S60" i="1"/>
  <c r="T60" i="1" s="1"/>
  <c r="AN67" i="1"/>
  <c r="AO67" i="1" s="1"/>
  <c r="J751" i="1" l="1" a="1"/>
  <c r="J751" i="1" s="1"/>
  <c r="J737" i="1" a="1"/>
  <c r="J737" i="1" s="1"/>
  <c r="J746" i="1" a="1"/>
  <c r="J746" i="1" s="1"/>
  <c r="J740" i="1" a="1"/>
  <c r="J740" i="1" s="1"/>
  <c r="J742" i="1" a="1"/>
  <c r="J742" i="1" s="1"/>
  <c r="J744" i="1" a="1"/>
  <c r="J744" i="1" s="1"/>
  <c r="J745" i="1" a="1"/>
  <c r="J745" i="1" s="1"/>
  <c r="J748" i="1" a="1"/>
  <c r="J748" i="1" s="1"/>
  <c r="J743" i="1" a="1"/>
  <c r="J743" i="1" s="1"/>
  <c r="J749" i="1" a="1"/>
  <c r="J749" i="1" s="1"/>
  <c r="J738" i="1" a="1"/>
  <c r="J738" i="1" s="1"/>
  <c r="J747" i="1" a="1"/>
  <c r="J747" i="1" s="1"/>
  <c r="J735" i="1" a="1"/>
  <c r="J735" i="1" s="1"/>
  <c r="J750" i="1" a="1"/>
  <c r="J750" i="1" s="1"/>
  <c r="J741" i="1" a="1"/>
  <c r="J741" i="1" s="1"/>
  <c r="J736" i="1" a="1"/>
  <c r="J736" i="1" s="1"/>
  <c r="J739" i="1" a="1"/>
  <c r="J739" i="1" s="1"/>
  <c r="J752" i="1" a="1"/>
  <c r="J752" i="1" s="1"/>
  <c r="J813" i="1" a="1"/>
  <c r="J813" i="1" s="1"/>
  <c r="J825" i="1" a="1"/>
  <c r="J825" i="1" s="1"/>
  <c r="J815" i="1" a="1"/>
  <c r="J815" i="1" s="1"/>
  <c r="J814" i="1" a="1"/>
  <c r="J814" i="1" s="1"/>
  <c r="J823" i="1" a="1"/>
  <c r="J823" i="1" s="1"/>
  <c r="J765" i="1" a="1"/>
  <c r="J765" i="1" s="1"/>
  <c r="J801" i="1" a="1"/>
  <c r="J801" i="1" s="1"/>
  <c r="J798" i="1" a="1"/>
  <c r="J798" i="1" s="1"/>
  <c r="J763" i="1" a="1"/>
  <c r="J763" i="1" s="1"/>
  <c r="J781" i="1" a="1"/>
  <c r="J781" i="1" s="1"/>
  <c r="J753" i="1" a="1"/>
  <c r="J753" i="1" s="1"/>
  <c r="J818" i="1" a="1"/>
  <c r="J818" i="1" s="1"/>
  <c r="J817" i="1" a="1"/>
  <c r="J817" i="1" s="1"/>
  <c r="J820" i="1" a="1"/>
  <c r="J820" i="1" s="1"/>
  <c r="J803" i="1" a="1"/>
  <c r="J803" i="1" s="1"/>
  <c r="J772" i="1" a="1"/>
  <c r="J772" i="1" s="1"/>
  <c r="J778" i="1" a="1"/>
  <c r="J778" i="1" s="1"/>
  <c r="J776" i="1" a="1"/>
  <c r="J776" i="1" s="1"/>
  <c r="J766" i="1" a="1"/>
  <c r="J766" i="1" s="1"/>
  <c r="J756" i="1" a="1"/>
  <c r="J756" i="1" s="1"/>
  <c r="J822" i="1" a="1"/>
  <c r="J822" i="1" s="1"/>
  <c r="J791" i="1" a="1"/>
  <c r="J791" i="1" s="1"/>
  <c r="J805" i="1" a="1"/>
  <c r="J805" i="1" s="1"/>
  <c r="J807" i="1" a="1"/>
  <c r="J807" i="1" s="1"/>
  <c r="J787" i="1" a="1"/>
  <c r="J787" i="1" s="1"/>
  <c r="J761" i="1" a="1"/>
  <c r="J761" i="1" s="1"/>
  <c r="J782" i="1" a="1"/>
  <c r="J782" i="1" s="1"/>
  <c r="J804" i="1" a="1"/>
  <c r="J804" i="1" s="1"/>
  <c r="J790" i="1" a="1"/>
  <c r="J790" i="1" s="1"/>
  <c r="J754" i="1" a="1"/>
  <c r="J754" i="1" s="1"/>
  <c r="J799" i="1" a="1"/>
  <c r="J799" i="1" s="1"/>
  <c r="J760" i="1" a="1"/>
  <c r="J760" i="1" s="1"/>
  <c r="J810" i="1" a="1"/>
  <c r="J810" i="1" s="1"/>
  <c r="J795" i="1" a="1"/>
  <c r="J795" i="1" s="1"/>
  <c r="J824" i="1" a="1"/>
  <c r="J824" i="1" s="1"/>
  <c r="J819" i="1" a="1"/>
  <c r="J819" i="1" s="1"/>
  <c r="J827" i="1" a="1"/>
  <c r="J827" i="1" s="1"/>
  <c r="J829" i="1" a="1"/>
  <c r="J829" i="1" s="1"/>
  <c r="J768" i="1" a="1"/>
  <c r="J768" i="1" s="1"/>
  <c r="J786" i="1" a="1"/>
  <c r="J786" i="1" s="1"/>
  <c r="J784" i="1" a="1"/>
  <c r="J784" i="1" s="1"/>
  <c r="J773" i="1" a="1"/>
  <c r="J773" i="1" s="1"/>
  <c r="J802" i="1" a="1"/>
  <c r="J802" i="1" s="1"/>
  <c r="J759" i="1" a="1"/>
  <c r="J759" i="1" s="1"/>
  <c r="J789" i="1" a="1"/>
  <c r="J789" i="1" s="1"/>
  <c r="J769" i="1" a="1"/>
  <c r="J769" i="1" s="1"/>
  <c r="J762" i="1" a="1"/>
  <c r="J762" i="1" s="1"/>
  <c r="J775" i="1" a="1"/>
  <c r="J775" i="1" s="1"/>
  <c r="J757" i="1" a="1"/>
  <c r="J757" i="1" s="1"/>
  <c r="J796" i="1" a="1"/>
  <c r="J796" i="1" s="1"/>
  <c r="J779" i="1" a="1"/>
  <c r="J779" i="1" s="1"/>
  <c r="J797" i="1" a="1"/>
  <c r="J797" i="1" s="1"/>
  <c r="J806" i="1" a="1"/>
  <c r="J806" i="1" s="1"/>
  <c r="J794" i="1" a="1"/>
  <c r="J794" i="1" s="1"/>
  <c r="J816" i="1" a="1"/>
  <c r="J816" i="1" s="1"/>
  <c r="J828" i="1" a="1"/>
  <c r="J828" i="1" s="1"/>
  <c r="J811" i="1" a="1"/>
  <c r="J811" i="1" s="1"/>
  <c r="J826" i="1" a="1"/>
  <c r="J826" i="1" s="1"/>
  <c r="J755" i="1" a="1"/>
  <c r="J755" i="1" s="1"/>
  <c r="J774" i="1" a="1"/>
  <c r="J774" i="1" s="1"/>
  <c r="J793" i="1" a="1"/>
  <c r="J793" i="1" s="1"/>
  <c r="J788" i="1" a="1"/>
  <c r="J788" i="1" s="1"/>
  <c r="J785" i="1" a="1"/>
  <c r="J785" i="1" s="1"/>
  <c r="J808" i="1" a="1"/>
  <c r="J808" i="1" s="1"/>
  <c r="J812" i="1" a="1"/>
  <c r="J812" i="1" s="1"/>
  <c r="J758" i="1" a="1"/>
  <c r="J758" i="1" s="1"/>
  <c r="J792" i="1" a="1"/>
  <c r="J792" i="1" s="1"/>
  <c r="J770" i="1" a="1"/>
  <c r="J770" i="1" s="1"/>
  <c r="J771" i="1" a="1"/>
  <c r="J771" i="1" s="1"/>
  <c r="J783" i="1" a="1"/>
  <c r="J783" i="1" s="1"/>
  <c r="J800" i="1" a="1"/>
  <c r="J800" i="1" s="1"/>
  <c r="J809" i="1" a="1"/>
  <c r="J809" i="1" s="1"/>
  <c r="J780" i="1" a="1"/>
  <c r="J780" i="1" s="1"/>
  <c r="J767" i="1" a="1"/>
  <c r="J767" i="1" s="1"/>
  <c r="J777" i="1" a="1"/>
  <c r="J777" i="1" s="1"/>
  <c r="J764" i="1" a="1"/>
  <c r="J764" i="1" s="1"/>
  <c r="J336" i="1" a="1"/>
  <c r="J336" i="1" s="1"/>
  <c r="J297" i="1" a="1"/>
  <c r="J297" i="1" s="1"/>
  <c r="J319" i="1" a="1"/>
  <c r="J319" i="1" s="1"/>
  <c r="J347" i="1" a="1"/>
  <c r="J347" i="1" s="1"/>
  <c r="J329" i="1" a="1"/>
  <c r="J329" i="1" s="1"/>
  <c r="J304" i="1" a="1"/>
  <c r="J304" i="1" s="1"/>
  <c r="J342" i="1" a="1"/>
  <c r="J342" i="1" s="1"/>
  <c r="J321" i="1" a="1"/>
  <c r="J321" i="1" s="1"/>
  <c r="J326" i="1" a="1"/>
  <c r="J326" i="1" s="1"/>
  <c r="J312" i="1" a="1"/>
  <c r="J312" i="1" s="1"/>
  <c r="J328" i="1" a="1"/>
  <c r="J328" i="1" s="1"/>
  <c r="J308" i="1" a="1"/>
  <c r="J308" i="1" s="1"/>
  <c r="J306" i="1" a="1"/>
  <c r="J306" i="1" s="1"/>
  <c r="J302" i="1" a="1"/>
  <c r="J302" i="1" s="1"/>
  <c r="J343" i="1" a="1"/>
  <c r="J343" i="1" s="1"/>
  <c r="J331" i="1" a="1"/>
  <c r="J331" i="1" s="1"/>
  <c r="J330" i="1" a="1"/>
  <c r="J330" i="1" s="1"/>
  <c r="J303" i="1" a="1"/>
  <c r="J303" i="1" s="1"/>
  <c r="J334" i="1" a="1"/>
  <c r="J334" i="1" s="1"/>
  <c r="J351" i="1" a="1"/>
  <c r="J351" i="1" s="1"/>
  <c r="J323" i="1" a="1"/>
  <c r="J323" i="1" s="1"/>
  <c r="J311" i="1" a="1"/>
  <c r="J311" i="1" s="1"/>
  <c r="J294" i="1" a="1"/>
  <c r="J294" i="1" s="1"/>
  <c r="J352" i="1" a="1"/>
  <c r="J352" i="1" s="1"/>
  <c r="J320" i="1" a="1"/>
  <c r="J320" i="1" s="1"/>
  <c r="J341" i="1" a="1"/>
  <c r="J341" i="1" s="1"/>
  <c r="J290" i="1" a="1"/>
  <c r="J290" i="1" s="1"/>
  <c r="J339" i="1" a="1"/>
  <c r="J339" i="1" s="1"/>
  <c r="J300" i="1" a="1"/>
  <c r="J300" i="1" s="1"/>
  <c r="J315" i="1" a="1"/>
  <c r="J315" i="1" s="1"/>
  <c r="J289" i="1" a="1"/>
  <c r="J289" i="1" s="1"/>
  <c r="J318" i="1" a="1"/>
  <c r="J318" i="1" s="1"/>
  <c r="J322" i="1" a="1"/>
  <c r="J322" i="1" s="1"/>
  <c r="J301" i="1" a="1"/>
  <c r="J301" i="1" s="1"/>
  <c r="J291" i="1" a="1"/>
  <c r="J291" i="1" s="1"/>
  <c r="J317" i="1" a="1"/>
  <c r="J317" i="1" s="1"/>
  <c r="J292" i="1" a="1"/>
  <c r="J292" i="1" s="1"/>
  <c r="J325" i="1" a="1"/>
  <c r="J325" i="1" s="1"/>
  <c r="J349" i="1" a="1"/>
  <c r="J349" i="1" s="1"/>
  <c r="J295" i="1" a="1"/>
  <c r="J295" i="1" s="1"/>
  <c r="J348" i="1" a="1"/>
  <c r="J348" i="1" s="1"/>
  <c r="J299" i="1" a="1"/>
  <c r="J299" i="1" s="1"/>
  <c r="J313" i="1" a="1"/>
  <c r="J313" i="1" s="1"/>
  <c r="J332" i="1" a="1"/>
  <c r="J332" i="1" s="1"/>
  <c r="J314" i="1" a="1"/>
  <c r="J314" i="1" s="1"/>
  <c r="J324" i="1" a="1"/>
  <c r="J324" i="1" s="1"/>
  <c r="J298" i="1" a="1"/>
  <c r="J298" i="1" s="1"/>
  <c r="J340" i="1" a="1"/>
  <c r="J340" i="1" s="1"/>
  <c r="J305" i="1" a="1"/>
  <c r="J305" i="1" s="1"/>
  <c r="J346" i="1" a="1"/>
  <c r="J346" i="1" s="1"/>
  <c r="J307" i="1" a="1"/>
  <c r="J307" i="1" s="1"/>
  <c r="J333" i="1" a="1"/>
  <c r="J333" i="1" s="1"/>
  <c r="J353" i="1" a="1"/>
  <c r="J353" i="1" s="1"/>
  <c r="J338" i="1" a="1"/>
  <c r="J338" i="1" s="1"/>
  <c r="J316" i="1" a="1"/>
  <c r="J316" i="1" s="1"/>
  <c r="J310" i="1" a="1"/>
  <c r="J310" i="1" s="1"/>
  <c r="J345" i="1" a="1"/>
  <c r="J345" i="1" s="1"/>
  <c r="J335" i="1" a="1"/>
  <c r="J335" i="1" s="1"/>
  <c r="J344" i="1" a="1"/>
  <c r="J344" i="1" s="1"/>
  <c r="J293" i="1" a="1"/>
  <c r="J293" i="1" s="1"/>
  <c r="J309" i="1" a="1"/>
  <c r="J309" i="1" s="1"/>
  <c r="J350" i="1" a="1"/>
  <c r="J350" i="1" s="1"/>
  <c r="J296" i="1" a="1"/>
  <c r="J296" i="1" s="1"/>
  <c r="J337" i="1" a="1"/>
  <c r="J337" i="1" s="1"/>
  <c r="J327" i="1" a="1"/>
  <c r="J327" i="1" s="1"/>
  <c r="J104" i="1" a="1"/>
  <c r="J104" i="1" s="1"/>
  <c r="J129" i="1" a="1"/>
  <c r="J129" i="1" s="1"/>
  <c r="J85" i="1" a="1"/>
  <c r="J85" i="1" s="1"/>
  <c r="J105" i="1" a="1"/>
  <c r="J105" i="1" s="1"/>
  <c r="J123" i="1" a="1"/>
  <c r="J123" i="1" s="1"/>
  <c r="J93" i="1" a="1"/>
  <c r="J93" i="1" s="1"/>
  <c r="J84" i="1" a="1"/>
  <c r="J84" i="1" s="1"/>
  <c r="J96" i="1" a="1"/>
  <c r="J96" i="1" s="1"/>
  <c r="J87" i="1" a="1"/>
  <c r="J87" i="1" s="1"/>
  <c r="J100" i="1" a="1"/>
  <c r="J100" i="1" s="1"/>
  <c r="J132" i="1" a="1"/>
  <c r="J132" i="1" s="1"/>
  <c r="J109" i="1" a="1"/>
  <c r="J109" i="1" s="1"/>
  <c r="J138" i="1" a="1"/>
  <c r="J138" i="1" s="1"/>
  <c r="J107" i="1" a="1"/>
  <c r="J107" i="1" s="1"/>
  <c r="J115" i="1" a="1"/>
  <c r="J115" i="1" s="1"/>
  <c r="J97" i="1" a="1"/>
  <c r="J97" i="1" s="1"/>
  <c r="J118" i="1" a="1"/>
  <c r="J118" i="1" s="1"/>
  <c r="J136" i="1" a="1"/>
  <c r="J136" i="1" s="1"/>
  <c r="J108" i="1" a="1"/>
  <c r="J108" i="1" s="1"/>
  <c r="J113" i="1" a="1"/>
  <c r="J113" i="1" s="1"/>
  <c r="J94" i="1" a="1"/>
  <c r="J94" i="1" s="1"/>
  <c r="J102" i="1" a="1"/>
  <c r="J102" i="1" s="1"/>
  <c r="J128" i="1" a="1"/>
  <c r="J128" i="1" s="1"/>
  <c r="J110" i="1" a="1"/>
  <c r="J110" i="1" s="1"/>
  <c r="J142" i="1" a="1"/>
  <c r="J142" i="1" s="1"/>
  <c r="J103" i="1" a="1"/>
  <c r="J103" i="1" s="1"/>
  <c r="J119" i="1" a="1"/>
  <c r="J119" i="1" s="1"/>
  <c r="J130" i="1" a="1"/>
  <c r="J130" i="1" s="1"/>
  <c r="J99" i="1" a="1"/>
  <c r="J99" i="1" s="1"/>
  <c r="J146" i="1" a="1"/>
  <c r="J146" i="1" s="1"/>
  <c r="J116" i="1" a="1"/>
  <c r="J116" i="1" s="1"/>
  <c r="J124" i="1" a="1"/>
  <c r="J124" i="1" s="1"/>
  <c r="J106" i="1" a="1"/>
  <c r="J106" i="1" s="1"/>
  <c r="J95" i="1" a="1"/>
  <c r="J95" i="1" s="1"/>
  <c r="J134" i="1" a="1"/>
  <c r="J134" i="1" s="1"/>
  <c r="J145" i="1" a="1"/>
  <c r="J145" i="1" s="1"/>
  <c r="J114" i="1" a="1"/>
  <c r="J114" i="1" s="1"/>
  <c r="J133" i="1" a="1"/>
  <c r="J133" i="1" s="1"/>
  <c r="J141" i="1" a="1"/>
  <c r="J141" i="1" s="1"/>
  <c r="J98" i="1" a="1"/>
  <c r="J98" i="1" s="1"/>
  <c r="J140" i="1" a="1"/>
  <c r="J140" i="1" s="1"/>
  <c r="J112" i="1" a="1"/>
  <c r="J112" i="1" s="1"/>
  <c r="J137" i="1" a="1"/>
  <c r="J137" i="1" s="1"/>
  <c r="J89" i="1" a="1"/>
  <c r="J89" i="1" s="1"/>
  <c r="J122" i="1" a="1"/>
  <c r="J122" i="1" s="1"/>
  <c r="J148" i="1" a="1"/>
  <c r="J148" i="1" s="1"/>
  <c r="J135" i="1" a="1"/>
  <c r="J135" i="1" s="1"/>
  <c r="J127" i="1" a="1"/>
  <c r="J127" i="1" s="1"/>
  <c r="J125" i="1" a="1"/>
  <c r="J125" i="1" s="1"/>
  <c r="J86" i="1" a="1"/>
  <c r="J86" i="1" s="1"/>
  <c r="J143" i="1" a="1"/>
  <c r="J143" i="1" s="1"/>
  <c r="J144" i="1" a="1"/>
  <c r="J144" i="1" s="1"/>
  <c r="J101" i="1" a="1"/>
  <c r="J101" i="1" s="1"/>
  <c r="J149" i="1" a="1"/>
  <c r="J149" i="1" s="1"/>
  <c r="J139" i="1" a="1"/>
  <c r="J139" i="1" s="1"/>
  <c r="J88" i="1" a="1"/>
  <c r="J88" i="1" s="1"/>
  <c r="J117" i="1" a="1"/>
  <c r="J117" i="1" s="1"/>
  <c r="J131" i="1" a="1"/>
  <c r="J131" i="1" s="1"/>
  <c r="J111" i="1" a="1"/>
  <c r="J111" i="1" s="1"/>
  <c r="J120" i="1" a="1"/>
  <c r="J120" i="1" s="1"/>
  <c r="J121" i="1" a="1"/>
  <c r="J121" i="1" s="1"/>
  <c r="J126" i="1" a="1"/>
  <c r="J126" i="1" s="1"/>
  <c r="J92" i="1" a="1"/>
  <c r="J92" i="1" s="1"/>
  <c r="J147" i="1" a="1"/>
  <c r="J147" i="1" s="1"/>
  <c r="J91" i="1" a="1"/>
  <c r="J91" i="1" s="1"/>
  <c r="J90" i="1" a="1"/>
  <c r="J90" i="1" s="1"/>
  <c r="J231" i="1" a="1"/>
  <c r="J231" i="1" s="1"/>
  <c r="J254" i="1" a="1"/>
  <c r="J254" i="1" s="1"/>
  <c r="J224" i="1" a="1"/>
  <c r="J224" i="1" s="1"/>
  <c r="J277" i="1" a="1"/>
  <c r="J277" i="1" s="1"/>
  <c r="J255" i="1" a="1"/>
  <c r="J255" i="1" s="1"/>
  <c r="J281" i="1" a="1"/>
  <c r="J281" i="1" s="1"/>
  <c r="J239" i="1" a="1"/>
  <c r="J239" i="1" s="1"/>
  <c r="J246" i="1" a="1"/>
  <c r="J246" i="1" s="1"/>
  <c r="J243" i="1" a="1"/>
  <c r="J243" i="1" s="1"/>
  <c r="J275" i="1" a="1"/>
  <c r="J275" i="1" s="1"/>
  <c r="J233" i="1" a="1"/>
  <c r="J233" i="1" s="1"/>
  <c r="J259" i="1" a="1"/>
  <c r="J259" i="1" s="1"/>
  <c r="J284" i="1" a="1"/>
  <c r="J284" i="1" s="1"/>
  <c r="J258" i="1" a="1"/>
  <c r="J258" i="1" s="1"/>
  <c r="J278" i="1" a="1"/>
  <c r="J278" i="1" s="1"/>
  <c r="J266" i="1" a="1"/>
  <c r="J266" i="1" s="1"/>
  <c r="J273" i="1" a="1"/>
  <c r="J273" i="1" s="1"/>
  <c r="J268" i="1" a="1"/>
  <c r="J268" i="1" s="1"/>
  <c r="J232" i="1" a="1"/>
  <c r="J232" i="1" s="1"/>
  <c r="J252" i="1" a="1"/>
  <c r="J252" i="1" s="1"/>
  <c r="J235" i="1" a="1"/>
  <c r="J235" i="1" s="1"/>
  <c r="J236" i="1" a="1"/>
  <c r="J236" i="1" s="1"/>
  <c r="J267" i="1" a="1"/>
  <c r="J267" i="1" s="1"/>
  <c r="J269" i="1" a="1"/>
  <c r="J269" i="1" s="1"/>
  <c r="J265" i="1" a="1"/>
  <c r="J265" i="1" s="1"/>
  <c r="J261" i="1" a="1"/>
  <c r="J261" i="1" s="1"/>
  <c r="J223" i="1" a="1"/>
  <c r="J223" i="1" s="1"/>
  <c r="J257" i="1" a="1"/>
  <c r="J257" i="1" s="1"/>
  <c r="J227" i="1" a="1"/>
  <c r="J227" i="1" s="1"/>
  <c r="J249" i="1" a="1"/>
  <c r="J249" i="1" s="1"/>
  <c r="J282" i="1" a="1"/>
  <c r="J282" i="1" s="1"/>
  <c r="J264" i="1" a="1"/>
  <c r="J264" i="1" s="1"/>
  <c r="J244" i="1" a="1"/>
  <c r="J244" i="1" s="1"/>
  <c r="J271" i="1" a="1"/>
  <c r="J271" i="1" s="1"/>
  <c r="J286" i="1" a="1"/>
  <c r="J286" i="1" s="1"/>
  <c r="J247" i="1" a="1"/>
  <c r="J247" i="1" s="1"/>
  <c r="J279" i="1" a="1"/>
  <c r="J279" i="1" s="1"/>
  <c r="J228" i="1" a="1"/>
  <c r="J228" i="1" s="1"/>
  <c r="J250" i="1" a="1"/>
  <c r="J250" i="1" s="1"/>
  <c r="J256" i="1" a="1"/>
  <c r="J256" i="1" s="1"/>
  <c r="J283" i="1" a="1"/>
  <c r="J283" i="1" s="1"/>
  <c r="J253" i="1" a="1"/>
  <c r="J253" i="1" s="1"/>
  <c r="J241" i="1" a="1"/>
  <c r="J241" i="1" s="1"/>
  <c r="J226" i="1" a="1"/>
  <c r="J226" i="1" s="1"/>
  <c r="J245" i="1" a="1"/>
  <c r="J245" i="1" s="1"/>
  <c r="J238" i="1" a="1"/>
  <c r="J238" i="1" s="1"/>
  <c r="J240" i="1" a="1"/>
  <c r="J240" i="1" s="1"/>
  <c r="J287" i="1" a="1"/>
  <c r="J287" i="1" s="1"/>
  <c r="J248" i="1" a="1"/>
  <c r="J248" i="1" s="1"/>
  <c r="J274" i="1" a="1"/>
  <c r="J274" i="1" s="1"/>
  <c r="J262" i="1" a="1"/>
  <c r="J262" i="1" s="1"/>
  <c r="J270" i="1" a="1"/>
  <c r="J270" i="1" s="1"/>
  <c r="J229" i="1" a="1"/>
  <c r="J229" i="1" s="1"/>
  <c r="J242" i="1" a="1"/>
  <c r="J242" i="1" s="1"/>
  <c r="J251" i="1" a="1"/>
  <c r="J251" i="1" s="1"/>
  <c r="J280" i="1" a="1"/>
  <c r="J280" i="1" s="1"/>
  <c r="J276" i="1" a="1"/>
  <c r="J276" i="1" s="1"/>
  <c r="J263" i="1" a="1"/>
  <c r="J263" i="1" s="1"/>
  <c r="J272" i="1" a="1"/>
  <c r="J272" i="1" s="1"/>
  <c r="J234" i="1" a="1"/>
  <c r="J234" i="1" s="1"/>
  <c r="J285" i="1" a="1"/>
  <c r="J285" i="1" s="1"/>
  <c r="J260" i="1" a="1"/>
  <c r="J260" i="1" s="1"/>
  <c r="J225" i="1" a="1"/>
  <c r="J225" i="1" s="1"/>
  <c r="J237" i="1" a="1"/>
  <c r="J237" i="1" s="1"/>
  <c r="J230" i="1" a="1"/>
  <c r="J230" i="1" s="1"/>
  <c r="J530" i="1" a="1"/>
  <c r="J530" i="1" s="1"/>
  <c r="J555" i="1" a="1"/>
  <c r="J555" i="1" s="1"/>
  <c r="J548" i="1" a="1"/>
  <c r="J548" i="1" s="1"/>
  <c r="J521" i="1" a="1"/>
  <c r="J521" i="1" s="1"/>
  <c r="J536" i="1" a="1"/>
  <c r="J536" i="1" s="1"/>
  <c r="J520" i="1" a="1"/>
  <c r="J520" i="1" s="1"/>
  <c r="J531" i="1" a="1"/>
  <c r="J531" i="1" s="1"/>
  <c r="J556" i="1" a="1"/>
  <c r="J556" i="1" s="1"/>
  <c r="J523" i="1" a="1"/>
  <c r="J523" i="1" s="1"/>
  <c r="J554" i="1" a="1"/>
  <c r="J554" i="1" s="1"/>
  <c r="J515" i="1" a="1"/>
  <c r="J515" i="1" s="1"/>
  <c r="J532" i="1" a="1"/>
  <c r="J532" i="1" s="1"/>
  <c r="J529" i="1" a="1"/>
  <c r="J529" i="1" s="1"/>
  <c r="J519" i="1" a="1"/>
  <c r="J519" i="1" s="1"/>
  <c r="J558" i="1" a="1"/>
  <c r="J558" i="1" s="1"/>
  <c r="J534" i="1" a="1"/>
  <c r="J534" i="1" s="1"/>
  <c r="J507" i="1" a="1"/>
  <c r="J507" i="1" s="1"/>
  <c r="J539" i="1" a="1"/>
  <c r="J539" i="1" s="1"/>
  <c r="J560" i="1" a="1"/>
  <c r="J560" i="1" s="1"/>
  <c r="J502" i="1" a="1"/>
  <c r="J502" i="1" s="1"/>
  <c r="J526" i="1" a="1"/>
  <c r="J526" i="1" s="1"/>
  <c r="J552" i="1" a="1"/>
  <c r="J552" i="1" s="1"/>
  <c r="J508" i="1" a="1"/>
  <c r="J508" i="1" s="1"/>
  <c r="J540" i="1" a="1"/>
  <c r="J540" i="1" s="1"/>
  <c r="J561" i="1" a="1"/>
  <c r="J561" i="1" s="1"/>
  <c r="J563" i="1" a="1"/>
  <c r="J563" i="1" s="1"/>
  <c r="J513" i="1" a="1"/>
  <c r="J513" i="1" s="1"/>
  <c r="J500" i="1" a="1"/>
  <c r="J500" i="1" s="1"/>
  <c r="J547" i="1" a="1"/>
  <c r="J547" i="1" s="1"/>
  <c r="J499" i="1" a="1"/>
  <c r="J499" i="1" s="1"/>
  <c r="J528" i="1" a="1"/>
  <c r="J528" i="1" s="1"/>
  <c r="J501" i="1" a="1"/>
  <c r="J501" i="1" s="1"/>
  <c r="J543" i="1" a="1"/>
  <c r="J543" i="1" s="1"/>
  <c r="J544" i="1" a="1"/>
  <c r="J544" i="1" s="1"/>
  <c r="J503" i="1" a="1"/>
  <c r="J503" i="1" s="1"/>
  <c r="J524" i="1" a="1"/>
  <c r="J524" i="1" s="1"/>
  <c r="J545" i="1" a="1"/>
  <c r="J545" i="1" s="1"/>
  <c r="J538" i="1" a="1"/>
  <c r="J538" i="1" s="1"/>
  <c r="J509" i="1" a="1"/>
  <c r="J509" i="1" s="1"/>
  <c r="J505" i="1" a="1"/>
  <c r="J505" i="1" s="1"/>
  <c r="J533" i="1" a="1"/>
  <c r="J533" i="1" s="1"/>
  <c r="J549" i="1" a="1"/>
  <c r="J549" i="1" s="1"/>
  <c r="J512" i="1" a="1"/>
  <c r="J512" i="1" s="1"/>
  <c r="J553" i="1" a="1"/>
  <c r="J553" i="1" s="1"/>
  <c r="J551" i="1" a="1"/>
  <c r="J551" i="1" s="1"/>
  <c r="J511" i="1" a="1"/>
  <c r="J511" i="1" s="1"/>
  <c r="J514" i="1" a="1"/>
  <c r="J514" i="1" s="1"/>
  <c r="J510" i="1" a="1"/>
  <c r="J510" i="1" s="1"/>
  <c r="J559" i="1" a="1"/>
  <c r="J559" i="1" s="1"/>
  <c r="J516" i="1" a="1"/>
  <c r="J516" i="1" s="1"/>
  <c r="J504" i="1" a="1"/>
  <c r="J504" i="1" s="1"/>
  <c r="J535" i="1" a="1"/>
  <c r="J535" i="1" s="1"/>
  <c r="J517" i="1" a="1"/>
  <c r="J517" i="1" s="1"/>
  <c r="J518" i="1" a="1"/>
  <c r="J518" i="1" s="1"/>
  <c r="J527" i="1" a="1"/>
  <c r="J527" i="1" s="1"/>
  <c r="J557" i="1" a="1"/>
  <c r="J557" i="1" s="1"/>
  <c r="J537" i="1" a="1"/>
  <c r="J537" i="1" s="1"/>
  <c r="J541" i="1" a="1"/>
  <c r="J541" i="1" s="1"/>
  <c r="J562" i="1" a="1"/>
  <c r="J562" i="1" s="1"/>
  <c r="J525" i="1" a="1"/>
  <c r="J525" i="1" s="1"/>
  <c r="J546" i="1" a="1"/>
  <c r="J546" i="1" s="1"/>
  <c r="J550" i="1" a="1"/>
  <c r="J550" i="1" s="1"/>
  <c r="J506" i="1" a="1"/>
  <c r="J506" i="1" s="1"/>
  <c r="J522" i="1" a="1"/>
  <c r="J522" i="1" s="1"/>
  <c r="J542" i="1" a="1"/>
  <c r="J542" i="1" s="1"/>
  <c r="J362" i="1" a="1"/>
  <c r="J362" i="1" s="1"/>
  <c r="J384" i="1" a="1"/>
  <c r="J384" i="1" s="1"/>
  <c r="J405" i="1" a="1"/>
  <c r="J405" i="1" s="1"/>
  <c r="J375" i="1" a="1"/>
  <c r="J375" i="1" s="1"/>
  <c r="J361" i="1" a="1"/>
  <c r="J361" i="1" s="1"/>
  <c r="J411" i="1" a="1"/>
  <c r="J411" i="1" s="1"/>
  <c r="J386" i="1" a="1"/>
  <c r="J386" i="1" s="1"/>
  <c r="J383" i="1" a="1"/>
  <c r="J383" i="1" s="1"/>
  <c r="J380" i="1" a="1"/>
  <c r="J380" i="1" s="1"/>
  <c r="J401" i="1" a="1"/>
  <c r="J401" i="1" s="1"/>
  <c r="J422" i="1" a="1"/>
  <c r="J422" i="1" s="1"/>
  <c r="J372" i="1" a="1"/>
  <c r="J372" i="1" s="1"/>
  <c r="J424" i="1" a="1"/>
  <c r="J424" i="1" s="1"/>
  <c r="J402" i="1" a="1"/>
  <c r="J402" i="1" s="1"/>
  <c r="J371" i="1" a="1"/>
  <c r="J371" i="1" s="1"/>
  <c r="J377" i="1" a="1"/>
  <c r="J377" i="1" s="1"/>
  <c r="J360" i="1" a="1"/>
  <c r="J360" i="1" s="1"/>
  <c r="J368" i="1" a="1"/>
  <c r="J368" i="1" s="1"/>
  <c r="J389" i="1" a="1"/>
  <c r="J389" i="1" s="1"/>
  <c r="J410" i="1" a="1"/>
  <c r="J410" i="1" s="1"/>
  <c r="J381" i="1" a="1"/>
  <c r="J381" i="1" s="1"/>
  <c r="J363" i="1" a="1"/>
  <c r="J363" i="1" s="1"/>
  <c r="J391" i="1" a="1"/>
  <c r="J391" i="1" s="1"/>
  <c r="J418" i="1" a="1"/>
  <c r="J418" i="1" s="1"/>
  <c r="J364" i="1" a="1"/>
  <c r="J364" i="1" s="1"/>
  <c r="J385" i="1" a="1"/>
  <c r="J385" i="1" s="1"/>
  <c r="J406" i="1" a="1"/>
  <c r="J406" i="1" s="1"/>
  <c r="J407" i="1" a="1"/>
  <c r="J407" i="1" s="1"/>
  <c r="J398" i="1" a="1"/>
  <c r="J398" i="1" s="1"/>
  <c r="J409" i="1" a="1"/>
  <c r="J409" i="1" s="1"/>
  <c r="J366" i="1" a="1"/>
  <c r="J366" i="1" s="1"/>
  <c r="J387" i="1" a="1"/>
  <c r="J387" i="1" s="1"/>
  <c r="J404" i="1" a="1"/>
  <c r="J404" i="1" s="1"/>
  <c r="J394" i="1" a="1"/>
  <c r="J394" i="1" s="1"/>
  <c r="J408" i="1" a="1"/>
  <c r="J408" i="1" s="1"/>
  <c r="J423" i="1" a="1"/>
  <c r="J423" i="1" s="1"/>
  <c r="J369" i="1" a="1"/>
  <c r="J369" i="1" s="1"/>
  <c r="J412" i="1" a="1"/>
  <c r="J412" i="1" s="1"/>
  <c r="J365" i="1" a="1"/>
  <c r="J365" i="1" s="1"/>
  <c r="J393" i="1" a="1"/>
  <c r="J393" i="1" s="1"/>
  <c r="J367" i="1" a="1"/>
  <c r="J367" i="1" s="1"/>
  <c r="J395" i="1" a="1"/>
  <c r="J395" i="1" s="1"/>
  <c r="J400" i="1" a="1"/>
  <c r="J400" i="1" s="1"/>
  <c r="J382" i="1" a="1"/>
  <c r="J382" i="1" s="1"/>
  <c r="J370" i="1" a="1"/>
  <c r="J370" i="1" s="1"/>
  <c r="J374" i="1" a="1"/>
  <c r="J374" i="1" s="1"/>
  <c r="J417" i="1" a="1"/>
  <c r="J417" i="1" s="1"/>
  <c r="J397" i="1" a="1"/>
  <c r="J397" i="1" s="1"/>
  <c r="J420" i="1" a="1"/>
  <c r="J420" i="1" s="1"/>
  <c r="J415" i="1" a="1"/>
  <c r="J415" i="1" s="1"/>
  <c r="J421" i="1" a="1"/>
  <c r="J421" i="1" s="1"/>
  <c r="J396" i="1" a="1"/>
  <c r="J396" i="1" s="1"/>
  <c r="J373" i="1" a="1"/>
  <c r="J373" i="1" s="1"/>
  <c r="J416" i="1" a="1"/>
  <c r="J416" i="1" s="1"/>
  <c r="J379" i="1" a="1"/>
  <c r="J379" i="1" s="1"/>
  <c r="J388" i="1" a="1"/>
  <c r="J388" i="1" s="1"/>
  <c r="J390" i="1" a="1"/>
  <c r="J390" i="1" s="1"/>
  <c r="J392" i="1" a="1"/>
  <c r="J392" i="1" s="1"/>
  <c r="J399" i="1" a="1"/>
  <c r="J399" i="1" s="1"/>
  <c r="J403" i="1" a="1"/>
  <c r="J403" i="1" s="1"/>
  <c r="J378" i="1" a="1"/>
  <c r="J378" i="1" s="1"/>
  <c r="J414" i="1" a="1"/>
  <c r="J414" i="1" s="1"/>
  <c r="J413" i="1" a="1"/>
  <c r="J413" i="1" s="1"/>
  <c r="J376" i="1" a="1"/>
  <c r="J376" i="1" s="1"/>
  <c r="J419" i="1" a="1"/>
  <c r="J419" i="1" s="1"/>
  <c r="J461" i="1" a="1"/>
  <c r="J461" i="1" s="1"/>
  <c r="J483" i="1" a="1"/>
  <c r="J483" i="1" s="1"/>
  <c r="J464" i="1" a="1"/>
  <c r="J464" i="1" s="1"/>
  <c r="J482" i="1" a="1"/>
  <c r="J482" i="1" s="1"/>
  <c r="J469" i="1" a="1"/>
  <c r="J469" i="1" s="1"/>
  <c r="J475" i="1" a="1"/>
  <c r="J475" i="1" s="1"/>
  <c r="J466" i="1" a="1"/>
  <c r="J466" i="1" s="1"/>
  <c r="J451" i="1" a="1"/>
  <c r="J451" i="1" s="1"/>
  <c r="J457" i="1" a="1"/>
  <c r="J457" i="1" s="1"/>
  <c r="J430" i="1" a="1"/>
  <c r="J430" i="1" s="1"/>
  <c r="J462" i="1" a="1"/>
  <c r="J462" i="1" s="1"/>
  <c r="J435" i="1" a="1"/>
  <c r="J435" i="1" s="1"/>
  <c r="J426" i="1" a="1"/>
  <c r="J426" i="1" s="1"/>
  <c r="J455" i="1" a="1"/>
  <c r="J455" i="1" s="1"/>
  <c r="J436" i="1" a="1"/>
  <c r="J436" i="1" s="1"/>
  <c r="J463" i="1" a="1"/>
  <c r="J463" i="1" s="1"/>
  <c r="J472" i="1" a="1"/>
  <c r="J472" i="1" s="1"/>
  <c r="J485" i="1" a="1"/>
  <c r="J485" i="1" s="1"/>
  <c r="J465" i="1" a="1"/>
  <c r="J465" i="1" s="1"/>
  <c r="J437" i="1" a="1"/>
  <c r="J437" i="1" s="1"/>
  <c r="J490" i="1" a="1"/>
  <c r="J490" i="1" s="1"/>
  <c r="J471" i="1" a="1"/>
  <c r="J471" i="1" s="1"/>
  <c r="J473" i="1" a="1"/>
  <c r="J473" i="1" s="1"/>
  <c r="J480" i="1" a="1"/>
  <c r="J480" i="1" s="1"/>
  <c r="J432" i="1" a="1"/>
  <c r="J432" i="1" s="1"/>
  <c r="J452" i="1" a="1"/>
  <c r="J452" i="1" s="1"/>
  <c r="J444" i="1" a="1"/>
  <c r="J444" i="1" s="1"/>
  <c r="J447" i="1" a="1"/>
  <c r="J447" i="1" s="1"/>
  <c r="J442" i="1" a="1"/>
  <c r="J442" i="1" s="1"/>
  <c r="J484" i="1" a="1"/>
  <c r="J484" i="1" s="1"/>
  <c r="J460" i="1" a="1"/>
  <c r="J460" i="1" s="1"/>
  <c r="J476" i="1" a="1"/>
  <c r="J476" i="1" s="1"/>
  <c r="J456" i="1" a="1"/>
  <c r="J456" i="1" s="1"/>
  <c r="J453" i="1" a="1"/>
  <c r="J453" i="1" s="1"/>
  <c r="J434" i="1" a="1"/>
  <c r="J434" i="1" s="1"/>
  <c r="J443" i="1" a="1"/>
  <c r="J443" i="1" s="1"/>
  <c r="J481" i="1" a="1"/>
  <c r="J481" i="1" s="1"/>
  <c r="J446" i="1" a="1"/>
  <c r="J446" i="1" s="1"/>
  <c r="J487" i="1" a="1"/>
  <c r="J487" i="1" s="1"/>
  <c r="J441" i="1" a="1"/>
  <c r="J441" i="1" s="1"/>
  <c r="J448" i="1" a="1"/>
  <c r="J448" i="1" s="1"/>
  <c r="J459" i="1" a="1"/>
  <c r="J459" i="1" s="1"/>
  <c r="J458" i="1" a="1"/>
  <c r="J458" i="1" s="1"/>
  <c r="J486" i="1" a="1"/>
  <c r="J486" i="1" s="1"/>
  <c r="J449" i="1" a="1"/>
  <c r="J449" i="1" s="1"/>
  <c r="J489" i="1" a="1"/>
  <c r="J489" i="1" s="1"/>
  <c r="J467" i="1" a="1"/>
  <c r="J467" i="1" s="1"/>
  <c r="J428" i="1" a="1"/>
  <c r="J428" i="1" s="1"/>
  <c r="J474" i="1" a="1"/>
  <c r="J474" i="1" s="1"/>
  <c r="J454" i="1" a="1"/>
  <c r="J454" i="1" s="1"/>
  <c r="J429" i="1" a="1"/>
  <c r="J429" i="1" s="1"/>
  <c r="J427" i="1" a="1"/>
  <c r="J427" i="1" s="1"/>
  <c r="J488" i="1" a="1"/>
  <c r="J488" i="1" s="1"/>
  <c r="J439" i="1" a="1"/>
  <c r="J439" i="1" s="1"/>
  <c r="J433" i="1" a="1"/>
  <c r="J433" i="1" s="1"/>
  <c r="J478" i="1" a="1"/>
  <c r="J478" i="1" s="1"/>
  <c r="J479" i="1" a="1"/>
  <c r="J479" i="1" s="1"/>
  <c r="J468" i="1" a="1"/>
  <c r="J468" i="1" s="1"/>
  <c r="J438" i="1" a="1"/>
  <c r="J438" i="1" s="1"/>
  <c r="J450" i="1" a="1"/>
  <c r="J450" i="1" s="1"/>
  <c r="J431" i="1" a="1"/>
  <c r="J431" i="1" s="1"/>
  <c r="J440" i="1" a="1"/>
  <c r="J440" i="1" s="1"/>
  <c r="J470" i="1" a="1"/>
  <c r="J470" i="1" s="1"/>
  <c r="J477" i="1" a="1"/>
  <c r="J477" i="1" s="1"/>
  <c r="J445" i="1" a="1"/>
  <c r="J445" i="1" s="1"/>
  <c r="J213" i="1" a="1"/>
  <c r="J213" i="1" s="1"/>
  <c r="J214" i="1" a="1"/>
  <c r="J214" i="1" s="1"/>
  <c r="J216" i="1" a="1"/>
  <c r="J216" i="1" s="1"/>
  <c r="J212" i="1" a="1"/>
  <c r="J212" i="1" s="1"/>
  <c r="J202" i="1" a="1"/>
  <c r="J202" i="1" s="1"/>
  <c r="J197" i="1" a="1"/>
  <c r="J197" i="1" s="1"/>
  <c r="J195" i="1" a="1"/>
  <c r="J195" i="1" s="1"/>
  <c r="J211" i="1" a="1"/>
  <c r="J211" i="1" s="1"/>
  <c r="J205" i="1" a="1"/>
  <c r="J205" i="1" s="1"/>
  <c r="J206" i="1" a="1"/>
  <c r="J206" i="1" s="1"/>
  <c r="J177" i="1" a="1"/>
  <c r="J177" i="1" s="1"/>
  <c r="J162" i="1" a="1"/>
  <c r="J162" i="1" s="1"/>
  <c r="J174" i="1" a="1"/>
  <c r="J174" i="1" s="1"/>
  <c r="J168" i="1" a="1"/>
  <c r="J168" i="1" s="1"/>
  <c r="J180" i="1" a="1"/>
  <c r="J180" i="1" s="1"/>
  <c r="J169" i="1" a="1"/>
  <c r="J169" i="1" s="1"/>
  <c r="J171" i="1" a="1"/>
  <c r="J171" i="1" s="1"/>
  <c r="J182" i="1" a="1"/>
  <c r="J182" i="1" s="1"/>
  <c r="J166" i="1" a="1"/>
  <c r="J166" i="1" s="1"/>
  <c r="J190" i="1" a="1"/>
  <c r="J190" i="1" s="1"/>
  <c r="J188" i="1" a="1"/>
  <c r="J188" i="1" s="1"/>
  <c r="J199" i="1" a="1"/>
  <c r="J199" i="1" s="1"/>
  <c r="J172" i="1" a="1"/>
  <c r="J172" i="1" s="1"/>
  <c r="J154" i="1" a="1"/>
  <c r="J154" i="1" s="1"/>
  <c r="J170" i="1" a="1"/>
  <c r="J170" i="1" s="1"/>
  <c r="J178" i="1" a="1"/>
  <c r="J178" i="1" s="1"/>
  <c r="J215" i="1" a="1"/>
  <c r="J215" i="1" s="1"/>
  <c r="J204" i="1" a="1"/>
  <c r="J204" i="1" s="1"/>
  <c r="J194" i="1" a="1"/>
  <c r="J194" i="1" s="1"/>
  <c r="J193" i="1" a="1"/>
  <c r="J193" i="1" s="1"/>
  <c r="J185" i="1" a="1"/>
  <c r="J185" i="1" s="1"/>
  <c r="J210" i="1" a="1"/>
  <c r="J210" i="1" s="1"/>
  <c r="J207" i="1" a="1"/>
  <c r="J207" i="1" s="1"/>
  <c r="J203" i="1" a="1"/>
  <c r="J203" i="1" s="1"/>
  <c r="J159" i="1" a="1"/>
  <c r="J159" i="1" s="1"/>
  <c r="J163" i="1" a="1"/>
  <c r="J163" i="1" s="1"/>
  <c r="J183" i="1" a="1"/>
  <c r="J183" i="1" s="1"/>
  <c r="J152" i="1" a="1"/>
  <c r="J152" i="1" s="1"/>
  <c r="J184" i="1" a="1"/>
  <c r="J184" i="1" s="1"/>
  <c r="J151" i="1" a="1"/>
  <c r="J151" i="1" s="1"/>
  <c r="J156" i="1" a="1"/>
  <c r="J156" i="1" s="1"/>
  <c r="J181" i="1" a="1"/>
  <c r="J181" i="1" s="1"/>
  <c r="J179" i="1" a="1"/>
  <c r="J179" i="1" s="1"/>
  <c r="J186" i="1" a="1"/>
  <c r="J186" i="1" s="1"/>
  <c r="J198" i="1" a="1"/>
  <c r="J198" i="1" s="1"/>
  <c r="J167" i="1" a="1"/>
  <c r="J167" i="1" s="1"/>
  <c r="J176" i="1" a="1"/>
  <c r="J176" i="1" s="1"/>
  <c r="J157" i="1" a="1"/>
  <c r="J157" i="1" s="1"/>
  <c r="J209" i="1" a="1"/>
  <c r="J209" i="1" s="1"/>
  <c r="J196" i="1" a="1"/>
  <c r="J196" i="1" s="1"/>
  <c r="J153" i="1" a="1"/>
  <c r="J153" i="1" s="1"/>
  <c r="J200" i="1" a="1"/>
  <c r="J200" i="1" s="1"/>
  <c r="J191" i="1" a="1"/>
  <c r="J191" i="1" s="1"/>
  <c r="J160" i="1" a="1"/>
  <c r="J160" i="1" s="1"/>
  <c r="J158" i="1" a="1"/>
  <c r="J158" i="1" s="1"/>
  <c r="J175" i="1" a="1"/>
  <c r="J175" i="1" s="1"/>
  <c r="J192" i="1" a="1"/>
  <c r="J192" i="1" s="1"/>
  <c r="J155" i="1" a="1"/>
  <c r="J155" i="1" s="1"/>
  <c r="J201" i="1" a="1"/>
  <c r="J201" i="1" s="1"/>
  <c r="J187" i="1" a="1"/>
  <c r="J187" i="1" s="1"/>
  <c r="J164" i="1" a="1"/>
  <c r="J164" i="1" s="1"/>
  <c r="J165" i="1" a="1"/>
  <c r="J165" i="1" s="1"/>
  <c r="J189" i="1" a="1"/>
  <c r="J189" i="1" s="1"/>
  <c r="J161" i="1" a="1"/>
  <c r="J161" i="1" s="1"/>
  <c r="J208" i="1" a="1"/>
  <c r="J208" i="1" s="1"/>
  <c r="J173" i="1" a="1"/>
  <c r="J173" i="1" s="1"/>
  <c r="J705" i="1" a="1"/>
  <c r="J705" i="1" s="1"/>
  <c r="J684" i="1" a="1"/>
  <c r="J684" i="1" s="1"/>
  <c r="J715" i="1" a="1"/>
  <c r="J715" i="1" s="1"/>
  <c r="J700" i="1" a="1"/>
  <c r="J700" i="1" s="1"/>
  <c r="J694" i="1" a="1"/>
  <c r="J694" i="1" s="1"/>
  <c r="J721" i="1" a="1"/>
  <c r="J721" i="1" s="1"/>
  <c r="J731" i="1" a="1"/>
  <c r="J731" i="1" s="1"/>
  <c r="J670" i="1" a="1"/>
  <c r="J670" i="1" s="1"/>
  <c r="J697" i="1" a="1"/>
  <c r="J697" i="1" s="1"/>
  <c r="J709" i="1" a="1"/>
  <c r="J709" i="1" s="1"/>
  <c r="J682" i="1" a="1"/>
  <c r="J682" i="1" s="1"/>
  <c r="J733" i="1" a="1"/>
  <c r="J733" i="1" s="1"/>
  <c r="J704" i="1" a="1"/>
  <c r="J704" i="1" s="1"/>
  <c r="J691" i="1" a="1"/>
  <c r="J691" i="1" s="1"/>
  <c r="J672" i="1" a="1"/>
  <c r="J672" i="1" s="1"/>
  <c r="J710" i="1" a="1"/>
  <c r="J710" i="1" s="1"/>
  <c r="J690" i="1" a="1"/>
  <c r="J690" i="1" s="1"/>
  <c r="J677" i="1" a="1"/>
  <c r="J677" i="1" s="1"/>
  <c r="J703" i="1" a="1"/>
  <c r="J703" i="1" s="1"/>
  <c r="J732" i="1" a="1"/>
  <c r="J732" i="1" s="1"/>
  <c r="J695" i="1" a="1"/>
  <c r="J695" i="1" s="1"/>
  <c r="J706" i="1" a="1"/>
  <c r="J706" i="1" s="1"/>
  <c r="J698" i="1" a="1"/>
  <c r="J698" i="1" s="1"/>
  <c r="J675" i="1" a="1"/>
  <c r="J675" i="1" s="1"/>
  <c r="J679" i="1" a="1"/>
  <c r="J679" i="1" s="1"/>
  <c r="J729" i="1" a="1"/>
  <c r="J729" i="1" s="1"/>
  <c r="J712" i="1" a="1"/>
  <c r="J712" i="1" s="1"/>
  <c r="J726" i="1" a="1"/>
  <c r="J726" i="1" s="1"/>
  <c r="J692" i="1" a="1"/>
  <c r="J692" i="1" s="1"/>
  <c r="J723" i="1" a="1"/>
  <c r="J723" i="1" s="1"/>
  <c r="J686" i="1" a="1"/>
  <c r="J686" i="1" s="1"/>
  <c r="J687" i="1" a="1"/>
  <c r="J687" i="1" s="1"/>
  <c r="J708" i="1" a="1"/>
  <c r="J708" i="1" s="1"/>
  <c r="J725" i="1" a="1"/>
  <c r="J725" i="1" s="1"/>
  <c r="J683" i="1" a="1"/>
  <c r="J683" i="1" s="1"/>
  <c r="J730" i="1" a="1"/>
  <c r="J730" i="1" s="1"/>
  <c r="J701" i="1" a="1"/>
  <c r="J701" i="1" s="1"/>
  <c r="J718" i="1" a="1"/>
  <c r="J718" i="1" s="1"/>
  <c r="J689" i="1" a="1"/>
  <c r="J689" i="1" s="1"/>
  <c r="J699" i="1" a="1"/>
  <c r="J699" i="1" s="1"/>
  <c r="J678" i="1" a="1"/>
  <c r="J678" i="1" s="1"/>
  <c r="J693" i="1" a="1"/>
  <c r="J693" i="1" s="1"/>
  <c r="J676" i="1" a="1"/>
  <c r="J676" i="1" s="1"/>
  <c r="J688" i="1" a="1"/>
  <c r="J688" i="1" s="1"/>
  <c r="J681" i="1" a="1"/>
  <c r="J681" i="1" s="1"/>
  <c r="J727" i="1" a="1"/>
  <c r="J727" i="1" s="1"/>
  <c r="J720" i="1" a="1"/>
  <c r="J720" i="1" s="1"/>
  <c r="J716" i="1" a="1"/>
  <c r="J716" i="1" s="1"/>
  <c r="J702" i="1" a="1"/>
  <c r="J702" i="1" s="1"/>
  <c r="J669" i="1" a="1"/>
  <c r="J669" i="1" s="1"/>
  <c r="J711" i="1" a="1"/>
  <c r="J711" i="1" s="1"/>
  <c r="J673" i="1" a="1"/>
  <c r="J673" i="1" s="1"/>
  <c r="J680" i="1" a="1"/>
  <c r="J680" i="1" s="1"/>
  <c r="J696" i="1" a="1"/>
  <c r="J696" i="1" s="1"/>
  <c r="J714" i="1" a="1"/>
  <c r="J714" i="1" s="1"/>
  <c r="J674" i="1" a="1"/>
  <c r="J674" i="1" s="1"/>
  <c r="J728" i="1" a="1"/>
  <c r="J728" i="1" s="1"/>
  <c r="J713" i="1" a="1"/>
  <c r="J713" i="1" s="1"/>
  <c r="J724" i="1" a="1"/>
  <c r="J724" i="1" s="1"/>
  <c r="J717" i="1" a="1"/>
  <c r="J717" i="1" s="1"/>
  <c r="J719" i="1" a="1"/>
  <c r="J719" i="1" s="1"/>
  <c r="J685" i="1" a="1"/>
  <c r="J685" i="1" s="1"/>
  <c r="J722" i="1" a="1"/>
  <c r="J722" i="1" s="1"/>
  <c r="J707" i="1" a="1"/>
  <c r="J707" i="1" s="1"/>
  <c r="J671" i="1" a="1"/>
  <c r="J671" i="1" s="1"/>
  <c r="J585" i="1" a="1"/>
  <c r="J585" i="1" s="1"/>
  <c r="J586" i="1" a="1"/>
  <c r="J586" i="1" s="1"/>
  <c r="J580" i="1" a="1"/>
  <c r="J580" i="1" s="1"/>
  <c r="J578" i="1" a="1"/>
  <c r="J578" i="1" s="1"/>
  <c r="J582" i="1" a="1"/>
  <c r="J582" i="1" s="1"/>
  <c r="J565" i="1" a="1"/>
  <c r="J565" i="1" s="1"/>
  <c r="J581" i="1" a="1"/>
  <c r="J581" i="1" s="1"/>
  <c r="J568" i="1" a="1"/>
  <c r="J568" i="1" s="1"/>
  <c r="J588" i="1" a="1"/>
  <c r="J588" i="1" s="1"/>
  <c r="J572" i="1" a="1"/>
  <c r="J572" i="1" s="1"/>
  <c r="J579" i="1" a="1"/>
  <c r="J579" i="1" s="1"/>
  <c r="J574" i="1" a="1"/>
  <c r="J574" i="1" s="1"/>
  <c r="J571" i="1" a="1"/>
  <c r="J571" i="1" s="1"/>
  <c r="J575" i="1" a="1"/>
  <c r="J575" i="1" s="1"/>
  <c r="J589" i="1" a="1"/>
  <c r="J589" i="1" s="1"/>
  <c r="J566" i="1" a="1"/>
  <c r="J566" i="1" s="1"/>
  <c r="J570" i="1" a="1"/>
  <c r="J570" i="1" s="1"/>
  <c r="J587" i="1" a="1"/>
  <c r="J587" i="1" s="1"/>
  <c r="J577" i="1" a="1"/>
  <c r="J577" i="1" s="1"/>
  <c r="J569" i="1" a="1"/>
  <c r="J569" i="1" s="1"/>
  <c r="J573" i="1" a="1"/>
  <c r="J573" i="1" s="1"/>
  <c r="J567" i="1" a="1"/>
  <c r="J567" i="1" s="1"/>
  <c r="J583" i="1" a="1"/>
  <c r="J583" i="1" s="1"/>
  <c r="J576" i="1" a="1"/>
  <c r="J576" i="1" s="1"/>
  <c r="J584" i="1" a="1"/>
  <c r="J584" i="1" s="1"/>
  <c r="J593" i="1" a="1"/>
  <c r="J593" i="1" s="1"/>
  <c r="J591" i="1" a="1"/>
  <c r="J591" i="1" s="1"/>
  <c r="J601" i="1" a="1"/>
  <c r="J601" i="1" s="1"/>
  <c r="J599" i="1" a="1"/>
  <c r="J599" i="1" s="1"/>
  <c r="J644" i="1" a="1"/>
  <c r="J644" i="1" s="1"/>
  <c r="J626" i="1" a="1"/>
  <c r="J626" i="1" s="1"/>
  <c r="J609" i="1" a="1"/>
  <c r="J609" i="1" s="1"/>
  <c r="J637" i="1" a="1"/>
  <c r="J637" i="1" s="1"/>
  <c r="J655" i="1" a="1"/>
  <c r="J655" i="1" s="1"/>
  <c r="J604" i="1" a="1"/>
  <c r="J604" i="1" s="1"/>
  <c r="J627" i="1" a="1"/>
  <c r="J627" i="1" s="1"/>
  <c r="J645" i="1" a="1"/>
  <c r="J645" i="1" s="1"/>
  <c r="J610" i="1" a="1"/>
  <c r="J610" i="1" s="1"/>
  <c r="J650" i="1" a="1"/>
  <c r="J650" i="1" s="1"/>
  <c r="J657" i="1" a="1"/>
  <c r="J657" i="1" s="1"/>
  <c r="J629" i="1" a="1"/>
  <c r="J629" i="1" s="1"/>
  <c r="J597" i="1" a="1"/>
  <c r="J597" i="1" s="1"/>
  <c r="J605" i="1" a="1"/>
  <c r="J605" i="1" s="1"/>
  <c r="J619" i="1" a="1"/>
  <c r="J619" i="1" s="1"/>
  <c r="J594" i="1" a="1"/>
  <c r="J594" i="1" s="1"/>
  <c r="J616" i="1" a="1"/>
  <c r="J616" i="1" s="1"/>
  <c r="J621" i="1" a="1"/>
  <c r="J621" i="1" s="1"/>
  <c r="J653" i="1" a="1"/>
  <c r="J653" i="1" s="1"/>
  <c r="J611" i="1" a="1"/>
  <c r="J611" i="1" s="1"/>
  <c r="J631" i="1" a="1"/>
  <c r="J631" i="1" s="1"/>
  <c r="J617" i="1" a="1"/>
  <c r="J617" i="1" s="1"/>
  <c r="J633" i="1" a="1"/>
  <c r="J633" i="1" s="1"/>
  <c r="J620" i="1" a="1"/>
  <c r="J620" i="1" s="1"/>
  <c r="J649" i="1" a="1"/>
  <c r="J649" i="1" s="1"/>
  <c r="J592" i="1" a="1"/>
  <c r="J592" i="1" s="1"/>
  <c r="J628" i="1" a="1"/>
  <c r="J628" i="1" s="1"/>
  <c r="J635" i="1" a="1"/>
  <c r="J635" i="1" s="1"/>
  <c r="J613" i="1" a="1"/>
  <c r="J613" i="1" s="1"/>
  <c r="J622" i="1" a="1"/>
  <c r="J622" i="1" s="1"/>
  <c r="J643" i="1" a="1"/>
  <c r="J643" i="1" s="1"/>
  <c r="J634" i="1" a="1"/>
  <c r="J634" i="1" s="1"/>
  <c r="J638" i="1" a="1"/>
  <c r="J638" i="1" s="1"/>
  <c r="J615" i="1" a="1"/>
  <c r="J615" i="1" s="1"/>
  <c r="J625" i="1" a="1"/>
  <c r="J625" i="1" s="1"/>
  <c r="J590" i="1" a="1"/>
  <c r="J590" i="1" s="1"/>
  <c r="J647" i="1" a="1"/>
  <c r="J647" i="1" s="1"/>
  <c r="J602" i="1" a="1"/>
  <c r="J602" i="1" s="1"/>
  <c r="J641" i="1" a="1"/>
  <c r="J641" i="1" s="1"/>
  <c r="J612" i="1" a="1"/>
  <c r="J612" i="1" s="1"/>
  <c r="J642" i="1" a="1"/>
  <c r="J642" i="1" s="1"/>
  <c r="J623" i="1" a="1"/>
  <c r="J623" i="1" s="1"/>
  <c r="J603" i="1" a="1"/>
  <c r="J603" i="1" s="1"/>
  <c r="J639" i="1" a="1"/>
  <c r="J639" i="1" s="1"/>
  <c r="J646" i="1" a="1"/>
  <c r="J646" i="1" s="1"/>
  <c r="J608" i="1" a="1"/>
  <c r="J608" i="1" s="1"/>
  <c r="J652" i="1" a="1"/>
  <c r="J652" i="1" s="1"/>
  <c r="J600" i="1" a="1"/>
  <c r="J600" i="1" s="1"/>
  <c r="J648" i="1" a="1"/>
  <c r="J648" i="1" s="1"/>
  <c r="J595" i="1" a="1"/>
  <c r="J595" i="1" s="1"/>
  <c r="J651" i="1" a="1"/>
  <c r="J651" i="1" s="1"/>
  <c r="J658" i="1" a="1"/>
  <c r="J658" i="1" s="1"/>
  <c r="J640" i="1" a="1"/>
  <c r="J640" i="1" s="1"/>
  <c r="J614" i="1" a="1"/>
  <c r="J614" i="1" s="1"/>
  <c r="J596" i="1" a="1"/>
  <c r="J596" i="1" s="1"/>
  <c r="J632" i="1" a="1"/>
  <c r="J632" i="1" s="1"/>
  <c r="J618" i="1" a="1"/>
  <c r="J618" i="1" s="1"/>
  <c r="J654" i="1" a="1"/>
  <c r="J654" i="1" s="1"/>
  <c r="J630" i="1" a="1"/>
  <c r="J630" i="1" s="1"/>
  <c r="J636" i="1" a="1"/>
  <c r="J636" i="1" s="1"/>
  <c r="J607" i="1" a="1"/>
  <c r="J607" i="1" s="1"/>
  <c r="J659" i="1" a="1"/>
  <c r="J659" i="1" s="1"/>
  <c r="J624" i="1" a="1"/>
  <c r="J624" i="1" s="1"/>
  <c r="J598" i="1" a="1"/>
  <c r="J598" i="1" s="1"/>
  <c r="J606" i="1" a="1"/>
  <c r="J606" i="1" s="1"/>
  <c r="J656" i="1" a="1"/>
  <c r="J656" i="1" s="1"/>
  <c r="AG195" i="1"/>
  <c r="AH195" i="1" s="1"/>
  <c r="AG190" i="1"/>
  <c r="AH190" i="1" s="1"/>
  <c r="AE76" i="1"/>
  <c r="AF76" i="1" s="1"/>
  <c r="AD77" i="1"/>
  <c r="AG220" i="1"/>
  <c r="AH220" i="1" s="1"/>
  <c r="AG75" i="1"/>
  <c r="AH75" i="1" s="1"/>
  <c r="AG185" i="1"/>
  <c r="AH185" i="1" s="1"/>
  <c r="AG221" i="1"/>
  <c r="AH221" i="1" s="1"/>
  <c r="AA10" i="1"/>
  <c r="AG26" i="1"/>
  <c r="AH26" i="1" s="1"/>
  <c r="B837" i="1"/>
  <c r="B839" i="1" s="1"/>
  <c r="D838" i="1"/>
  <c r="E26" i="1"/>
  <c r="F26" i="1" s="1"/>
  <c r="B29" i="1"/>
  <c r="C29" i="1" s="1"/>
  <c r="D29" i="1" s="1"/>
  <c r="C28" i="1"/>
  <c r="D28" i="1" s="1"/>
  <c r="E27" i="1"/>
  <c r="F27" i="1" s="1"/>
  <c r="F838" i="1" l="1"/>
  <c r="H838" i="1"/>
  <c r="F837" i="1"/>
  <c r="F839" i="1" s="1"/>
  <c r="H837" i="1"/>
  <c r="AD78" i="1"/>
  <c r="AE77" i="1"/>
  <c r="AF77" i="1" s="1"/>
  <c r="AG76" i="1"/>
  <c r="AH76" i="1" s="1"/>
  <c r="D849" i="1"/>
  <c r="E28" i="1"/>
  <c r="F28" i="1" s="1"/>
  <c r="E29" i="1"/>
  <c r="F29" i="1" s="1"/>
  <c r="AG77" i="1" l="1"/>
  <c r="AH77" i="1" s="1"/>
  <c r="AE78" i="1"/>
  <c r="AF78" i="1" s="1"/>
  <c r="AD79" i="1"/>
  <c r="H839" i="1"/>
  <c r="H840" i="1" s="1"/>
  <c r="AD80" i="1" l="1"/>
  <c r="AE80" i="1" s="1"/>
  <c r="AF80" i="1" s="1"/>
  <c r="AE79" i="1"/>
  <c r="AF79" i="1" s="1"/>
  <c r="AG78" i="1"/>
  <c r="AH78" i="1" s="1"/>
  <c r="H843" i="1"/>
  <c r="C66" i="1"/>
  <c r="D66" i="1" s="1"/>
  <c r="E66" i="1" s="1"/>
  <c r="C67" i="1"/>
  <c r="D67" i="1" s="1"/>
  <c r="C68" i="1"/>
  <c r="D68" i="1" s="1"/>
  <c r="AG79" i="1" l="1"/>
  <c r="AH79" i="1" s="1"/>
  <c r="AG80" i="1"/>
  <c r="AH80" i="1" s="1"/>
  <c r="E67" i="1"/>
  <c r="F67" i="1" s="1"/>
  <c r="E68" i="1"/>
  <c r="F68" i="1" s="1"/>
  <c r="C69" i="1"/>
  <c r="D69" i="1" s="1"/>
  <c r="F66" i="1"/>
  <c r="E69" i="1" l="1"/>
  <c r="F69" i="1" s="1"/>
  <c r="C61" i="1"/>
  <c r="D61" i="1" s="1"/>
  <c r="C62" i="1"/>
  <c r="D62" i="1" s="1"/>
  <c r="E62" i="1" s="1"/>
  <c r="C63" i="1"/>
  <c r="D63" i="1" s="1"/>
  <c r="C64" i="1"/>
  <c r="D64" i="1" s="1"/>
  <c r="E63" i="1" l="1"/>
  <c r="F63" i="1" s="1"/>
  <c r="E64" i="1"/>
  <c r="F64" i="1" s="1"/>
  <c r="E61" i="1"/>
  <c r="F61" i="1" s="1"/>
  <c r="F62" i="1"/>
  <c r="Q61" i="1"/>
  <c r="R61" i="1" s="1"/>
  <c r="Q63" i="1"/>
  <c r="R63" i="1" s="1"/>
  <c r="Q62" i="1"/>
  <c r="R62" i="1" s="1"/>
  <c r="S61" i="1" l="1"/>
  <c r="T61" i="1" s="1"/>
  <c r="S62" i="1"/>
  <c r="T62" i="1" s="1"/>
  <c r="Q64" i="1"/>
  <c r="R64" i="1" s="1"/>
  <c r="S63" i="1"/>
  <c r="T63" i="1" s="1"/>
  <c r="S64" i="1" l="1"/>
  <c r="T64" i="1" s="1"/>
  <c r="X54" i="1"/>
  <c r="Y54" i="1" s="1"/>
  <c r="X55" i="1"/>
  <c r="Y55" i="1" s="1"/>
  <c r="X56" i="1"/>
  <c r="Y56" i="1" s="1"/>
  <c r="X57" i="1" l="1"/>
  <c r="Y57" i="1" s="1"/>
  <c r="Z55" i="1"/>
  <c r="AA55" i="1" s="1"/>
  <c r="Z54" i="1"/>
  <c r="AA54" i="1" s="1"/>
  <c r="Z56" i="1"/>
  <c r="AA56" i="1" s="1"/>
  <c r="X58" i="1" l="1"/>
  <c r="Y58" i="1" s="1"/>
  <c r="Z57" i="1"/>
  <c r="AA57" i="1" s="1"/>
  <c r="X59" i="1" l="1"/>
  <c r="Y59" i="1" s="1"/>
  <c r="Z58" i="1"/>
  <c r="AA58" i="1" s="1"/>
  <c r="X60" i="1" l="1"/>
  <c r="Y60" i="1" s="1"/>
  <c r="Z59" i="1"/>
  <c r="AA59" i="1" s="1"/>
  <c r="Z60" i="1" l="1"/>
  <c r="AA60" i="1" s="1"/>
  <c r="X61" i="1"/>
  <c r="Y61" i="1" s="1"/>
  <c r="X62" i="1" l="1"/>
  <c r="Y62" i="1" s="1"/>
  <c r="Z61" i="1"/>
  <c r="AA61" i="1" s="1"/>
  <c r="X64" i="1" l="1"/>
  <c r="Y64" i="1" s="1"/>
  <c r="X63" i="1"/>
  <c r="Y63" i="1" s="1"/>
  <c r="Z62" i="1"/>
  <c r="AA62" i="1" s="1"/>
  <c r="Z63" i="1" l="1"/>
  <c r="AA63" i="1" s="1"/>
  <c r="Z64" i="1"/>
  <c r="AA64" i="1" s="1"/>
  <c r="J66" i="1"/>
  <c r="K66" i="1" s="1"/>
  <c r="J67" i="1" l="1"/>
  <c r="K67" i="1" s="1"/>
  <c r="L66" i="1"/>
  <c r="M66" i="1" s="1"/>
  <c r="J69" i="1" l="1"/>
  <c r="K69" i="1" s="1"/>
  <c r="J68" i="1"/>
  <c r="K68" i="1" s="1"/>
  <c r="L67" i="1"/>
  <c r="M67" i="1" s="1"/>
  <c r="L68" i="1" l="1"/>
  <c r="M68" i="1" s="1"/>
  <c r="L69" i="1"/>
  <c r="M69" i="1" s="1"/>
  <c r="Q15" i="1"/>
  <c r="R15" i="1" s="1"/>
  <c r="Q7" i="1"/>
  <c r="R7" i="1" s="1"/>
  <c r="Q6" i="1"/>
  <c r="R6" i="1" s="1"/>
  <c r="Q16" i="1"/>
  <c r="R16" i="1" s="1"/>
  <c r="S6" i="1" l="1"/>
  <c r="T6" i="1" s="1"/>
  <c r="S7" i="1"/>
  <c r="T7" i="1" s="1"/>
  <c r="Q8" i="1"/>
  <c r="R8" i="1" s="1"/>
  <c r="S15" i="1"/>
  <c r="T15" i="1" s="1"/>
  <c r="S16" i="1"/>
  <c r="T16" i="1" s="1"/>
  <c r="S8" i="1" l="1"/>
  <c r="T8" i="1" s="1"/>
  <c r="Q9" i="1"/>
  <c r="R9" i="1" s="1"/>
  <c r="S9" i="1" l="1"/>
  <c r="T9" i="1" s="1"/>
  <c r="Q10" i="1"/>
  <c r="R10" i="1" s="1"/>
  <c r="S10" i="1" l="1"/>
  <c r="T10" i="1" s="1"/>
  <c r="Q11" i="1"/>
  <c r="R11" i="1" s="1"/>
  <c r="S11" i="1" l="1"/>
  <c r="T11" i="1" s="1"/>
  <c r="Q12" i="1"/>
  <c r="R12" i="1" s="1"/>
  <c r="S12" i="1" l="1"/>
  <c r="T12" i="1" s="1"/>
  <c r="Q14" i="1"/>
  <c r="R14" i="1" s="1"/>
  <c r="Q13" i="1"/>
  <c r="R13" i="1" s="1"/>
  <c r="S13" i="1" l="1"/>
  <c r="T13" i="1" s="1"/>
  <c r="S14" i="1"/>
  <c r="T14" i="1" s="1"/>
  <c r="J61" i="1" l="1"/>
  <c r="K61" i="1" s="1"/>
  <c r="J62" i="1"/>
  <c r="K62" i="1" s="1"/>
  <c r="J63" i="1"/>
  <c r="K63" i="1" s="1"/>
  <c r="L63" i="1" s="1"/>
  <c r="J64" i="1"/>
  <c r="K64" i="1" s="1"/>
  <c r="L64" i="1" l="1"/>
  <c r="M64" i="1" s="1"/>
  <c r="L62" i="1"/>
  <c r="M62" i="1" s="1"/>
  <c r="M63" i="1"/>
  <c r="L61" i="1"/>
  <c r="M61" i="1" s="1"/>
  <c r="X48" i="1"/>
  <c r="Y48" i="1" s="1"/>
  <c r="Z48" i="1" s="1"/>
  <c r="X49" i="1"/>
  <c r="Y49" i="1" s="1"/>
  <c r="Z49" i="1" l="1"/>
  <c r="AA49" i="1" s="1"/>
  <c r="AA48" i="1"/>
  <c r="X50" i="1" l="1"/>
  <c r="Y50" i="1" s="1"/>
  <c r="X51" i="1" l="1"/>
  <c r="Y51" i="1" s="1"/>
  <c r="X52" i="1"/>
  <c r="Y52" i="1" s="1"/>
  <c r="Z50" i="1"/>
  <c r="AA50" i="1" s="1"/>
  <c r="Z52" i="1" l="1"/>
  <c r="AA52" i="1" s="1"/>
  <c r="Z51" i="1"/>
  <c r="AA51" i="1" s="1"/>
  <c r="C31" i="1"/>
  <c r="D31" i="1" s="1"/>
  <c r="E31" i="1" l="1"/>
  <c r="F31" i="1" s="1"/>
  <c r="C33" i="1"/>
  <c r="D33" i="1" s="1"/>
  <c r="C34" i="1"/>
  <c r="D34" i="1" s="1"/>
  <c r="C32" i="1"/>
  <c r="D32" i="1" s="1"/>
  <c r="E34" i="1" l="1"/>
  <c r="F34" i="1" s="1"/>
  <c r="E32" i="1"/>
  <c r="F32" i="1" s="1"/>
  <c r="E33" i="1"/>
  <c r="F33" i="1" s="1"/>
  <c r="C36" i="1"/>
  <c r="D36" i="1" s="1"/>
  <c r="E36" i="1" l="1"/>
  <c r="F36" i="1" s="1"/>
  <c r="C38" i="1"/>
  <c r="D38" i="1" s="1"/>
  <c r="C37" i="1"/>
  <c r="D37" i="1" s="1"/>
  <c r="C39" i="1"/>
  <c r="D39" i="1" s="1"/>
  <c r="E37" i="1" l="1"/>
  <c r="F37" i="1" s="1"/>
  <c r="E39" i="1"/>
  <c r="F39" i="1" s="1"/>
  <c r="E38" i="1"/>
  <c r="F38" i="1" s="1"/>
  <c r="C41" i="1"/>
  <c r="D41" i="1" s="1"/>
  <c r="E41" i="1" l="1"/>
  <c r="F41" i="1" s="1"/>
  <c r="C43" i="1"/>
  <c r="D43" i="1" s="1"/>
  <c r="E43" i="1" s="1"/>
  <c r="C42" i="1"/>
  <c r="D42" i="1" s="1"/>
  <c r="E42" i="1" s="1"/>
  <c r="C44" i="1"/>
  <c r="D44" i="1" s="1"/>
  <c r="F42" i="1" l="1"/>
  <c r="E44" i="1"/>
  <c r="F44" i="1" s="1"/>
  <c r="F43" i="1"/>
  <c r="C46" i="1"/>
  <c r="D46" i="1" s="1"/>
  <c r="E46" i="1" l="1"/>
  <c r="F46" i="1" s="1"/>
  <c r="C49" i="1"/>
  <c r="D49" i="1" s="1"/>
  <c r="C48" i="1"/>
  <c r="D48" i="1" s="1"/>
  <c r="E48" i="1" s="1"/>
  <c r="C47" i="1"/>
  <c r="D47" i="1" s="1"/>
  <c r="E47" i="1" s="1"/>
  <c r="F47" i="1" l="1"/>
  <c r="E49" i="1"/>
  <c r="F49" i="1" s="1"/>
  <c r="F48" i="1"/>
  <c r="C51" i="1"/>
  <c r="D51" i="1" s="1"/>
  <c r="E51" i="1" l="1"/>
  <c r="F51" i="1" s="1"/>
  <c r="C54" i="1"/>
  <c r="D54" i="1" s="1"/>
  <c r="E54" i="1" s="1"/>
  <c r="C53" i="1"/>
  <c r="D53" i="1" s="1"/>
  <c r="C52" i="1"/>
  <c r="D52" i="1" s="1"/>
  <c r="E52" i="1" s="1"/>
  <c r="F52" i="1" l="1"/>
  <c r="E53" i="1"/>
  <c r="F53" i="1" s="1"/>
  <c r="F54" i="1"/>
  <c r="C57" i="1"/>
  <c r="D57" i="1" s="1"/>
  <c r="C56" i="1"/>
  <c r="D56" i="1" s="1"/>
  <c r="E56" i="1" s="1"/>
  <c r="C59" i="1"/>
  <c r="D59" i="1" s="1"/>
  <c r="C58" i="1"/>
  <c r="D58" i="1" s="1"/>
  <c r="F56" i="1" l="1"/>
  <c r="E57" i="1"/>
  <c r="F57" i="1" s="1"/>
  <c r="E58" i="1"/>
  <c r="F58" i="1" s="1"/>
  <c r="E59" i="1"/>
  <c r="F59" i="1" s="1"/>
  <c r="J21" i="1" l="1"/>
  <c r="K21" i="1" s="1"/>
  <c r="L21" i="1" l="1"/>
  <c r="M21" i="1" s="1"/>
  <c r="J22" i="1"/>
  <c r="K22" i="1" s="1"/>
  <c r="J24" i="1"/>
  <c r="K24" i="1" s="1"/>
  <c r="J23" i="1"/>
  <c r="K23" i="1" s="1"/>
  <c r="L24" i="1" l="1"/>
  <c r="M24" i="1" s="1"/>
  <c r="L23" i="1"/>
  <c r="M23" i="1" s="1"/>
  <c r="L22" i="1"/>
  <c r="M22" i="1" s="1"/>
  <c r="J26" i="1"/>
  <c r="K26" i="1" s="1"/>
  <c r="L26" i="1" l="1"/>
  <c r="M26" i="1" s="1"/>
  <c r="J28" i="1"/>
  <c r="K28" i="1" s="1"/>
  <c r="J29" i="1"/>
  <c r="K29" i="1" s="1"/>
  <c r="J27" i="1"/>
  <c r="K27" i="1" s="1"/>
  <c r="L28" i="1" l="1"/>
  <c r="M28" i="1" s="1"/>
  <c r="L27" i="1"/>
  <c r="M27" i="1" s="1"/>
  <c r="L29" i="1"/>
  <c r="M29" i="1" s="1"/>
  <c r="J31" i="1"/>
  <c r="K31" i="1" s="1"/>
  <c r="L31" i="1" l="1"/>
  <c r="M31" i="1" s="1"/>
  <c r="J33" i="1"/>
  <c r="K33" i="1" s="1"/>
  <c r="J32" i="1"/>
  <c r="K32" i="1" s="1"/>
  <c r="J34" i="1"/>
  <c r="K34" i="1" s="1"/>
  <c r="L32" i="1" l="1"/>
  <c r="M32" i="1" s="1"/>
  <c r="L33" i="1"/>
  <c r="M33" i="1" s="1"/>
  <c r="L34" i="1"/>
  <c r="M34" i="1" s="1"/>
  <c r="J36" i="1"/>
  <c r="K36" i="1" s="1"/>
  <c r="L36" i="1" l="1"/>
  <c r="M36" i="1" s="1"/>
  <c r="J37" i="1"/>
  <c r="K37" i="1" s="1"/>
  <c r="J38" i="1"/>
  <c r="K38" i="1" s="1"/>
  <c r="J39" i="1"/>
  <c r="K39" i="1" s="1"/>
  <c r="L38" i="1" l="1"/>
  <c r="M38" i="1" s="1"/>
  <c r="L37" i="1"/>
  <c r="M37" i="1" s="1"/>
  <c r="L39" i="1"/>
  <c r="M39" i="1" s="1"/>
  <c r="J41" i="1"/>
  <c r="K41" i="1" s="1"/>
  <c r="J44" i="1"/>
  <c r="K44" i="1" s="1"/>
  <c r="J43" i="1"/>
  <c r="K43" i="1" s="1"/>
  <c r="J42" i="1"/>
  <c r="K42" i="1" s="1"/>
  <c r="L41" i="1" l="1"/>
  <c r="M41" i="1" s="1"/>
  <c r="L42" i="1"/>
  <c r="M42" i="1" s="1"/>
  <c r="L43" i="1"/>
  <c r="M43" i="1" s="1"/>
  <c r="L44" i="1"/>
  <c r="M44" i="1" s="1"/>
  <c r="J46" i="1"/>
  <c r="K46" i="1" s="1"/>
  <c r="L46" i="1" l="1"/>
  <c r="M46" i="1" s="1"/>
  <c r="J48" i="1"/>
  <c r="K48" i="1" s="1"/>
  <c r="J47" i="1"/>
  <c r="K47" i="1" s="1"/>
  <c r="J49" i="1"/>
  <c r="K49" i="1" s="1"/>
  <c r="L49" i="1" l="1"/>
  <c r="M49" i="1" s="1"/>
  <c r="L47" i="1"/>
  <c r="M47" i="1" s="1"/>
  <c r="L48" i="1"/>
  <c r="M48" i="1" s="1"/>
  <c r="J51" i="1"/>
  <c r="K51" i="1" s="1"/>
  <c r="L51" i="1" l="1"/>
  <c r="M51" i="1" s="1"/>
  <c r="J52" i="1"/>
  <c r="K52" i="1" s="1"/>
  <c r="J53" i="1"/>
  <c r="K53" i="1" s="1"/>
  <c r="J54" i="1"/>
  <c r="K54" i="1" s="1"/>
  <c r="L53" i="1" l="1"/>
  <c r="M53" i="1" s="1"/>
  <c r="L54" i="1"/>
  <c r="M54" i="1" s="1"/>
  <c r="L52" i="1"/>
  <c r="M52" i="1" s="1"/>
  <c r="J56" i="1"/>
  <c r="K56" i="1" s="1"/>
  <c r="J59" i="1" l="1"/>
  <c r="K59" i="1" s="1"/>
  <c r="J58" i="1"/>
  <c r="K58" i="1" s="1"/>
  <c r="L56" i="1"/>
  <c r="M56" i="1" s="1"/>
  <c r="J57" i="1"/>
  <c r="K57" i="1" s="1"/>
  <c r="L57" i="1" l="1"/>
  <c r="M57" i="1" s="1"/>
  <c r="L58" i="1"/>
  <c r="M58" i="1" s="1"/>
  <c r="L59" i="1"/>
  <c r="M59" i="1" s="1"/>
  <c r="Q25" i="1"/>
  <c r="R25" i="1" s="1"/>
  <c r="S25" i="1" l="1"/>
  <c r="T25" i="1" s="1"/>
  <c r="Q26" i="1"/>
  <c r="R26" i="1" s="1"/>
  <c r="Q28" i="1"/>
  <c r="R28" i="1" s="1"/>
  <c r="Q29" i="1"/>
  <c r="R29" i="1" s="1"/>
  <c r="Q27" i="1"/>
  <c r="R27" i="1" s="1"/>
  <c r="S26" i="1" l="1"/>
  <c r="T26" i="1" s="1"/>
  <c r="S28" i="1"/>
  <c r="T28" i="1" s="1"/>
  <c r="S29" i="1"/>
  <c r="T29" i="1" s="1"/>
  <c r="S27" i="1"/>
  <c r="T27" i="1" s="1"/>
  <c r="Q31" i="1"/>
  <c r="R31" i="1" s="1"/>
  <c r="S31" i="1" l="1"/>
  <c r="T31" i="1" s="1"/>
  <c r="Q33" i="1"/>
  <c r="R33" i="1" s="1"/>
  <c r="Q34" i="1"/>
  <c r="R34" i="1" s="1"/>
  <c r="Q32" i="1"/>
  <c r="R32" i="1" s="1"/>
  <c r="S34" i="1" l="1"/>
  <c r="T34" i="1" s="1"/>
  <c r="S33" i="1"/>
  <c r="T33" i="1" s="1"/>
  <c r="S32" i="1"/>
  <c r="T32" i="1" s="1"/>
  <c r="Q36" i="1"/>
  <c r="R36" i="1" s="1"/>
  <c r="S36" i="1" l="1"/>
  <c r="T36" i="1" s="1"/>
  <c r="Q37" i="1"/>
  <c r="R37" i="1" s="1"/>
  <c r="Q38" i="1"/>
  <c r="R38" i="1" s="1"/>
  <c r="S38" i="1" l="1"/>
  <c r="T38" i="1" s="1"/>
  <c r="S37" i="1"/>
  <c r="T37" i="1" s="1"/>
  <c r="Q39" i="1"/>
  <c r="R39" i="1" s="1"/>
  <c r="S39" i="1" l="1"/>
  <c r="T39" i="1" s="1"/>
  <c r="Q41" i="1"/>
  <c r="R41" i="1" s="1"/>
  <c r="S41" i="1" s="1"/>
  <c r="T41" i="1" l="1"/>
  <c r="Q42" i="1"/>
  <c r="R42" i="1" s="1"/>
  <c r="Q44" i="1"/>
  <c r="R44" i="1" s="1"/>
  <c r="S44" i="1" s="1"/>
  <c r="Q43" i="1"/>
  <c r="R43" i="1" s="1"/>
  <c r="S43" i="1" l="1"/>
  <c r="T43" i="1" s="1"/>
  <c r="S42" i="1"/>
  <c r="T42" i="1" s="1"/>
  <c r="T44" i="1"/>
  <c r="Q46" i="1"/>
  <c r="R46" i="1" s="1"/>
  <c r="S46" i="1" s="1"/>
  <c r="T46" i="1" l="1"/>
  <c r="Q47" i="1"/>
  <c r="R47" i="1" s="1"/>
  <c r="Q49" i="1"/>
  <c r="R49" i="1" s="1"/>
  <c r="Q48" i="1"/>
  <c r="R48" i="1" s="1"/>
  <c r="S48" i="1" s="1"/>
  <c r="S49" i="1" l="1"/>
  <c r="T49" i="1" s="1"/>
  <c r="S47" i="1"/>
  <c r="T47" i="1" s="1"/>
  <c r="T48" i="1"/>
  <c r="Q51" i="1"/>
  <c r="R51" i="1" s="1"/>
  <c r="S51" i="1" l="1"/>
  <c r="T51" i="1" s="1"/>
  <c r="Q52" i="1"/>
  <c r="R52" i="1" s="1"/>
  <c r="Q54" i="1"/>
  <c r="R54" i="1" s="1"/>
  <c r="Q53" i="1"/>
  <c r="R53" i="1" s="1"/>
  <c r="S53" i="1" l="1"/>
  <c r="T53" i="1" s="1"/>
  <c r="S54" i="1"/>
  <c r="T54" i="1" s="1"/>
  <c r="S52" i="1"/>
  <c r="T52" i="1" s="1"/>
  <c r="Q56" i="1"/>
  <c r="R56" i="1" s="1"/>
  <c r="Q57" i="1"/>
  <c r="R57" i="1" s="1"/>
  <c r="Q58" i="1"/>
  <c r="R58" i="1" s="1"/>
  <c r="S58" i="1" l="1"/>
  <c r="T58" i="1" s="1"/>
  <c r="S57" i="1"/>
  <c r="T57" i="1" s="1"/>
  <c r="S56" i="1"/>
  <c r="T56" i="1" s="1"/>
  <c r="Q59" i="1"/>
  <c r="R59" i="1" s="1"/>
  <c r="S59" i="1" l="1"/>
  <c r="T59" i="1" s="1"/>
  <c r="X24" i="1"/>
  <c r="Y24" i="1" s="1"/>
  <c r="Z24" i="1" l="1"/>
  <c r="AA24" i="1" s="1"/>
  <c r="X25" i="1"/>
  <c r="Y25" i="1" s="1"/>
  <c r="Z25" i="1" l="1"/>
  <c r="AA25" i="1" s="1"/>
  <c r="X27" i="1"/>
  <c r="Y27" i="1" s="1"/>
  <c r="Z27" i="1" l="1"/>
  <c r="AA27" i="1" s="1"/>
  <c r="X28" i="1"/>
  <c r="Y28" i="1" s="1"/>
  <c r="Z28" i="1" l="1"/>
  <c r="AA28" i="1" s="1"/>
  <c r="X30" i="1"/>
  <c r="Y30" i="1" s="1"/>
  <c r="Z30" i="1" l="1"/>
  <c r="AA30" i="1" s="1"/>
  <c r="X32" i="1"/>
  <c r="Y32" i="1" s="1"/>
  <c r="X31" i="1"/>
  <c r="Y31" i="1" s="1"/>
  <c r="X34" i="1"/>
  <c r="Y34" i="1" s="1"/>
  <c r="X33" i="1"/>
  <c r="Y33" i="1" s="1"/>
  <c r="Z33" i="1" l="1"/>
  <c r="AA33" i="1" s="1"/>
  <c r="Z34" i="1"/>
  <c r="AA34" i="1" s="1"/>
  <c r="Z31" i="1"/>
  <c r="AA31" i="1" s="1"/>
  <c r="Z32" i="1"/>
  <c r="AA32" i="1" s="1"/>
  <c r="X36" i="1"/>
  <c r="Y36" i="1" s="1"/>
  <c r="Z36" i="1" s="1"/>
  <c r="AA36" i="1" l="1"/>
  <c r="X38" i="1"/>
  <c r="Y38" i="1" s="1"/>
  <c r="Z38" i="1" s="1"/>
  <c r="X40" i="1"/>
  <c r="Y40" i="1" s="1"/>
  <c r="Z40" i="1" s="1"/>
  <c r="X37" i="1"/>
  <c r="Y37" i="1" s="1"/>
  <c r="X39" i="1"/>
  <c r="Y39" i="1" s="1"/>
  <c r="Z39" i="1" l="1"/>
  <c r="AA39" i="1" s="1"/>
  <c r="Z37" i="1"/>
  <c r="AA37" i="1" s="1"/>
  <c r="AA40" i="1"/>
  <c r="AA38" i="1"/>
  <c r="X42" i="1"/>
  <c r="Y42" i="1" s="1"/>
  <c r="X43" i="1"/>
  <c r="Y43" i="1" s="1"/>
  <c r="X44" i="1"/>
  <c r="Y44" i="1" s="1"/>
  <c r="Z44" i="1" l="1"/>
  <c r="AA44" i="1" s="1"/>
  <c r="Z43" i="1"/>
  <c r="AA43" i="1" s="1"/>
  <c r="Z42" i="1"/>
  <c r="AA42" i="1" s="1"/>
  <c r="X45" i="1" l="1"/>
  <c r="Y45" i="1" s="1"/>
  <c r="X46" i="1"/>
  <c r="Y46" i="1" s="1"/>
  <c r="Z46" i="1" l="1"/>
  <c r="AA46" i="1" s="1"/>
  <c r="Z45" i="1"/>
  <c r="AA45" i="1" s="1"/>
  <c r="AE36" i="1"/>
  <c r="AF36" i="1" s="1"/>
  <c r="AG36" i="1" l="1"/>
  <c r="AH36" i="1" s="1"/>
  <c r="AE42" i="1"/>
  <c r="AF42" i="1" s="1"/>
  <c r="AE44" i="1"/>
  <c r="AF44" i="1" s="1"/>
  <c r="AE40" i="1"/>
  <c r="AF40" i="1" s="1"/>
  <c r="AE43" i="1"/>
  <c r="AF43" i="1" s="1"/>
  <c r="AE37" i="1"/>
  <c r="AF37" i="1" s="1"/>
  <c r="AE41" i="1"/>
  <c r="AF41" i="1" s="1"/>
  <c r="AG41" i="1" s="1"/>
  <c r="AE38" i="1"/>
  <c r="AF38" i="1" s="1"/>
  <c r="AE39" i="1"/>
  <c r="AF39" i="1" s="1"/>
  <c r="AG44" i="1" l="1"/>
  <c r="AH44" i="1" s="1"/>
  <c r="AG43" i="1"/>
  <c r="AH43" i="1" s="1"/>
  <c r="AG42" i="1"/>
  <c r="AH42" i="1" s="1"/>
  <c r="AG37" i="1"/>
  <c r="AH37" i="1" s="1"/>
  <c r="AG40" i="1"/>
  <c r="AH40" i="1" s="1"/>
  <c r="AG38" i="1"/>
  <c r="AH38" i="1" s="1"/>
  <c r="AG39" i="1"/>
  <c r="AH39" i="1" s="1"/>
  <c r="AH41" i="1"/>
  <c r="AE46" i="1"/>
  <c r="AF46" i="1" s="1"/>
  <c r="AG46" i="1" l="1"/>
  <c r="AH46" i="1" s="1"/>
  <c r="AE48" i="1"/>
  <c r="AF48" i="1" s="1"/>
  <c r="AE49" i="1"/>
  <c r="AF49" i="1" s="1"/>
  <c r="AE47" i="1"/>
  <c r="AF47" i="1" s="1"/>
  <c r="AE50" i="1"/>
  <c r="AF50" i="1" s="1"/>
  <c r="AG50" i="1" s="1"/>
  <c r="AG49" i="1" l="1"/>
  <c r="AH49" i="1" s="1"/>
  <c r="AG47" i="1"/>
  <c r="AH47" i="1" s="1"/>
  <c r="AG48" i="1"/>
  <c r="AH48" i="1" s="1"/>
  <c r="AH50" i="1"/>
  <c r="AE52" i="1"/>
  <c r="AF52" i="1" s="1"/>
  <c r="AG52" i="1" l="1"/>
  <c r="AH52" i="1" s="1"/>
  <c r="AE56" i="1"/>
  <c r="AF56" i="1" s="1"/>
  <c r="AE59" i="1"/>
  <c r="AF59" i="1" s="1"/>
  <c r="AE55" i="1"/>
  <c r="AF55" i="1" s="1"/>
  <c r="AG55" i="1" s="1"/>
  <c r="AH55" i="1" s="1"/>
  <c r="AE57" i="1"/>
  <c r="AF57" i="1" s="1"/>
  <c r="AE60" i="1"/>
  <c r="AF60" i="1" s="1"/>
  <c r="AE58" i="1"/>
  <c r="AF58" i="1" s="1"/>
  <c r="AE53" i="1"/>
  <c r="AF53" i="1" s="1"/>
  <c r="AE54" i="1"/>
  <c r="AF54" i="1" s="1"/>
  <c r="AG56" i="1" l="1"/>
  <c r="AH56" i="1" s="1"/>
  <c r="AG59" i="1"/>
  <c r="AH59" i="1" s="1"/>
  <c r="AG60" i="1"/>
  <c r="AH60" i="1" s="1"/>
  <c r="AG53" i="1"/>
  <c r="AH53" i="1" s="1"/>
  <c r="AG57" i="1"/>
  <c r="AH57" i="1" s="1"/>
  <c r="AG58" i="1"/>
  <c r="AH58" i="1" s="1"/>
  <c r="AG54" i="1"/>
  <c r="AH54" i="1" s="1"/>
  <c r="AE62" i="1"/>
  <c r="AF62" i="1" s="1"/>
  <c r="AG62" i="1" l="1"/>
  <c r="AH62" i="1" s="1"/>
  <c r="AE69" i="1"/>
  <c r="AF69" i="1" s="1"/>
  <c r="AE68" i="1"/>
  <c r="AF68" i="1" s="1"/>
  <c r="AG68" i="1" s="1"/>
  <c r="AE70" i="1"/>
  <c r="AF70" i="1" s="1"/>
  <c r="AE67" i="1"/>
  <c r="AF67" i="1" s="1"/>
  <c r="AE66" i="1"/>
  <c r="AF66" i="1" s="1"/>
  <c r="AE65" i="1"/>
  <c r="AF65" i="1" s="1"/>
  <c r="AG65" i="1" s="1"/>
  <c r="AE63" i="1"/>
  <c r="AF63" i="1" s="1"/>
  <c r="AG63" i="1" s="1"/>
  <c r="AE64" i="1"/>
  <c r="AF64" i="1" s="1"/>
  <c r="AH63" i="1" l="1"/>
  <c r="AG64" i="1"/>
  <c r="AH64" i="1" s="1"/>
  <c r="AG67" i="1"/>
  <c r="AH67" i="1" s="1"/>
  <c r="AG69" i="1"/>
  <c r="AH69" i="1" s="1"/>
  <c r="AH68" i="1"/>
  <c r="AG70" i="1"/>
  <c r="AH70" i="1" s="1"/>
  <c r="AG66" i="1"/>
  <c r="AH66" i="1" s="1"/>
  <c r="AH65" i="1"/>
  <c r="AE72" i="1"/>
  <c r="AF72" i="1" s="1"/>
  <c r="AG72" i="1" l="1"/>
  <c r="AH72" i="1" s="1"/>
  <c r="AE10" i="1" l="1"/>
  <c r="AF10" i="1" s="1"/>
  <c r="AE12" i="1"/>
  <c r="AF12" i="1" s="1"/>
  <c r="AE7" i="1"/>
  <c r="AF7" i="1" s="1"/>
  <c r="AE19" i="1"/>
  <c r="AF19" i="1" s="1"/>
  <c r="AE14" i="1"/>
  <c r="AF14" i="1" s="1"/>
  <c r="AE15" i="1"/>
  <c r="AF15" i="1" s="1"/>
  <c r="AE22" i="1"/>
  <c r="AF22" i="1" s="1"/>
  <c r="AE20" i="1"/>
  <c r="AF20" i="1" s="1"/>
  <c r="AE21" i="1"/>
  <c r="AF21" i="1" s="1"/>
  <c r="AE6" i="1"/>
  <c r="AF6" i="1" s="1"/>
  <c r="AE17" i="1"/>
  <c r="AF17" i="1" s="1"/>
  <c r="AE11" i="1"/>
  <c r="AF11" i="1" s="1"/>
  <c r="AE9" i="1"/>
  <c r="AF9" i="1" s="1"/>
  <c r="AE13" i="1"/>
  <c r="AF13" i="1" s="1"/>
  <c r="AE24" i="1"/>
  <c r="AF24" i="1" s="1"/>
  <c r="AD25" i="1"/>
  <c r="AE25" i="1" s="1"/>
  <c r="AF25" i="1" s="1"/>
  <c r="AE8" i="1"/>
  <c r="AF8" i="1" s="1"/>
  <c r="AE18" i="1"/>
  <c r="AF18" i="1" s="1"/>
  <c r="AE16" i="1"/>
  <c r="AF16" i="1" s="1"/>
  <c r="AE23" i="1"/>
  <c r="AF23" i="1" s="1"/>
  <c r="AG19" i="1" l="1"/>
  <c r="AH19" i="1" s="1"/>
  <c r="AG15" i="1"/>
  <c r="AH15" i="1" s="1"/>
  <c r="AG23" i="1"/>
  <c r="AH23" i="1" s="1"/>
  <c r="AG16" i="1"/>
  <c r="AH16" i="1" s="1"/>
  <c r="AG13" i="1"/>
  <c r="AH13" i="1" s="1"/>
  <c r="AG9" i="1"/>
  <c r="AH9" i="1" s="1"/>
  <c r="AG25" i="1"/>
  <c r="AH25" i="1" s="1"/>
  <c r="AG6" i="1"/>
  <c r="AH6" i="1" s="1"/>
  <c r="AG12" i="1"/>
  <c r="AH12" i="1" s="1"/>
  <c r="AG24" i="1"/>
  <c r="AH24" i="1" s="1"/>
  <c r="AG11" i="1"/>
  <c r="AH11" i="1" s="1"/>
  <c r="AG17" i="1"/>
  <c r="AH17" i="1" s="1"/>
  <c r="AG21" i="1"/>
  <c r="AH21" i="1" s="1"/>
  <c r="AG18" i="1"/>
  <c r="AH18" i="1" s="1"/>
  <c r="AG20" i="1"/>
  <c r="AH20" i="1" s="1"/>
  <c r="AG7" i="1"/>
  <c r="AH7" i="1" s="1"/>
  <c r="AG22" i="1"/>
  <c r="AH22" i="1" s="1"/>
  <c r="AG8" i="1"/>
  <c r="AH8" i="1" s="1"/>
  <c r="AG10" i="1"/>
  <c r="AH10" i="1" s="1"/>
  <c r="AG14" i="1"/>
  <c r="AH14" i="1" s="1"/>
  <c r="X6" i="1"/>
  <c r="Y6" i="1" s="1"/>
  <c r="X8" i="1"/>
  <c r="Y8" i="1" s="1"/>
  <c r="X7" i="1"/>
  <c r="Y7" i="1" s="1"/>
  <c r="W9" i="1"/>
  <c r="X9" i="1" s="1"/>
  <c r="Y9" i="1" s="1"/>
  <c r="Z6" i="1" l="1"/>
  <c r="Z9" i="1"/>
  <c r="AA9" i="1" s="1"/>
  <c r="Z7" i="1"/>
  <c r="AA7" i="1" s="1"/>
  <c r="Z8" i="1"/>
  <c r="AA8" i="1" s="1"/>
  <c r="AA6" i="1" l="1"/>
  <c r="D837" i="1" s="1"/>
  <c r="D839" i="1" s="1"/>
  <c r="D840" i="1" s="1"/>
  <c r="D843" i="1" s="1"/>
</calcChain>
</file>

<file path=xl/sharedStrings.xml><?xml version="1.0" encoding="utf-8"?>
<sst xmlns="http://schemas.openxmlformats.org/spreadsheetml/2006/main" count="856" uniqueCount="99">
  <si>
    <t>Zone 1</t>
  </si>
  <si>
    <t>Surface</t>
  </si>
  <si>
    <t>Scénario</t>
  </si>
  <si>
    <t>Age de la coupe</t>
  </si>
  <si>
    <t>Bois de sciage</t>
  </si>
  <si>
    <t>Panneaux</t>
  </si>
  <si>
    <t>Stock total dans les produits récoltés (tCO2)</t>
  </si>
  <si>
    <t>Energie</t>
  </si>
  <si>
    <t>REE (tCO2)</t>
  </si>
  <si>
    <t>Référence</t>
  </si>
  <si>
    <t>Projet</t>
  </si>
  <si>
    <t>Zone 4</t>
  </si>
  <si>
    <t>Zone 2</t>
  </si>
  <si>
    <t>Zone 3</t>
  </si>
  <si>
    <t>Surface totale:</t>
  </si>
  <si>
    <t>Douglas:</t>
  </si>
  <si>
    <t>Cèdre:</t>
  </si>
  <si>
    <t>Zone 5</t>
  </si>
  <si>
    <t>Mélèze:</t>
  </si>
  <si>
    <t>Résultats</t>
  </si>
  <si>
    <t>Stock de carbone dans les produits bois récoltés sur le cycle de production dans le projet (tCO2)</t>
  </si>
  <si>
    <t>Stock de carbone dans les produits bois récoltés au bout de 30 ans dans le scénario de référence (tCO2)</t>
  </si>
  <si>
    <t>Différence sur les 30 ans</t>
  </si>
  <si>
    <t>Différence sur les cycles de production</t>
  </si>
  <si>
    <r>
      <t>REA</t>
    </r>
    <r>
      <rPr>
        <b/>
        <sz val="8"/>
        <color theme="1"/>
        <rFont val="Arial"/>
        <family val="2"/>
      </rPr>
      <t>produits</t>
    </r>
  </si>
  <si>
    <r>
      <t>REE</t>
    </r>
    <r>
      <rPr>
        <b/>
        <sz val="8"/>
        <color theme="1"/>
        <rFont val="Arial"/>
        <family val="2"/>
      </rPr>
      <t>substitution</t>
    </r>
  </si>
  <si>
    <t>Âge</t>
  </si>
  <si>
    <r>
      <t>V</t>
    </r>
    <r>
      <rPr>
        <sz val="8"/>
        <color theme="1"/>
        <rFont val="Arial"/>
        <family val="2"/>
      </rPr>
      <t>7</t>
    </r>
    <r>
      <rPr>
        <sz val="12"/>
        <color theme="1"/>
        <rFont val="Arial"/>
        <family val="2"/>
      </rPr>
      <t xml:space="preserve"> (m3/ha)</t>
    </r>
  </si>
  <si>
    <r>
      <t>V</t>
    </r>
    <r>
      <rPr>
        <sz val="9"/>
        <color theme="1"/>
        <rFont val="Arial"/>
        <family val="2"/>
      </rPr>
      <t xml:space="preserve">tot </t>
    </r>
    <r>
      <rPr>
        <sz val="12"/>
        <color theme="1"/>
        <rFont val="Arial"/>
        <family val="2"/>
      </rPr>
      <t>(m3/ha)</t>
    </r>
  </si>
  <si>
    <t>Biomasse aérienne (tMS/ha)</t>
  </si>
  <si>
    <t>Biomasse racinaire (tMS/ha)</t>
  </si>
  <si>
    <t>Stock de carbone total (tCO2/ha)</t>
  </si>
  <si>
    <t>Données table de production</t>
  </si>
  <si>
    <t>Données méthode forestière</t>
  </si>
  <si>
    <t>Stock de carbone à l'année 30 du projet (tCO2):</t>
  </si>
  <si>
    <t>Stock de carbone à l'année 30 du scénario de référence (tCO2):</t>
  </si>
  <si>
    <t>Différence de stock carbone à l'année 30 (tCO2):</t>
  </si>
  <si>
    <t>Différence entre les stocks moyens de carbone (tCO2):</t>
  </si>
  <si>
    <r>
      <t>REA</t>
    </r>
    <r>
      <rPr>
        <b/>
        <sz val="8"/>
        <color theme="1"/>
        <rFont val="Arial"/>
        <family val="2"/>
      </rPr>
      <t>forêt</t>
    </r>
  </si>
  <si>
    <t>Rabais n°2</t>
  </si>
  <si>
    <t>Rabais n°3</t>
  </si>
  <si>
    <t>Essence de reboisement : Pin laricio - classe de fertilité I</t>
  </si>
  <si>
    <t>Essence de reboisement : Douglas - classe de fertilité I</t>
  </si>
  <si>
    <t>Essence de reboisement : Douglas - classe de fertilité II</t>
  </si>
  <si>
    <t>Essence de reboisement : Mélèze - Classe de productivité 14 m3/ha/an</t>
  </si>
  <si>
    <t>Essence de reboisement : Cèdre - classe de fertilité II</t>
  </si>
  <si>
    <t>Scénario de référence : accrus de bouleau - productivité 1m3/ha/an</t>
  </si>
  <si>
    <t>InfraFs</t>
  </si>
  <si>
    <t>InfraRx</t>
  </si>
  <si>
    <t>TauxC</t>
  </si>
  <si>
    <t>InfraDg</t>
  </si>
  <si>
    <t>InfraMel</t>
  </si>
  <si>
    <t>InfraCed</t>
  </si>
  <si>
    <t>InfraPinL</t>
  </si>
  <si>
    <t>InfraBoul</t>
  </si>
  <si>
    <t>InfraHet</t>
  </si>
  <si>
    <t>Csol</t>
  </si>
  <si>
    <t>Clitiere</t>
  </si>
  <si>
    <t>MasseMol</t>
  </si>
  <si>
    <t>Sciage</t>
  </si>
  <si>
    <t>Demi-vie</t>
  </si>
  <si>
    <t>DecCours</t>
  </si>
  <si>
    <t>DecPasse</t>
  </si>
  <si>
    <t>Coefficient de substitution</t>
  </si>
  <si>
    <t>Forêt</t>
  </si>
  <si>
    <t>Produits bois</t>
  </si>
  <si>
    <t>Stock de carbone dans les produits bois récoltés sur le cycle de production dans le scénario de référence (tCO2)</t>
  </si>
  <si>
    <t>REEsubstitution</t>
  </si>
  <si>
    <t>Réductions d'émissions totales générables</t>
  </si>
  <si>
    <t>Masse molaire pour la tonne de CO2/ha</t>
  </si>
  <si>
    <t>rabais pour risque climatique</t>
  </si>
  <si>
    <t>rabais pour manque de devis travaux</t>
  </si>
  <si>
    <t>Stock de carbone dans les produits bois récoltés au bout de 30 ans dans le projet (tCO2)</t>
  </si>
  <si>
    <t>Stock moyen de carbone sur les cycles de production du projet (tCO2):</t>
  </si>
  <si>
    <t>Stock moyen de carbone sur le cycle de production du scénario de référence (tCO2):</t>
  </si>
  <si>
    <t>Répartition du volume exploité en produits</t>
  </si>
  <si>
    <t>Volume bois fort récolté (m3)</t>
  </si>
  <si>
    <t>Emballage/Coffrage</t>
  </si>
  <si>
    <t>Infradensités des différentes essences fournies par la méthode (Annexe 4)</t>
  </si>
  <si>
    <t>Carbone stocké dans le sol (en tC/ha, cf. méthode)</t>
  </si>
  <si>
    <t>Carbone stocké dans la litière (tC/ha, cf. méthode)</t>
  </si>
  <si>
    <t>Valeurs de demi-vie et coefficients de substitution fournis par la méthode</t>
  </si>
  <si>
    <t xml:space="preserve">Les variables DecCours et DecPasse sont issues de l'équation 9 de la méthode pour calculer la dynamique du stock carbone dans les produits bois </t>
  </si>
  <si>
    <t>Taux de carbone dans la matière sèche tC/tMS</t>
  </si>
  <si>
    <t>Emballage/coffrage</t>
  </si>
  <si>
    <t>Réduction d'émission de l'empreinte (effet «substitution»)</t>
  </si>
  <si>
    <t>Part du volume exploité en bois de chauffage</t>
  </si>
  <si>
    <t>Commentaire 1 : Pour les premières années, les tables de production ne fournissant pas des données de volume, ceux-ci ont été déterminés par régression polynomiale pour chaque essence. Pour le scénario de référence, les données de production indiquées dans la méthode ont été utilisées.</t>
  </si>
  <si>
    <t>Commentaire 3 : Pour les années de coupe communes à deux essences résineuses (années 30 et 60 zone 5), une infradensité moyenne résineux a été utilisée pour les calculs.</t>
  </si>
  <si>
    <t>Commentaire 4 : Tous les résultats qui suivent sont exprimés en tCO2 à l'échelle du projet</t>
  </si>
  <si>
    <t>Commentaire 2 : Les produits issus des volumes éclaircis du peuplement de reboisement se répartissent dans les trois débouchés suivants : Bois de sciage, panneaux et emballage/coffrage. La méthode forestière suivie ne fournissant pas de temps de demi-vie pour le débouché emballage/coffrage nous avons considéré que celui-ci était le même que le temps de demi-vie pour le papier. En effet, les produits allant en emballage/coffrage sont généralement moins durables que les débouchés panneaux et sciage. De plus, une étude de mars 2018 menée pour le compte de l'ADEME par le FCBA en partenariat avec AgroParisTech et CNPF donne pour le douglas en débouché emballage une durée de vie de 4 ans.</t>
  </si>
  <si>
    <t>Rapport projet GESFOR (ADEME)</t>
  </si>
  <si>
    <t>Stock de carbone (tCO2) issu de la coupe à l'année n</t>
  </si>
  <si>
    <t>Stock de carbone (tCO2) issu de la coupe de l'année n</t>
  </si>
  <si>
    <t>Commentaire : récolte du peuplement dépérissant répartit en 3 % de bois de sciage feuillus et 46,75 % de bois de sciage résineux d'où la différenciation sur le stock de carbone au niveau de l'infradensité</t>
  </si>
  <si>
    <t>Commentaire : récolte du peuplement dépérissant : 3 % de sciage feuillus et 55,25% de sciage résineux</t>
  </si>
  <si>
    <t>Commentaire : récolte du peuplement dépérissant : 56,25% de sciage résineux et 5% de sciage feuillus</t>
  </si>
  <si>
    <t>Commentaire : 4 % en sciage feuillus et 52% en sciage résineux issus de la récolte du peuplement dépérissant</t>
  </si>
  <si>
    <t>Commentaire : 4% de sciage feuillus et 56% de sciage résineux issus de la récolte du peuplement dépérissant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</si>
</sst>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 #,##0.00_)\ _€_ ;_ * \(#,##0.00\)\ _€_ ;_ * &quot;-&quot;??_)\ _€_ ;_ @_ "/>
    <numFmt numFmtId="165" formatCode="0.0000000"/>
    <numFmt numFmtId="166" formatCode="0.0000"/>
    <numFmt numFmtId="167" formatCode="0.0"/>
    <numFmt numFmtId="168" formatCode="_ * #,##0_)\ _€_ ;_ * \(#,##0\)\ _€_ ;_ * &quot;-&quot;??_)\ _€_ ;_ @_ "/>
  </numFmts>
  <fonts count="16" x14ac:knownFonts="1">
    <font>
      <sz val="12"/>
      <color theme="1"/>
      <name val="Calibri"/>
      <family val="2"/>
      <scheme val="minor"/>
    </font>
    <font>
      <sz val="12"/>
      <color rgb="FFFF0000"/>
      <name val="Calibri"/>
      <family val="2"/>
      <scheme val="minor"/>
    </font>
    <font>
      <b/>
      <sz val="12"/>
      <color theme="1"/>
      <name val="Calibri"/>
      <family val="2"/>
      <scheme val="minor"/>
    </font>
    <font>
      <b/>
      <sz val="16"/>
      <color theme="1"/>
      <name val="Arial"/>
      <family val="2"/>
    </font>
    <font>
      <b/>
      <sz val="12"/>
      <color theme="1"/>
      <name val="Arial"/>
      <family val="2"/>
    </font>
    <font>
      <b/>
      <sz val="8"/>
      <color theme="1"/>
      <name val="Arial"/>
      <family val="2"/>
    </font>
    <font>
      <sz val="12"/>
      <color theme="1"/>
      <name val="Arial"/>
      <family val="2"/>
    </font>
    <font>
      <sz val="8"/>
      <color theme="1"/>
      <name val="Arial"/>
      <family val="2"/>
    </font>
    <font>
      <sz val="9"/>
      <color theme="1"/>
      <name val="Arial"/>
      <family val="2"/>
    </font>
    <font>
      <sz val="10"/>
      <color theme="1"/>
      <name val="Arial"/>
      <family val="2"/>
    </font>
    <font>
      <b/>
      <sz val="14"/>
      <color theme="1"/>
      <name val="Arial"/>
      <family val="2"/>
    </font>
    <font>
      <b/>
      <sz val="14"/>
      <color theme="1"/>
      <name val="Calibri"/>
      <family val="2"/>
      <scheme val="minor"/>
    </font>
    <font>
      <sz val="12"/>
      <color theme="1"/>
      <name val="Calibri"/>
      <family val="2"/>
      <scheme val="minor"/>
    </font>
    <font>
      <i/>
      <sz val="12"/>
      <color theme="1"/>
      <name val="Arial"/>
      <family val="2"/>
    </font>
    <font>
      <i/>
      <sz val="12"/>
      <color theme="1"/>
      <name val="Calibri"/>
      <family val="2"/>
      <scheme val="minor"/>
    </font>
    <font>
      <u/>
      <sz val="12"/>
      <color theme="10"/>
      <name val="Calibri"/>
      <family val="2"/>
      <scheme val="minor"/>
    </font>
  </fonts>
  <fills count="7">
    <fill>
      <patternFill patternType="none"/>
    </fill>
    <fill>
      <patternFill patternType="gray125"/>
    </fill>
    <fill>
      <patternFill patternType="solid">
        <fgColor theme="3"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5" tint="0.39997558519241921"/>
        <bgColor indexed="64"/>
      </patternFill>
    </fill>
  </fills>
  <borders count="5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auto="1"/>
      </left>
      <right style="thin">
        <color auto="1"/>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thin">
        <color indexed="64"/>
      </bottom>
      <diagonal/>
    </border>
    <border>
      <left style="medium">
        <color indexed="64"/>
      </left>
      <right style="medium">
        <color indexed="64"/>
      </right>
      <top/>
      <bottom/>
      <diagonal/>
    </border>
    <border>
      <left/>
      <right style="thin">
        <color auto="1"/>
      </right>
      <top/>
      <bottom/>
      <diagonal/>
    </border>
    <border>
      <left style="thin">
        <color auto="1"/>
      </left>
      <right style="thin">
        <color auto="1"/>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thin">
        <color auto="1"/>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style="thin">
        <color auto="1"/>
      </right>
      <top/>
      <bottom style="thin">
        <color auto="1"/>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auto="1"/>
      </right>
      <top/>
      <bottom/>
      <diagonal/>
    </border>
    <border>
      <left style="thin">
        <color indexed="64"/>
      </left>
      <right/>
      <top style="thin">
        <color indexed="64"/>
      </top>
      <bottom style="thin">
        <color indexed="64"/>
      </bottom>
      <diagonal/>
    </border>
  </borders>
  <cellStyleXfs count="3">
    <xf numFmtId="0" fontId="0" fillId="0" borderId="0"/>
    <xf numFmtId="164" fontId="12" fillId="0" borderId="0" applyFont="0" applyFill="0" applyBorder="0" applyAlignment="0" applyProtection="0"/>
    <xf numFmtId="0" fontId="15" fillId="0" borderId="0" applyNumberFormat="0" applyFill="0" applyBorder="0" applyAlignment="0" applyProtection="0"/>
  </cellStyleXfs>
  <cellXfs count="189">
    <xf numFmtId="0" fontId="0" fillId="0" borderId="0" xfId="0"/>
    <xf numFmtId="0" fontId="2" fillId="2" borderId="1" xfId="0" applyFont="1" applyFill="1" applyBorder="1"/>
    <xf numFmtId="0" fontId="2" fillId="2" borderId="2" xfId="0" applyFont="1" applyFill="1" applyBorder="1"/>
    <xf numFmtId="10" fontId="0" fillId="0" borderId="0" xfId="0" applyNumberFormat="1"/>
    <xf numFmtId="165" fontId="0" fillId="0" borderId="0" xfId="0" applyNumberFormat="1"/>
    <xf numFmtId="166" fontId="0" fillId="0" borderId="0" xfId="0" applyNumberFormat="1"/>
    <xf numFmtId="0" fontId="0" fillId="0" borderId="0" xfId="0" applyBorder="1"/>
    <xf numFmtId="0" fontId="2" fillId="0" borderId="0" xfId="0" applyFont="1" applyFill="1" applyBorder="1"/>
    <xf numFmtId="0" fontId="2" fillId="3" borderId="5" xfId="0" applyFont="1" applyFill="1" applyBorder="1" applyAlignment="1">
      <alignment horizontal="center"/>
    </xf>
    <xf numFmtId="165" fontId="2" fillId="3" borderId="5" xfId="0" applyNumberFormat="1" applyFont="1" applyFill="1" applyBorder="1" applyAlignment="1">
      <alignment horizontal="center"/>
    </xf>
    <xf numFmtId="166" fontId="2" fillId="3" borderId="5" xfId="0" applyNumberFormat="1" applyFont="1" applyFill="1" applyBorder="1"/>
    <xf numFmtId="0" fontId="2" fillId="3" borderId="6" xfId="0" applyFont="1" applyFill="1" applyBorder="1"/>
    <xf numFmtId="0" fontId="2" fillId="3" borderId="7" xfId="0" applyFont="1" applyFill="1" applyBorder="1"/>
    <xf numFmtId="0" fontId="0" fillId="0" borderId="8" xfId="0" applyBorder="1"/>
    <xf numFmtId="0" fontId="0" fillId="0" borderId="9" xfId="0" applyBorder="1"/>
    <xf numFmtId="10" fontId="0" fillId="0" borderId="9" xfId="0" applyNumberFormat="1" applyBorder="1"/>
    <xf numFmtId="165" fontId="0" fillId="0" borderId="9" xfId="0" applyNumberFormat="1" applyBorder="1"/>
    <xf numFmtId="0" fontId="0" fillId="0" borderId="10" xfId="0" applyBorder="1"/>
    <xf numFmtId="0" fontId="2" fillId="3" borderId="11" xfId="0" applyFont="1" applyFill="1" applyBorder="1"/>
    <xf numFmtId="0" fontId="0" fillId="0" borderId="12" xfId="0" applyBorder="1"/>
    <xf numFmtId="0" fontId="0" fillId="0" borderId="13" xfId="0" applyBorder="1"/>
    <xf numFmtId="10" fontId="0" fillId="0" borderId="13" xfId="0" applyNumberFormat="1" applyBorder="1"/>
    <xf numFmtId="165" fontId="0" fillId="0" borderId="13" xfId="0" applyNumberFormat="1" applyBorder="1"/>
    <xf numFmtId="166" fontId="0" fillId="0" borderId="13" xfId="0" applyNumberFormat="1" applyBorder="1"/>
    <xf numFmtId="0" fontId="2" fillId="3" borderId="15" xfId="0" applyFont="1" applyFill="1" applyBorder="1"/>
    <xf numFmtId="0" fontId="0" fillId="0" borderId="16" xfId="0" applyBorder="1"/>
    <xf numFmtId="0" fontId="0" fillId="0" borderId="17" xfId="0" applyBorder="1"/>
    <xf numFmtId="10" fontId="0" fillId="0" borderId="17" xfId="0" applyNumberFormat="1" applyBorder="1"/>
    <xf numFmtId="165" fontId="0" fillId="0" borderId="17" xfId="0" applyNumberFormat="1" applyBorder="1"/>
    <xf numFmtId="166" fontId="0" fillId="0" borderId="17" xfId="0" applyNumberFormat="1" applyBorder="1"/>
    <xf numFmtId="0" fontId="0" fillId="0" borderId="18" xfId="0" applyBorder="1"/>
    <xf numFmtId="0" fontId="0" fillId="0" borderId="19" xfId="0" applyBorder="1"/>
    <xf numFmtId="166" fontId="0" fillId="0" borderId="0" xfId="0" applyNumberFormat="1" applyBorder="1"/>
    <xf numFmtId="0" fontId="0" fillId="0" borderId="20" xfId="0" applyBorder="1"/>
    <xf numFmtId="0" fontId="0" fillId="0" borderId="21" xfId="0" applyBorder="1"/>
    <xf numFmtId="0" fontId="0" fillId="0" borderId="16" xfId="0" applyFill="1" applyBorder="1"/>
    <xf numFmtId="0" fontId="0" fillId="0" borderId="22" xfId="0" applyBorder="1"/>
    <xf numFmtId="0" fontId="0" fillId="0" borderId="12" xfId="0" applyFill="1" applyBorder="1"/>
    <xf numFmtId="0" fontId="2" fillId="2" borderId="23" xfId="0" applyFont="1" applyFill="1" applyBorder="1"/>
    <xf numFmtId="10" fontId="1" fillId="0" borderId="0" xfId="0" applyNumberFormat="1" applyFont="1"/>
    <xf numFmtId="0" fontId="2" fillId="0" borderId="25" xfId="0" applyFont="1" applyFill="1" applyBorder="1"/>
    <xf numFmtId="0" fontId="2" fillId="2" borderId="26" xfId="0" applyFont="1" applyFill="1" applyBorder="1" applyAlignment="1">
      <alignment horizontal="right"/>
    </xf>
    <xf numFmtId="0" fontId="2" fillId="2" borderId="28" xfId="0" applyFont="1" applyFill="1" applyBorder="1" applyAlignment="1">
      <alignment horizontal="right"/>
    </xf>
    <xf numFmtId="0" fontId="0" fillId="0" borderId="17" xfId="0" applyFill="1" applyBorder="1" applyAlignment="1">
      <alignment horizontal="right"/>
    </xf>
    <xf numFmtId="10" fontId="0" fillId="0" borderId="0" xfId="0" applyNumberFormat="1" applyBorder="1"/>
    <xf numFmtId="165" fontId="0" fillId="0" borderId="0" xfId="0" applyNumberFormat="1" applyBorder="1"/>
    <xf numFmtId="0" fontId="2" fillId="2" borderId="30" xfId="0" applyFont="1" applyFill="1" applyBorder="1" applyAlignment="1">
      <alignment horizontal="right"/>
    </xf>
    <xf numFmtId="0" fontId="2" fillId="2" borderId="25" xfId="0" applyFont="1" applyFill="1" applyBorder="1" applyAlignment="1">
      <alignment horizontal="right"/>
    </xf>
    <xf numFmtId="0" fontId="2" fillId="0" borderId="22" xfId="0" applyFont="1" applyFill="1" applyBorder="1"/>
    <xf numFmtId="2" fontId="0" fillId="0" borderId="33" xfId="0" applyNumberFormat="1" applyBorder="1"/>
    <xf numFmtId="2" fontId="0" fillId="0" borderId="27" xfId="0" applyNumberFormat="1" applyBorder="1"/>
    <xf numFmtId="2" fontId="0" fillId="0" borderId="3" xfId="0" applyNumberFormat="1" applyBorder="1"/>
    <xf numFmtId="0" fontId="0" fillId="0" borderId="0" xfId="0" applyFill="1" applyBorder="1" applyAlignment="1">
      <alignment horizontal="center"/>
    </xf>
    <xf numFmtId="0" fontId="2" fillId="0" borderId="0" xfId="0" applyFont="1" applyFill="1" applyBorder="1" applyAlignment="1">
      <alignment horizontal="right"/>
    </xf>
    <xf numFmtId="0" fontId="6" fillId="3" borderId="35" xfId="0" applyFont="1" applyFill="1" applyBorder="1"/>
    <xf numFmtId="0" fontId="6" fillId="3" borderId="5" xfId="0" applyFont="1" applyFill="1" applyBorder="1"/>
    <xf numFmtId="0" fontId="6" fillId="0" borderId="35" xfId="0" applyFont="1" applyBorder="1"/>
    <xf numFmtId="0" fontId="6" fillId="0" borderId="5" xfId="0" applyFont="1" applyBorder="1"/>
    <xf numFmtId="0" fontId="6" fillId="0" borderId="17" xfId="0" applyFont="1" applyBorder="1"/>
    <xf numFmtId="0" fontId="6" fillId="0" borderId="36" xfId="0" applyFont="1" applyBorder="1"/>
    <xf numFmtId="0" fontId="6" fillId="0" borderId="37" xfId="0" applyFont="1" applyBorder="1"/>
    <xf numFmtId="0" fontId="6" fillId="0" borderId="38" xfId="0" applyFont="1" applyBorder="1"/>
    <xf numFmtId="0" fontId="6" fillId="0" borderId="0" xfId="0" applyFont="1"/>
    <xf numFmtId="0" fontId="6" fillId="0" borderId="0" xfId="0" applyFont="1" applyBorder="1"/>
    <xf numFmtId="0" fontId="9" fillId="0" borderId="0" xfId="0" applyFont="1"/>
    <xf numFmtId="0" fontId="6" fillId="3" borderId="39" xfId="0" applyFont="1" applyFill="1" applyBorder="1"/>
    <xf numFmtId="0" fontId="6" fillId="3" borderId="40" xfId="0" applyFont="1" applyFill="1" applyBorder="1"/>
    <xf numFmtId="0" fontId="6" fillId="3" borderId="4" xfId="0" applyFont="1" applyFill="1" applyBorder="1"/>
    <xf numFmtId="0" fontId="6" fillId="3" borderId="41" xfId="0" applyFont="1" applyFill="1" applyBorder="1"/>
    <xf numFmtId="0" fontId="6" fillId="0" borderId="41" xfId="0" applyFont="1" applyBorder="1"/>
    <xf numFmtId="0" fontId="6" fillId="0" borderId="39" xfId="0" applyFont="1" applyBorder="1"/>
    <xf numFmtId="0" fontId="6" fillId="0" borderId="40" xfId="0" applyFont="1" applyBorder="1"/>
    <xf numFmtId="0" fontId="6" fillId="0" borderId="4" xfId="0" applyFont="1" applyBorder="1"/>
    <xf numFmtId="0" fontId="6" fillId="0" borderId="16" xfId="0" applyFont="1" applyBorder="1"/>
    <xf numFmtId="0" fontId="6" fillId="0" borderId="42" xfId="0" applyFont="1" applyBorder="1"/>
    <xf numFmtId="0" fontId="6" fillId="0" borderId="43" xfId="0" applyFont="1" applyBorder="1"/>
    <xf numFmtId="1" fontId="4" fillId="0" borderId="34" xfId="0" applyNumberFormat="1" applyFont="1" applyBorder="1"/>
    <xf numFmtId="0" fontId="6" fillId="0" borderId="46" xfId="0" applyFont="1" applyBorder="1"/>
    <xf numFmtId="0" fontId="6" fillId="0" borderId="9" xfId="0" applyFont="1" applyBorder="1"/>
    <xf numFmtId="2" fontId="6" fillId="0" borderId="0" xfId="0" applyNumberFormat="1" applyFont="1"/>
    <xf numFmtId="0" fontId="6" fillId="0" borderId="0" xfId="0" applyFont="1" applyFill="1" applyBorder="1"/>
    <xf numFmtId="0" fontId="6" fillId="0" borderId="0" xfId="0" applyFont="1" applyFill="1"/>
    <xf numFmtId="0" fontId="0" fillId="0" borderId="0" xfId="0" applyFill="1"/>
    <xf numFmtId="0" fontId="0" fillId="0" borderId="0" xfId="0" applyFill="1" applyBorder="1"/>
    <xf numFmtId="0" fontId="6" fillId="4" borderId="35" xfId="0" applyFont="1" applyFill="1" applyBorder="1"/>
    <xf numFmtId="0" fontId="6" fillId="4" borderId="17" xfId="0" applyFont="1" applyFill="1" applyBorder="1"/>
    <xf numFmtId="0" fontId="6" fillId="4" borderId="16" xfId="0" applyFont="1" applyFill="1" applyBorder="1"/>
    <xf numFmtId="0" fontId="6" fillId="4" borderId="40" xfId="0" applyFont="1" applyFill="1" applyBorder="1"/>
    <xf numFmtId="0" fontId="6" fillId="4" borderId="39" xfId="0" applyFont="1" applyFill="1" applyBorder="1"/>
    <xf numFmtId="0" fontId="6" fillId="4" borderId="4" xfId="0" applyFont="1" applyFill="1" applyBorder="1"/>
    <xf numFmtId="0" fontId="2" fillId="3" borderId="31" xfId="0" applyFont="1" applyFill="1" applyBorder="1"/>
    <xf numFmtId="0" fontId="2" fillId="3" borderId="35" xfId="0" applyFont="1" applyFill="1" applyBorder="1"/>
    <xf numFmtId="2" fontId="0" fillId="0" borderId="39" xfId="0" applyNumberFormat="1" applyBorder="1"/>
    <xf numFmtId="0" fontId="2" fillId="3" borderId="26" xfId="0" applyFont="1" applyFill="1" applyBorder="1"/>
    <xf numFmtId="0" fontId="2" fillId="3" borderId="37" xfId="0" applyFont="1" applyFill="1" applyBorder="1"/>
    <xf numFmtId="2" fontId="0" fillId="0" borderId="43" xfId="0" applyNumberFormat="1" applyBorder="1"/>
    <xf numFmtId="0" fontId="0" fillId="3" borderId="31" xfId="0" applyFill="1" applyBorder="1"/>
    <xf numFmtId="0" fontId="2" fillId="3" borderId="32" xfId="0" applyFont="1" applyFill="1" applyBorder="1"/>
    <xf numFmtId="0" fontId="2" fillId="3" borderId="33" xfId="0" applyFont="1" applyFill="1" applyBorder="1"/>
    <xf numFmtId="0" fontId="2" fillId="3" borderId="40" xfId="0" applyFont="1" applyFill="1" applyBorder="1"/>
    <xf numFmtId="1" fontId="0" fillId="0" borderId="4" xfId="0" applyNumberFormat="1" applyBorder="1"/>
    <xf numFmtId="1" fontId="0" fillId="0" borderId="39" xfId="0" applyNumberFormat="1" applyBorder="1"/>
    <xf numFmtId="0" fontId="0" fillId="0" borderId="40" xfId="0" applyBorder="1"/>
    <xf numFmtId="166" fontId="0" fillId="0" borderId="4" xfId="0" applyNumberFormat="1" applyBorder="1"/>
    <xf numFmtId="166" fontId="0" fillId="0" borderId="39" xfId="0" applyNumberFormat="1" applyBorder="1"/>
    <xf numFmtId="0" fontId="2" fillId="3" borderId="37" xfId="0" applyFont="1" applyFill="1" applyBorder="1" applyAlignment="1">
      <alignment vertical="center" wrapText="1"/>
    </xf>
    <xf numFmtId="2" fontId="0" fillId="0" borderId="6" xfId="0" applyNumberFormat="1" applyBorder="1"/>
    <xf numFmtId="2" fontId="0" fillId="0" borderId="40" xfId="0" applyNumberFormat="1" applyFill="1" applyBorder="1"/>
    <xf numFmtId="0" fontId="2" fillId="3" borderId="26" xfId="0" applyFont="1" applyFill="1" applyBorder="1" applyAlignment="1">
      <alignment vertical="center" wrapText="1"/>
    </xf>
    <xf numFmtId="0" fontId="2" fillId="3" borderId="1" xfId="0" applyFont="1" applyFill="1" applyBorder="1" applyAlignment="1">
      <alignment vertical="center"/>
    </xf>
    <xf numFmtId="0" fontId="2" fillId="3" borderId="5" xfId="0" applyFont="1" applyFill="1" applyBorder="1" applyAlignment="1">
      <alignment vertical="center" wrapText="1"/>
    </xf>
    <xf numFmtId="0" fontId="2" fillId="3" borderId="2" xfId="0" applyFont="1" applyFill="1" applyBorder="1" applyAlignment="1">
      <alignment vertical="center" wrapText="1"/>
    </xf>
    <xf numFmtId="0" fontId="4" fillId="3" borderId="4" xfId="0" applyFont="1" applyFill="1" applyBorder="1" applyAlignment="1">
      <alignment vertical="center" wrapText="1"/>
    </xf>
    <xf numFmtId="0" fontId="4" fillId="3" borderId="13" xfId="0" applyFont="1" applyFill="1" applyBorder="1" applyAlignment="1">
      <alignment vertical="center" wrapText="1"/>
    </xf>
    <xf numFmtId="0" fontId="4" fillId="3" borderId="29" xfId="0" applyFont="1" applyFill="1" applyBorder="1" applyAlignment="1">
      <alignment vertical="center" wrapText="1"/>
    </xf>
    <xf numFmtId="2" fontId="0" fillId="2" borderId="3" xfId="0" applyNumberFormat="1" applyFill="1" applyBorder="1" applyAlignment="1">
      <alignment horizontal="center"/>
    </xf>
    <xf numFmtId="2" fontId="0" fillId="2" borderId="24" xfId="0" applyNumberFormat="1" applyFill="1" applyBorder="1" applyAlignment="1">
      <alignment horizontal="center"/>
    </xf>
    <xf numFmtId="2" fontId="0" fillId="2" borderId="27" xfId="0" applyNumberFormat="1" applyFill="1" applyBorder="1" applyAlignment="1">
      <alignment horizontal="center"/>
    </xf>
    <xf numFmtId="2" fontId="0" fillId="2" borderId="19" xfId="0" applyNumberFormat="1" applyFill="1" applyBorder="1" applyAlignment="1">
      <alignment horizontal="center"/>
    </xf>
    <xf numFmtId="2" fontId="0" fillId="2" borderId="10" xfId="0" applyNumberFormat="1" applyFill="1" applyBorder="1" applyAlignment="1">
      <alignment horizontal="center"/>
    </xf>
    <xf numFmtId="2" fontId="0" fillId="2" borderId="18" xfId="0" applyNumberFormat="1" applyFill="1" applyBorder="1" applyAlignment="1">
      <alignment horizontal="center"/>
    </xf>
    <xf numFmtId="2" fontId="6" fillId="0" borderId="5" xfId="0" applyNumberFormat="1" applyFont="1" applyBorder="1"/>
    <xf numFmtId="2" fontId="6" fillId="0" borderId="17" xfId="0" applyNumberFormat="1" applyFont="1" applyBorder="1"/>
    <xf numFmtId="2" fontId="6" fillId="4" borderId="17" xfId="0" applyNumberFormat="1" applyFont="1" applyFill="1" applyBorder="1"/>
    <xf numFmtId="2" fontId="6" fillId="0" borderId="38" xfId="0" applyNumberFormat="1" applyFont="1" applyBorder="1"/>
    <xf numFmtId="2" fontId="6" fillId="3" borderId="4" xfId="0" applyNumberFormat="1" applyFont="1" applyFill="1" applyBorder="1"/>
    <xf numFmtId="2" fontId="0" fillId="0" borderId="0" xfId="0" applyNumberFormat="1" applyBorder="1"/>
    <xf numFmtId="2" fontId="0" fillId="0" borderId="0" xfId="0" applyNumberFormat="1"/>
    <xf numFmtId="2" fontId="6" fillId="0" borderId="4" xfId="0" applyNumberFormat="1" applyFont="1" applyBorder="1"/>
    <xf numFmtId="2" fontId="6" fillId="4" borderId="4" xfId="0" applyNumberFormat="1" applyFont="1" applyFill="1" applyBorder="1"/>
    <xf numFmtId="0" fontId="4" fillId="3" borderId="50" xfId="0" applyFont="1" applyFill="1" applyBorder="1" applyAlignment="1">
      <alignment vertical="center" wrapText="1"/>
    </xf>
    <xf numFmtId="0" fontId="4" fillId="3" borderId="17" xfId="0" applyFont="1" applyFill="1" applyBorder="1" applyAlignment="1">
      <alignment vertical="center" wrapText="1"/>
    </xf>
    <xf numFmtId="167" fontId="6" fillId="0" borderId="22" xfId="0" applyNumberFormat="1" applyFont="1" applyBorder="1"/>
    <xf numFmtId="0" fontId="2" fillId="3" borderId="38" xfId="0" applyFont="1" applyFill="1" applyBorder="1" applyAlignment="1">
      <alignment vertical="center" wrapText="1"/>
    </xf>
    <xf numFmtId="2" fontId="0" fillId="0" borderId="14" xfId="0" applyNumberFormat="1" applyBorder="1"/>
    <xf numFmtId="0" fontId="3" fillId="0" borderId="0" xfId="0" applyFont="1" applyFill="1" applyBorder="1" applyAlignment="1"/>
    <xf numFmtId="0" fontId="3" fillId="0" borderId="0" xfId="0" applyFont="1" applyFill="1" applyBorder="1"/>
    <xf numFmtId="1" fontId="6" fillId="0" borderId="3" xfId="0" applyNumberFormat="1" applyFont="1" applyBorder="1"/>
    <xf numFmtId="2" fontId="6" fillId="0" borderId="5" xfId="0" applyNumberFormat="1" applyFont="1" applyBorder="1" applyAlignment="1">
      <alignment horizontal="right" indent="1"/>
    </xf>
    <xf numFmtId="2" fontId="10" fillId="0" borderId="45" xfId="0" applyNumberFormat="1" applyFont="1" applyBorder="1"/>
    <xf numFmtId="2" fontId="10" fillId="0" borderId="21" xfId="0" applyNumberFormat="1" applyFont="1" applyBorder="1"/>
    <xf numFmtId="2" fontId="6" fillId="0" borderId="0" xfId="0" applyNumberFormat="1" applyFont="1" applyBorder="1"/>
    <xf numFmtId="2" fontId="6" fillId="0" borderId="44" xfId="0" applyNumberFormat="1" applyFont="1" applyBorder="1"/>
    <xf numFmtId="2" fontId="6" fillId="0" borderId="40" xfId="0" applyNumberFormat="1" applyFont="1" applyBorder="1"/>
    <xf numFmtId="2" fontId="0" fillId="0" borderId="5" xfId="0" applyNumberFormat="1" applyBorder="1"/>
    <xf numFmtId="2" fontId="0" fillId="0" borderId="38" xfId="0" applyNumberFormat="1" applyBorder="1"/>
    <xf numFmtId="2" fontId="0" fillId="0" borderId="2" xfId="0" applyNumberFormat="1" applyBorder="1"/>
    <xf numFmtId="168" fontId="6" fillId="0" borderId="0" xfId="1" applyNumberFormat="1" applyFont="1"/>
    <xf numFmtId="168" fontId="6" fillId="0" borderId="0" xfId="0" applyNumberFormat="1" applyFont="1"/>
    <xf numFmtId="10" fontId="2" fillId="5" borderId="17" xfId="0" applyNumberFormat="1" applyFont="1" applyFill="1" applyBorder="1" applyAlignment="1">
      <alignment horizontal="center"/>
    </xf>
    <xf numFmtId="0" fontId="13" fillId="0" borderId="0" xfId="0" applyFont="1"/>
    <xf numFmtId="0" fontId="14" fillId="0" borderId="0" xfId="0" applyFont="1" applyFill="1" applyBorder="1"/>
    <xf numFmtId="0" fontId="4" fillId="6" borderId="34" xfId="0" applyFont="1" applyFill="1" applyBorder="1"/>
    <xf numFmtId="0" fontId="13" fillId="0" borderId="0" xfId="0" applyFont="1" applyFill="1" applyBorder="1" applyAlignment="1"/>
    <xf numFmtId="0" fontId="14" fillId="0" borderId="0" xfId="0" applyFont="1"/>
    <xf numFmtId="10" fontId="2" fillId="5" borderId="6" xfId="0" applyNumberFormat="1" applyFont="1" applyFill="1" applyBorder="1" applyAlignment="1">
      <alignment horizontal="center"/>
    </xf>
    <xf numFmtId="166" fontId="2" fillId="3" borderId="4" xfId="0" applyNumberFormat="1" applyFont="1" applyFill="1" applyBorder="1" applyAlignment="1">
      <alignment horizontal="center" wrapText="1"/>
    </xf>
    <xf numFmtId="0" fontId="2" fillId="3" borderId="4" xfId="0" applyFont="1" applyFill="1" applyBorder="1" applyAlignment="1">
      <alignment horizontal="center" wrapText="1"/>
    </xf>
    <xf numFmtId="0" fontId="14" fillId="0" borderId="0" xfId="0" applyFont="1" applyBorder="1" applyAlignment="1"/>
    <xf numFmtId="0" fontId="15" fillId="0" borderId="0" xfId="2"/>
    <xf numFmtId="0" fontId="6" fillId="0" borderId="26" xfId="0" applyFont="1" applyBorder="1"/>
    <xf numFmtId="0" fontId="6" fillId="0" borderId="27" xfId="0" applyFont="1" applyBorder="1"/>
    <xf numFmtId="0" fontId="2" fillId="3" borderId="0" xfId="0" applyFont="1" applyFill="1" applyBorder="1"/>
    <xf numFmtId="0" fontId="2" fillId="3" borderId="17" xfId="0" applyFont="1" applyFill="1" applyBorder="1"/>
    <xf numFmtId="0" fontId="2" fillId="3" borderId="45" xfId="0" applyFont="1" applyFill="1" applyBorder="1"/>
    <xf numFmtId="0" fontId="0" fillId="0" borderId="45" xfId="0" applyBorder="1"/>
    <xf numFmtId="10" fontId="0" fillId="0" borderId="45" xfId="0" applyNumberFormat="1" applyBorder="1"/>
    <xf numFmtId="165" fontId="0" fillId="0" borderId="45" xfId="0" applyNumberFormat="1" applyBorder="1"/>
    <xf numFmtId="0" fontId="0" fillId="0" borderId="20" xfId="0" applyBorder="1" applyAlignment="1">
      <alignment wrapText="1"/>
    </xf>
    <xf numFmtId="165" fontId="14" fillId="0" borderId="0" xfId="0" applyNumberFormat="1" applyFont="1"/>
    <xf numFmtId="0" fontId="4" fillId="3" borderId="31" xfId="0" applyFont="1" applyFill="1" applyBorder="1" applyAlignment="1">
      <alignment horizontal="center"/>
    </xf>
    <xf numFmtId="0" fontId="4" fillId="3" borderId="33" xfId="0" applyFont="1" applyFill="1" applyBorder="1" applyAlignment="1">
      <alignment horizontal="center"/>
    </xf>
    <xf numFmtId="0" fontId="10" fillId="0" borderId="49" xfId="0" applyFont="1" applyBorder="1" applyAlignment="1">
      <alignment horizontal="center"/>
    </xf>
    <xf numFmtId="0" fontId="10" fillId="0" borderId="48" xfId="0" applyFont="1" applyBorder="1" applyAlignment="1">
      <alignment horizontal="center"/>
    </xf>
    <xf numFmtId="0" fontId="10" fillId="0" borderId="47" xfId="0" applyFont="1" applyBorder="1" applyAlignment="1">
      <alignment horizontal="center"/>
    </xf>
    <xf numFmtId="0" fontId="10" fillId="0" borderId="49" xfId="0" applyFont="1" applyFill="1" applyBorder="1" applyAlignment="1">
      <alignment horizontal="center"/>
    </xf>
    <xf numFmtId="0" fontId="10" fillId="0" borderId="48" xfId="0" applyFont="1" applyFill="1" applyBorder="1" applyAlignment="1">
      <alignment horizontal="center"/>
    </xf>
    <xf numFmtId="0" fontId="10" fillId="0" borderId="47" xfId="0" applyFont="1" applyFill="1" applyBorder="1" applyAlignment="1">
      <alignment horizontal="center"/>
    </xf>
    <xf numFmtId="0" fontId="11" fillId="6" borderId="1" xfId="0" applyFont="1" applyFill="1" applyBorder="1" applyAlignment="1">
      <alignment horizontal="center"/>
    </xf>
    <xf numFmtId="0" fontId="11" fillId="6" borderId="2" xfId="0" applyFont="1" applyFill="1" applyBorder="1" applyAlignment="1">
      <alignment horizontal="center"/>
    </xf>
    <xf numFmtId="0" fontId="11" fillId="6" borderId="3" xfId="0" applyFont="1" applyFill="1" applyBorder="1" applyAlignment="1">
      <alignment horizontal="center"/>
    </xf>
    <xf numFmtId="0" fontId="10" fillId="3" borderId="1" xfId="0" applyFont="1" applyFill="1" applyBorder="1" applyAlignment="1">
      <alignment horizontal="center"/>
    </xf>
    <xf numFmtId="0" fontId="10" fillId="3" borderId="2" xfId="0" applyFont="1" applyFill="1" applyBorder="1" applyAlignment="1">
      <alignment horizontal="center"/>
    </xf>
    <xf numFmtId="10" fontId="2" fillId="3" borderId="51" xfId="0" applyNumberFormat="1" applyFont="1" applyFill="1" applyBorder="1" applyAlignment="1">
      <alignment horizontal="center" vertical="center"/>
    </xf>
    <xf numFmtId="10" fontId="2" fillId="3" borderId="44" xfId="0" applyNumberFormat="1" applyFont="1" applyFill="1" applyBorder="1" applyAlignment="1">
      <alignment horizontal="center" vertical="center"/>
    </xf>
    <xf numFmtId="10" fontId="2" fillId="3" borderId="40" xfId="0" applyNumberFormat="1" applyFont="1" applyFill="1" applyBorder="1" applyAlignment="1">
      <alignment horizontal="center" vertical="center"/>
    </xf>
    <xf numFmtId="165" fontId="2" fillId="3" borderId="51" xfId="0" applyNumberFormat="1" applyFont="1" applyFill="1" applyBorder="1" applyAlignment="1">
      <alignment horizontal="center" vertical="center"/>
    </xf>
    <xf numFmtId="165" fontId="2" fillId="3" borderId="44" xfId="0" applyNumberFormat="1" applyFont="1" applyFill="1" applyBorder="1" applyAlignment="1">
      <alignment horizontal="center" vertical="center"/>
    </xf>
    <xf numFmtId="165" fontId="2" fillId="3" borderId="40" xfId="0" applyNumberFormat="1" applyFont="1" applyFill="1" applyBorder="1" applyAlignment="1">
      <alignment horizontal="center" vertical="center"/>
    </xf>
  </cellXfs>
  <cellStyles count="3">
    <cellStyle name="Lien hypertexte" xfId="2" builtinId="8"/>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tin\Desktop\Travail\Projet%20Carbone%20-%20Didier%20P\itineraires%20GF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yse_économique"/>
      <sheetName val="itinéraires bas carbone"/>
    </sheetNames>
    <sheetDataSet>
      <sheetData sheetId="0" refreshError="1"/>
      <sheetData sheetId="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ademe.fr/gesfor-bilan-environnemental-systemes-forestiers-vis-a-vis-changement-climatique-autres-enjeu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B18" sqref="B18"/>
    </sheetView>
  </sheetViews>
  <sheetFormatPr baseColWidth="10" defaultRowHeight="15.75" x14ac:dyDescent="0.25"/>
  <cols>
    <col min="1" max="1" width="14.625" customWidth="1"/>
    <col min="2" max="2" width="13.625" bestFit="1" customWidth="1"/>
    <col min="3" max="3" width="18.375" customWidth="1"/>
    <col min="4" max="4" width="13.625" bestFit="1" customWidth="1"/>
  </cols>
  <sheetData>
    <row r="1" spans="1:6" x14ac:dyDescent="0.25">
      <c r="A1" s="90" t="s">
        <v>47</v>
      </c>
      <c r="B1" s="49">
        <v>0.56999999999999995</v>
      </c>
      <c r="C1" s="154" t="s">
        <v>78</v>
      </c>
    </row>
    <row r="2" spans="1:6" x14ac:dyDescent="0.25">
      <c r="A2" s="91" t="s">
        <v>48</v>
      </c>
      <c r="B2" s="92">
        <v>0.42</v>
      </c>
    </row>
    <row r="3" spans="1:6" x14ac:dyDescent="0.25">
      <c r="A3" s="91" t="s">
        <v>49</v>
      </c>
      <c r="B3" s="92">
        <v>0.47499999999999998</v>
      </c>
      <c r="C3" s="154" t="s">
        <v>83</v>
      </c>
    </row>
    <row r="4" spans="1:6" x14ac:dyDescent="0.25">
      <c r="A4" s="91" t="s">
        <v>50</v>
      </c>
      <c r="B4" s="92">
        <v>0.43</v>
      </c>
    </row>
    <row r="5" spans="1:6" x14ac:dyDescent="0.25">
      <c r="A5" s="91" t="s">
        <v>51</v>
      </c>
      <c r="B5" s="92">
        <v>0.48</v>
      </c>
    </row>
    <row r="6" spans="1:6" x14ac:dyDescent="0.25">
      <c r="A6" s="91" t="s">
        <v>52</v>
      </c>
      <c r="B6" s="92">
        <v>0.36</v>
      </c>
    </row>
    <row r="7" spans="1:6" x14ac:dyDescent="0.25">
      <c r="A7" s="91" t="s">
        <v>53</v>
      </c>
      <c r="B7" s="92">
        <v>0.46</v>
      </c>
    </row>
    <row r="8" spans="1:6" x14ac:dyDescent="0.25">
      <c r="A8" s="93" t="s">
        <v>54</v>
      </c>
      <c r="B8" s="50">
        <v>0.52</v>
      </c>
    </row>
    <row r="9" spans="1:6" x14ac:dyDescent="0.25">
      <c r="A9" s="93" t="s">
        <v>55</v>
      </c>
      <c r="B9" s="50">
        <v>0.55000000000000004</v>
      </c>
    </row>
    <row r="10" spans="1:6" x14ac:dyDescent="0.25">
      <c r="A10" s="93" t="s">
        <v>56</v>
      </c>
      <c r="B10" s="50">
        <v>70</v>
      </c>
      <c r="C10" s="154" t="s">
        <v>79</v>
      </c>
    </row>
    <row r="11" spans="1:6" x14ac:dyDescent="0.25">
      <c r="A11" s="93" t="s">
        <v>57</v>
      </c>
      <c r="B11" s="50">
        <v>10</v>
      </c>
      <c r="C11" s="154" t="s">
        <v>80</v>
      </c>
    </row>
    <row r="12" spans="1:6" ht="16.5" thickBot="1" x14ac:dyDescent="0.3">
      <c r="A12" s="94" t="s">
        <v>58</v>
      </c>
      <c r="B12" s="95">
        <f>(44/12)</f>
        <v>3.6666666666666665</v>
      </c>
      <c r="C12" s="154" t="s">
        <v>69</v>
      </c>
    </row>
    <row r="13" spans="1:6" ht="16.5" thickBot="1" x14ac:dyDescent="0.3"/>
    <row r="14" spans="1:6" x14ac:dyDescent="0.25">
      <c r="A14" s="96"/>
      <c r="B14" s="97" t="s">
        <v>59</v>
      </c>
      <c r="C14" s="97" t="s">
        <v>84</v>
      </c>
      <c r="D14" s="98" t="s">
        <v>5</v>
      </c>
      <c r="E14" s="99" t="s">
        <v>7</v>
      </c>
    </row>
    <row r="15" spans="1:6" x14ac:dyDescent="0.25">
      <c r="A15" s="91" t="s">
        <v>60</v>
      </c>
      <c r="B15" s="100">
        <v>35</v>
      </c>
      <c r="C15" s="100">
        <v>2</v>
      </c>
      <c r="D15" s="101">
        <v>25</v>
      </c>
      <c r="E15" s="102"/>
      <c r="F15" s="154" t="s">
        <v>81</v>
      </c>
    </row>
    <row r="16" spans="1:6" x14ac:dyDescent="0.25">
      <c r="A16" s="91" t="s">
        <v>61</v>
      </c>
      <c r="B16" s="103">
        <f>(1-EXP(-LN(2)/B15))/(LN(2)/B15)</f>
        <v>0.99016294281611617</v>
      </c>
      <c r="C16" s="103">
        <f>(1-EXP(-LN(2)/C15))/(LN(2)/C15)</f>
        <v>0.84511118858434775</v>
      </c>
      <c r="D16" s="104">
        <f>(1-EXP(-LN(2)/D15))/(LN(2)/D15)</f>
        <v>0.98626429402858951</v>
      </c>
      <c r="E16" s="102"/>
    </row>
    <row r="17" spans="1:6" x14ac:dyDescent="0.25">
      <c r="A17" s="91" t="s">
        <v>62</v>
      </c>
      <c r="B17" s="103">
        <f>EXP(-LN(2)/B15)</f>
        <v>0.98039060993977345</v>
      </c>
      <c r="C17" s="103">
        <f>EXP(-LN(2)/C15)</f>
        <v>0.70710678118654757</v>
      </c>
      <c r="D17" s="104">
        <f>EXP(-LN(2)/D15)</f>
        <v>0.97265494741228553</v>
      </c>
      <c r="E17" s="102"/>
      <c r="F17" s="154" t="s">
        <v>82</v>
      </c>
    </row>
    <row r="18" spans="1:6" ht="32.25" thickBot="1" x14ac:dyDescent="0.3">
      <c r="A18" s="105" t="s">
        <v>63</v>
      </c>
      <c r="B18" s="106">
        <v>1.52</v>
      </c>
      <c r="C18" s="106">
        <v>0</v>
      </c>
      <c r="D18" s="95">
        <v>0.77</v>
      </c>
      <c r="E18" s="107">
        <v>0.25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98"/>
  <sheetViews>
    <sheetView tabSelected="1" topLeftCell="A838" zoomScale="75" zoomScaleNormal="100" workbookViewId="0">
      <selection activeCell="D854" sqref="D854"/>
    </sheetView>
  </sheetViews>
  <sheetFormatPr baseColWidth="10" defaultColWidth="10.875" defaultRowHeight="15.75" x14ac:dyDescent="0.25"/>
  <cols>
    <col min="1" max="1" width="20" customWidth="1"/>
    <col min="2" max="2" width="23.875" customWidth="1"/>
    <col min="3" max="3" width="25.125" customWidth="1"/>
    <col min="4" max="4" width="30.875" style="3" customWidth="1"/>
    <col min="5" max="5" width="27.5" style="3" bestFit="1" customWidth="1"/>
    <col min="6" max="6" width="30.5" style="3" customWidth="1"/>
    <col min="7" max="7" width="18.375" style="4" customWidth="1"/>
    <col min="8" max="8" width="18.875" style="4" customWidth="1"/>
    <col min="9" max="9" width="13.625" style="4" customWidth="1"/>
    <col min="10" max="10" width="38.875" bestFit="1" customWidth="1"/>
    <col min="11" max="11" width="37.5" customWidth="1"/>
    <col min="12" max="12" width="27.5" style="5" bestFit="1" customWidth="1"/>
    <col min="13" max="13" width="32.5" bestFit="1" customWidth="1"/>
    <col min="14" max="15" width="10.875" style="6"/>
    <col min="16" max="16" width="18.875" style="6" customWidth="1"/>
    <col min="17" max="17" width="10.875" style="6"/>
    <col min="18" max="18" width="27.125" style="6" bestFit="1" customWidth="1"/>
    <col min="19" max="19" width="27.5" style="6" bestFit="1" customWidth="1"/>
    <col min="20" max="20" width="31" style="6" customWidth="1"/>
    <col min="21" max="22" width="10.875" style="6"/>
    <col min="23" max="23" width="22.875" style="6" customWidth="1"/>
    <col min="24" max="24" width="10.875" style="6"/>
    <col min="25" max="25" width="30.625" style="6" customWidth="1"/>
    <col min="26" max="26" width="27.5" style="6" customWidth="1"/>
    <col min="27" max="27" width="34.375" style="126" customWidth="1"/>
    <col min="28" max="29" width="10.875" style="6"/>
    <col min="30" max="30" width="18" style="6" customWidth="1"/>
    <col min="31" max="31" width="10.875" style="6"/>
    <col min="32" max="32" width="31.5" style="6" customWidth="1"/>
    <col min="33" max="33" width="26.5" style="6" customWidth="1"/>
    <col min="34" max="34" width="33.5" style="126" customWidth="1"/>
    <col min="35" max="36" width="10.875" style="6"/>
    <col min="37" max="37" width="21.875" style="6" customWidth="1"/>
    <col min="38" max="38" width="12.625" style="6" customWidth="1"/>
    <col min="39" max="39" width="28.625" style="6" customWidth="1"/>
    <col min="40" max="40" width="27.625" style="6" customWidth="1"/>
    <col min="41" max="41" width="35.5" style="126" customWidth="1"/>
    <col min="42" max="16384" width="10.875" style="6"/>
  </cols>
  <sheetData>
    <row r="1" spans="1:41" ht="18.75" thickBot="1" x14ac:dyDescent="0.3">
      <c r="A1" s="172" t="s">
        <v>41</v>
      </c>
      <c r="B1" s="173"/>
      <c r="C1" s="173"/>
      <c r="D1" s="173"/>
      <c r="E1" s="173"/>
      <c r="F1" s="174"/>
      <c r="G1" s="63"/>
      <c r="H1" s="172" t="s">
        <v>42</v>
      </c>
      <c r="I1" s="173"/>
      <c r="J1" s="173"/>
      <c r="K1" s="173"/>
      <c r="L1" s="173"/>
      <c r="M1" s="174"/>
      <c r="N1" s="80"/>
      <c r="O1" s="172" t="s">
        <v>43</v>
      </c>
      <c r="P1" s="173"/>
      <c r="Q1" s="173"/>
      <c r="R1" s="173"/>
      <c r="S1" s="173"/>
      <c r="T1" s="174"/>
      <c r="U1" s="80"/>
      <c r="V1" s="172" t="s">
        <v>44</v>
      </c>
      <c r="W1" s="173"/>
      <c r="X1" s="173"/>
      <c r="Y1" s="173"/>
      <c r="Z1" s="173"/>
      <c r="AA1" s="174"/>
      <c r="AB1" s="83"/>
      <c r="AC1" s="175" t="s">
        <v>45</v>
      </c>
      <c r="AD1" s="176"/>
      <c r="AE1" s="176"/>
      <c r="AF1" s="176"/>
      <c r="AG1" s="176"/>
      <c r="AH1" s="177"/>
      <c r="AI1"/>
      <c r="AJ1" s="172" t="s">
        <v>46</v>
      </c>
      <c r="AK1" s="173"/>
      <c r="AL1" s="173"/>
      <c r="AM1" s="173"/>
      <c r="AN1" s="173"/>
      <c r="AO1" s="174"/>
    </row>
    <row r="2" spans="1:41" customFormat="1" ht="16.5" thickBot="1" x14ac:dyDescent="0.3">
      <c r="A2" s="64"/>
      <c r="B2" s="62"/>
      <c r="C2" s="62"/>
      <c r="D2" s="63"/>
      <c r="E2" s="63"/>
      <c r="F2" s="63"/>
      <c r="G2" s="63"/>
      <c r="H2" s="63"/>
      <c r="I2" s="63"/>
      <c r="J2" s="62"/>
      <c r="K2" s="62"/>
      <c r="L2" s="62"/>
      <c r="M2" s="62"/>
      <c r="N2" s="80"/>
      <c r="O2" s="63"/>
      <c r="P2" s="63"/>
      <c r="Q2" s="62"/>
      <c r="R2" s="62"/>
      <c r="S2" s="62"/>
      <c r="T2" s="62"/>
      <c r="U2" s="80"/>
      <c r="V2" s="63"/>
      <c r="W2" s="63"/>
      <c r="X2" s="62"/>
      <c r="Y2" s="62"/>
      <c r="Z2" s="62"/>
      <c r="AA2" s="79"/>
      <c r="AB2" s="83"/>
      <c r="AC2" s="80"/>
      <c r="AD2" s="80"/>
      <c r="AE2" s="81"/>
      <c r="AF2" s="81"/>
      <c r="AG2" s="62"/>
      <c r="AH2" s="79"/>
      <c r="AJ2" s="62"/>
      <c r="AK2" s="62"/>
      <c r="AL2" s="62"/>
      <c r="AM2" s="62"/>
      <c r="AN2" s="62"/>
      <c r="AO2" s="79"/>
    </row>
    <row r="3" spans="1:41" x14ac:dyDescent="0.25">
      <c r="A3" s="170" t="s">
        <v>32</v>
      </c>
      <c r="B3" s="171"/>
      <c r="C3" s="62"/>
      <c r="D3" s="62"/>
      <c r="E3" s="62"/>
      <c r="F3" s="62"/>
      <c r="G3" s="62"/>
      <c r="H3" s="170" t="s">
        <v>32</v>
      </c>
      <c r="I3" s="171"/>
      <c r="J3" s="62"/>
      <c r="K3" s="62"/>
      <c r="L3" s="62"/>
      <c r="M3" s="62"/>
      <c r="N3" s="80"/>
      <c r="O3" s="170" t="s">
        <v>32</v>
      </c>
      <c r="P3" s="171"/>
      <c r="Q3" s="62"/>
      <c r="R3" s="62"/>
      <c r="S3" s="62"/>
      <c r="T3" s="62"/>
      <c r="U3" s="80"/>
      <c r="V3" s="170" t="s">
        <v>32</v>
      </c>
      <c r="W3" s="171"/>
      <c r="X3" s="62"/>
      <c r="Y3" s="62"/>
      <c r="Z3" s="62"/>
      <c r="AA3" s="79"/>
      <c r="AB3"/>
      <c r="AC3" s="170" t="s">
        <v>32</v>
      </c>
      <c r="AD3" s="171"/>
      <c r="AE3" s="62"/>
      <c r="AF3" s="62"/>
      <c r="AG3" s="62"/>
      <c r="AH3" s="79"/>
      <c r="AI3"/>
      <c r="AJ3" s="170" t="s">
        <v>33</v>
      </c>
      <c r="AK3" s="171"/>
      <c r="AL3" s="62"/>
      <c r="AM3" s="62"/>
      <c r="AN3" s="62"/>
      <c r="AO3" s="79"/>
    </row>
    <row r="4" spans="1:41" x14ac:dyDescent="0.25">
      <c r="A4" s="54" t="s">
        <v>26</v>
      </c>
      <c r="B4" s="65" t="s">
        <v>27</v>
      </c>
      <c r="C4" s="68" t="s">
        <v>28</v>
      </c>
      <c r="D4" s="55" t="s">
        <v>29</v>
      </c>
      <c r="E4" s="55" t="s">
        <v>30</v>
      </c>
      <c r="F4" s="67" t="s">
        <v>31</v>
      </c>
      <c r="G4" s="80"/>
      <c r="H4" s="54" t="s">
        <v>26</v>
      </c>
      <c r="I4" s="65" t="s">
        <v>27</v>
      </c>
      <c r="J4" s="68" t="s">
        <v>28</v>
      </c>
      <c r="K4" s="55" t="s">
        <v>29</v>
      </c>
      <c r="L4" s="55" t="s">
        <v>30</v>
      </c>
      <c r="M4" s="67" t="s">
        <v>31</v>
      </c>
      <c r="N4" s="80"/>
      <c r="O4" s="54" t="s">
        <v>26</v>
      </c>
      <c r="P4" s="65" t="s">
        <v>27</v>
      </c>
      <c r="Q4" s="68" t="s">
        <v>28</v>
      </c>
      <c r="R4" s="55" t="s">
        <v>29</v>
      </c>
      <c r="S4" s="55" t="s">
        <v>30</v>
      </c>
      <c r="T4" s="67" t="s">
        <v>31</v>
      </c>
      <c r="U4" s="80"/>
      <c r="V4" s="54" t="s">
        <v>26</v>
      </c>
      <c r="W4" s="65" t="s">
        <v>27</v>
      </c>
      <c r="X4" s="68" t="s">
        <v>28</v>
      </c>
      <c r="Y4" s="55" t="s">
        <v>29</v>
      </c>
      <c r="Z4" s="55" t="s">
        <v>30</v>
      </c>
      <c r="AA4" s="125" t="s">
        <v>31</v>
      </c>
      <c r="AB4"/>
      <c r="AC4" s="54" t="s">
        <v>26</v>
      </c>
      <c r="AD4" s="65" t="s">
        <v>27</v>
      </c>
      <c r="AE4" s="66" t="s">
        <v>28</v>
      </c>
      <c r="AF4" s="67" t="s">
        <v>29</v>
      </c>
      <c r="AG4" s="67" t="s">
        <v>30</v>
      </c>
      <c r="AH4" s="125" t="s">
        <v>31</v>
      </c>
      <c r="AI4"/>
      <c r="AJ4" s="54" t="s">
        <v>26</v>
      </c>
      <c r="AK4" s="65" t="s">
        <v>27</v>
      </c>
      <c r="AL4" s="68" t="s">
        <v>28</v>
      </c>
      <c r="AM4" s="55" t="s">
        <v>29</v>
      </c>
      <c r="AN4" s="55" t="s">
        <v>30</v>
      </c>
      <c r="AO4" s="125" t="s">
        <v>31</v>
      </c>
    </row>
    <row r="5" spans="1:41" x14ac:dyDescent="0.25">
      <c r="A5" s="56">
        <v>0</v>
      </c>
      <c r="B5" s="70">
        <v>1</v>
      </c>
      <c r="C5" s="69">
        <f>B5*1.3</f>
        <v>1.3</v>
      </c>
      <c r="D5" s="57">
        <f>C5*InfraPinL</f>
        <v>0.59800000000000009</v>
      </c>
      <c r="E5" s="57">
        <f>EXP(-1.0587  + 0.8836*LN(D5) + 0.284)</f>
        <v>0.29258040116091422</v>
      </c>
      <c r="F5" s="138">
        <f>((D5+E5)* TauxC + Csol + (A5*Clitiere/30))*MasseMol</f>
        <v>258.21776086535527</v>
      </c>
      <c r="G5" s="63"/>
      <c r="H5" s="56">
        <v>0</v>
      </c>
      <c r="I5" s="70">
        <v>1</v>
      </c>
      <c r="J5" s="69">
        <f>I5*1.3</f>
        <v>1.3</v>
      </c>
      <c r="K5" s="69">
        <f t="shared" ref="K5:K68" si="0">J5*InfraDg</f>
        <v>0.55900000000000005</v>
      </c>
      <c r="L5" s="57">
        <f>EXP(-1.0587  + 0.8836*LN(K5) + 0.284)</f>
        <v>0.2756545328031752</v>
      </c>
      <c r="M5" s="121">
        <f>((K5+L5)* TauxC + Csol + (H5*Clitiere/30))* MasseMol</f>
        <v>258.12035664463218</v>
      </c>
      <c r="N5" s="80"/>
      <c r="O5" s="56">
        <v>0</v>
      </c>
      <c r="P5" s="70">
        <v>1</v>
      </c>
      <c r="Q5" s="69">
        <f>P5*1.3</f>
        <v>1.3</v>
      </c>
      <c r="R5" s="69">
        <f t="shared" ref="R5:R65" si="1">Q5*InfraDg</f>
        <v>0.55900000000000005</v>
      </c>
      <c r="S5" s="57">
        <f>EXP(-1.0587  + 0.8836*LN(R5) + 0.284)</f>
        <v>0.2756545328031752</v>
      </c>
      <c r="T5" s="121">
        <f t="shared" ref="T5:T35" si="2">((R5+S5)* TauxC + Csol + (O5*Clitiere/30))*MasseMol</f>
        <v>258.12035664463218</v>
      </c>
      <c r="U5" s="80"/>
      <c r="V5" s="56">
        <v>0</v>
      </c>
      <c r="W5" s="70">
        <v>1</v>
      </c>
      <c r="X5" s="69">
        <f>W5*1.3</f>
        <v>1.3</v>
      </c>
      <c r="Y5" s="69">
        <f t="shared" ref="Y5:Y65" si="3">X5* InfraMel</f>
        <v>0.624</v>
      </c>
      <c r="Z5" s="57">
        <f>EXP(-1.0587  + 0.8836*LN(Y5) + 0.284)</f>
        <v>0.30379258427268413</v>
      </c>
      <c r="AA5" s="121">
        <f t="shared" ref="AA5:AA35" si="4">((Y5+Z5)* TauxC + Csol + (V5*Clitiere/30))*MasseMol</f>
        <v>258.28257208427493</v>
      </c>
      <c r="AB5"/>
      <c r="AC5" s="56">
        <v>0</v>
      </c>
      <c r="AD5" s="70">
        <v>0.1</v>
      </c>
      <c r="AE5" s="71">
        <f>AD5*1.3</f>
        <v>0.13</v>
      </c>
      <c r="AF5" s="72">
        <f t="shared" ref="AF5:AF68" si="5">AE5*InfraCed</f>
        <v>4.6800000000000001E-2</v>
      </c>
      <c r="AG5" s="72">
        <f>EXP(-1.0587  + 0.8836*LN(AF5) + 0.284)</f>
        <v>3.0802169092372062E-2</v>
      </c>
      <c r="AH5" s="128">
        <f t="shared" ref="AH5:AH35" si="6">((AF5+AG5)*TauxC + Csol + (AC5*Clitiere/30))*MasseMol</f>
        <v>256.80182377783586</v>
      </c>
      <c r="AI5"/>
      <c r="AJ5" s="56">
        <v>0</v>
      </c>
      <c r="AK5" s="70">
        <v>1</v>
      </c>
      <c r="AL5" s="69">
        <f>AK5*1.56</f>
        <v>1.56</v>
      </c>
      <c r="AM5" s="69">
        <f t="shared" ref="AM5:AM68" si="7">AL5*InfraBoul</f>
        <v>0.81120000000000003</v>
      </c>
      <c r="AN5" s="57">
        <f>EXP(-1.0587  + 0.8836*LN(AM5) + 0.284)</f>
        <v>0.38305180611771755</v>
      </c>
      <c r="AO5" s="121">
        <f t="shared" ref="AO5:AO68" si="8">((AM5+AN5)* TauxC + Csol + Clitiere )* MasseMol</f>
        <v>295.41332189565503</v>
      </c>
    </row>
    <row r="6" spans="1:41" x14ac:dyDescent="0.25">
      <c r="A6" s="56">
        <v>1</v>
      </c>
      <c r="B6" s="70">
        <f>3*10^(-9) *A6^6- 10^(-6)*A6^5 + 4*10^(-4)*A6^4 - 0.0202*A6^3 + 0.5242*A6^2 + 1.1776*A6-0.2312</f>
        <v>1.450799003</v>
      </c>
      <c r="C6" s="73">
        <f t="shared" ref="C6:C69" si="9">B6*1.3</f>
        <v>1.8860387038999999</v>
      </c>
      <c r="D6" s="58">
        <f t="shared" ref="D6:D68" si="10">C6*InfraPinL</f>
        <v>0.86757780379399996</v>
      </c>
      <c r="E6" s="58">
        <f t="shared" ref="E6:E69" si="11">EXP(-1.0587  + 0.8836*LN(D6) + 0.284)</f>
        <v>0.40648207209407394</v>
      </c>
      <c r="F6" s="122">
        <f t="shared" ref="F6:F35" si="12">((D6+E6)* TauxC + Csol + (A6*Clitiere/30))*MasseMol</f>
        <v>260.10787650606056</v>
      </c>
      <c r="G6" s="63"/>
      <c r="H6" s="56">
        <v>1</v>
      </c>
      <c r="I6" s="70">
        <f>10^(-4)*H6^4 - 0.0172*H6^3 + 0.7868*H6^2 + 3.4035*H6 - 2.4213</f>
        <v>1.7519000000000005</v>
      </c>
      <c r="J6" s="73">
        <f t="shared" ref="J6:J69" si="13">I6*1.3</f>
        <v>2.2774700000000005</v>
      </c>
      <c r="K6" s="73">
        <f t="shared" si="0"/>
        <v>0.97931210000000024</v>
      </c>
      <c r="L6" s="58">
        <f t="shared" ref="L6:L69" si="14">EXP(-1.0587  + 0.8836*LN(K6) + 0.284)</f>
        <v>0.45240767804758508</v>
      </c>
      <c r="M6" s="122">
        <f t="shared" ref="M6:M35" si="15">((K6+L6)* TauxC + Csol + (H6*Clitiere/30))* MasseMol</f>
        <v>260.38246750232173</v>
      </c>
      <c r="N6" s="63"/>
      <c r="O6" s="56">
        <v>1</v>
      </c>
      <c r="P6" s="70">
        <f>P5+(($P$15-$P$5)/($O$15-$O$5))</f>
        <v>4.1384400000000001</v>
      </c>
      <c r="Q6" s="73">
        <f t="shared" ref="Q6:Q65" si="16">P6*1.3</f>
        <v>5.3799720000000004</v>
      </c>
      <c r="R6" s="73">
        <f t="shared" si="1"/>
        <v>2.31338796</v>
      </c>
      <c r="S6" s="58">
        <f t="shared" ref="S6:S65" si="17">EXP(-1.0587  + 0.8836*LN(R6) + 0.284)</f>
        <v>0.96694553831712848</v>
      </c>
      <c r="T6" s="122">
        <f t="shared" si="2"/>
        <v>263.60213639845784</v>
      </c>
      <c r="U6" s="80"/>
      <c r="V6" s="56">
        <v>1</v>
      </c>
      <c r="W6" s="70">
        <f>W5+(($W$10-$W$5)/($V$10-$V$5))</f>
        <v>1.9482000000000002</v>
      </c>
      <c r="X6" s="73">
        <f t="shared" ref="X6:X65" si="18">W6*1.3</f>
        <v>2.5326600000000004</v>
      </c>
      <c r="Y6" s="73">
        <f t="shared" si="3"/>
        <v>1.2156768000000002</v>
      </c>
      <c r="Z6" s="58">
        <f t="shared" ref="Z6:Z65" si="19">EXP(-1.0587  + 0.8836*LN(Y6) + 0.284)</f>
        <v>0.54764277619190627</v>
      </c>
      <c r="AA6" s="122">
        <f t="shared" si="4"/>
        <v>260.96000381742311</v>
      </c>
      <c r="AB6"/>
      <c r="AC6" s="56">
        <v>1</v>
      </c>
      <c r="AD6" s="70">
        <f t="shared" ref="AD6:AD24" si="20">AD5+($AD$26-$AD$5)/($AC$26-$AC$5)</f>
        <v>0.51401523809523675</v>
      </c>
      <c r="AE6" s="71">
        <f t="shared" ref="AE6:AE69" si="21">AD6*1.3</f>
        <v>0.66821980952380777</v>
      </c>
      <c r="AF6" s="72">
        <f t="shared" si="5"/>
        <v>0.2405591314285708</v>
      </c>
      <c r="AG6" s="72">
        <f t="shared" ref="AG6:AG69" si="22">EXP(-1.0587  + 0.8836*LN(AF6) + 0.284)</f>
        <v>0.13085782238441224</v>
      </c>
      <c r="AH6" s="128">
        <f t="shared" si="6"/>
        <v>258.53577341677982</v>
      </c>
      <c r="AI6"/>
      <c r="AJ6" s="56">
        <v>1</v>
      </c>
      <c r="AK6" s="70">
        <v>2</v>
      </c>
      <c r="AL6" s="73">
        <f t="shared" ref="AL6:AL70" si="23">AK6*1.56</f>
        <v>3.12</v>
      </c>
      <c r="AM6" s="73">
        <f t="shared" si="7"/>
        <v>1.6224000000000001</v>
      </c>
      <c r="AN6" s="58">
        <f t="shared" ref="AN6:AN69" si="24">EXP(-1.0587  + 0.8836*LN(AM6) + 0.284)</f>
        <v>0.70672038512206192</v>
      </c>
      <c r="AO6" s="122">
        <f t="shared" si="8"/>
        <v>297.38988467075421</v>
      </c>
    </row>
    <row r="7" spans="1:41" x14ac:dyDescent="0.25">
      <c r="A7" s="56">
        <v>2</v>
      </c>
      <c r="B7" s="70">
        <f t="shared" ref="B7:B21" si="25">3*10^(-9) *A7^6- 10^(-6)*A7^5 + 4*10^(-4)*A7^4 - 0.0202*A7^3 + 0.5242*A7^2 + 1.1776*A7-0.2312</f>
        <v>4.0655681919999997</v>
      </c>
      <c r="C7" s="73">
        <f t="shared" si="9"/>
        <v>5.2852386496000001</v>
      </c>
      <c r="D7" s="58">
        <f t="shared" si="10"/>
        <v>2.4312097788160001</v>
      </c>
      <c r="E7" s="58">
        <f t="shared" si="11"/>
        <v>1.010333532963501</v>
      </c>
      <c r="F7" s="122">
        <f t="shared" si="12"/>
        <v>265.1051323791271</v>
      </c>
      <c r="G7" s="63"/>
      <c r="H7" s="56">
        <v>2</v>
      </c>
      <c r="I7" s="70">
        <f t="shared" ref="I7:I19" si="26">10^(-4)*H7^4 - 0.0172*H7^3 + 0.7868*H7^2 + 3.4035*H7 - 2.4213</f>
        <v>7.3969000000000005</v>
      </c>
      <c r="J7" s="73">
        <f t="shared" si="13"/>
        <v>9.6159700000000008</v>
      </c>
      <c r="K7" s="73">
        <f t="shared" si="0"/>
        <v>4.1348671000000001</v>
      </c>
      <c r="L7" s="58">
        <f t="shared" si="14"/>
        <v>1.6153160010925558</v>
      </c>
      <c r="M7" s="122">
        <f t="shared" si="15"/>
        <v>269.12601334551402</v>
      </c>
      <c r="N7" s="63"/>
      <c r="O7" s="56">
        <v>2</v>
      </c>
      <c r="P7" s="70">
        <f t="shared" ref="P7:P14" si="27">P6+(($P$15-$P$5)/($O$15-$O$5))</f>
        <v>7.2768800000000002</v>
      </c>
      <c r="Q7" s="73">
        <f t="shared" si="16"/>
        <v>9.4599440000000001</v>
      </c>
      <c r="R7" s="73">
        <f t="shared" si="1"/>
        <v>4.0677759199999999</v>
      </c>
      <c r="S7" s="58">
        <f t="shared" si="17"/>
        <v>1.5921351434711</v>
      </c>
      <c r="T7" s="122">
        <f t="shared" si="2"/>
        <v>268.96878954665664</v>
      </c>
      <c r="U7" s="80"/>
      <c r="V7" s="56">
        <v>2</v>
      </c>
      <c r="W7" s="70">
        <f>W6+(($W$10-$W$5)/($V$10-$V$5))</f>
        <v>2.8964000000000003</v>
      </c>
      <c r="X7" s="73">
        <f t="shared" si="18"/>
        <v>3.7653200000000004</v>
      </c>
      <c r="Y7" s="73">
        <f t="shared" si="3"/>
        <v>1.8073536000000001</v>
      </c>
      <c r="Z7" s="58">
        <f t="shared" si="19"/>
        <v>0.77745520094103782</v>
      </c>
      <c r="AA7" s="122">
        <f t="shared" si="4"/>
        <v>263.61298643941672</v>
      </c>
      <c r="AB7"/>
      <c r="AC7" s="56">
        <v>2</v>
      </c>
      <c r="AD7" s="70">
        <f t="shared" si="20"/>
        <v>0.92803047619047341</v>
      </c>
      <c r="AE7" s="71">
        <f t="shared" si="21"/>
        <v>1.2064396190476154</v>
      </c>
      <c r="AF7" s="72">
        <f t="shared" si="5"/>
        <v>0.43431826285714153</v>
      </c>
      <c r="AG7" s="72">
        <f t="shared" si="22"/>
        <v>0.22055621217875679</v>
      </c>
      <c r="AH7" s="128">
        <f t="shared" si="6"/>
        <v>260.25168415513195</v>
      </c>
      <c r="AI7"/>
      <c r="AJ7" s="56">
        <v>2</v>
      </c>
      <c r="AK7" s="70">
        <v>3</v>
      </c>
      <c r="AL7" s="73">
        <f t="shared" si="23"/>
        <v>4.68</v>
      </c>
      <c r="AM7" s="73">
        <f t="shared" si="7"/>
        <v>2.4335999999999998</v>
      </c>
      <c r="AN7" s="58">
        <f t="shared" si="24"/>
        <v>1.0112111626203173</v>
      </c>
      <c r="AO7" s="122">
        <f t="shared" si="8"/>
        <v>299.33304610823035</v>
      </c>
    </row>
    <row r="8" spans="1:41" x14ac:dyDescent="0.25">
      <c r="A8" s="56">
        <v>3</v>
      </c>
      <c r="B8" s="70">
        <f t="shared" si="25"/>
        <v>7.5061591869999997</v>
      </c>
      <c r="C8" s="73">
        <f t="shared" si="9"/>
        <v>9.7580069430999998</v>
      </c>
      <c r="D8" s="58">
        <f t="shared" si="10"/>
        <v>4.4886831938259997</v>
      </c>
      <c r="E8" s="58">
        <f t="shared" si="11"/>
        <v>1.7368582386783444</v>
      </c>
      <c r="F8" s="122">
        <f t="shared" si="12"/>
        <v>271.17615132827837</v>
      </c>
      <c r="G8" s="63"/>
      <c r="H8" s="56">
        <v>3</v>
      </c>
      <c r="I8" s="70">
        <f t="shared" si="26"/>
        <v>14.414099999999999</v>
      </c>
      <c r="J8" s="73">
        <f t="shared" si="13"/>
        <v>18.738330000000001</v>
      </c>
      <c r="K8" s="73">
        <f t="shared" si="0"/>
        <v>8.0574819000000009</v>
      </c>
      <c r="L8" s="58">
        <f t="shared" si="14"/>
        <v>2.912525929446955</v>
      </c>
      <c r="M8" s="122">
        <f t="shared" si="15"/>
        <v>279.43943030295344</v>
      </c>
      <c r="N8" s="63"/>
      <c r="O8" s="56">
        <v>3</v>
      </c>
      <c r="P8" s="70">
        <f t="shared" si="27"/>
        <v>10.415320000000001</v>
      </c>
      <c r="Q8" s="73">
        <f t="shared" si="16"/>
        <v>13.539916000000002</v>
      </c>
      <c r="R8" s="73">
        <f t="shared" si="1"/>
        <v>5.8221638800000006</v>
      </c>
      <c r="S8" s="58">
        <f t="shared" si="17"/>
        <v>2.1856502320295976</v>
      </c>
      <c r="T8" s="122">
        <f t="shared" si="2"/>
        <v>274.28027624511822</v>
      </c>
      <c r="U8" s="80"/>
      <c r="V8" s="56">
        <v>3</v>
      </c>
      <c r="W8" s="70">
        <f>W7+(($W$10-$W$5)/($V$10-$V$5))</f>
        <v>3.8446000000000007</v>
      </c>
      <c r="X8" s="73">
        <f t="shared" si="18"/>
        <v>4.997980000000001</v>
      </c>
      <c r="Y8" s="73">
        <f t="shared" si="3"/>
        <v>2.3990304000000005</v>
      </c>
      <c r="Z8" s="58">
        <f t="shared" si="19"/>
        <v>0.99850824357406054</v>
      </c>
      <c r="AA8" s="122">
        <f t="shared" si="4"/>
        <v>266.25071313755819</v>
      </c>
      <c r="AB8"/>
      <c r="AC8" s="56">
        <v>3</v>
      </c>
      <c r="AD8" s="70">
        <f t="shared" si="20"/>
        <v>1.3420457142857101</v>
      </c>
      <c r="AE8" s="71">
        <f t="shared" si="21"/>
        <v>1.7446594285714232</v>
      </c>
      <c r="AF8" s="72">
        <f t="shared" si="5"/>
        <v>0.6280773942857123</v>
      </c>
      <c r="AG8" s="72">
        <f t="shared" si="22"/>
        <v>0.30554592453020163</v>
      </c>
      <c r="AH8" s="128">
        <f t="shared" si="6"/>
        <v>261.95939394693772</v>
      </c>
      <c r="AI8"/>
      <c r="AJ8" s="56">
        <v>3</v>
      </c>
      <c r="AK8" s="70">
        <v>4</v>
      </c>
      <c r="AL8" s="73">
        <f t="shared" si="23"/>
        <v>6.24</v>
      </c>
      <c r="AM8" s="73">
        <f t="shared" si="7"/>
        <v>3.2448000000000001</v>
      </c>
      <c r="AN8" s="58">
        <f t="shared" si="24"/>
        <v>1.303880297052002</v>
      </c>
      <c r="AO8" s="122">
        <f t="shared" si="8"/>
        <v>301.25561818403224</v>
      </c>
    </row>
    <row r="9" spans="1:41" x14ac:dyDescent="0.25">
      <c r="A9" s="56">
        <v>4</v>
      </c>
      <c r="B9" s="70">
        <f t="shared" si="25"/>
        <v>11.674988288</v>
      </c>
      <c r="C9" s="73">
        <f t="shared" si="9"/>
        <v>15.1774847744</v>
      </c>
      <c r="D9" s="58">
        <f t="shared" si="10"/>
        <v>6.9816429962240001</v>
      </c>
      <c r="E9" s="58">
        <f t="shared" si="11"/>
        <v>2.5660967900859362</v>
      </c>
      <c r="F9" s="122">
        <f t="shared" si="12"/>
        <v>278.18453568337867</v>
      </c>
      <c r="G9" s="63"/>
      <c r="H9" s="56">
        <v>4</v>
      </c>
      <c r="I9" s="70">
        <f t="shared" si="26"/>
        <v>22.706300000000002</v>
      </c>
      <c r="J9" s="73">
        <f t="shared" si="13"/>
        <v>29.518190000000004</v>
      </c>
      <c r="K9" s="73">
        <f t="shared" si="0"/>
        <v>12.692821700000001</v>
      </c>
      <c r="L9" s="58">
        <f t="shared" si="14"/>
        <v>4.3516711834202439</v>
      </c>
      <c r="M9" s="122">
        <f t="shared" si="15"/>
        <v>291.24138066084583</v>
      </c>
      <c r="N9" s="63"/>
      <c r="O9" s="56">
        <v>4</v>
      </c>
      <c r="P9" s="70">
        <f t="shared" si="27"/>
        <v>13.55376</v>
      </c>
      <c r="Q9" s="73">
        <f t="shared" si="16"/>
        <v>17.619888</v>
      </c>
      <c r="R9" s="73">
        <f t="shared" si="1"/>
        <v>7.5765518399999996</v>
      </c>
      <c r="S9" s="58">
        <f t="shared" si="17"/>
        <v>2.7583741222935454</v>
      </c>
      <c r="T9" s="122">
        <f t="shared" si="2"/>
        <v>279.55555160655013</v>
      </c>
      <c r="U9" s="80"/>
      <c r="V9" s="56">
        <v>4</v>
      </c>
      <c r="W9" s="70">
        <f>W8+(($W$10-$W$5)/($V$10-$V$5))</f>
        <v>4.7928000000000006</v>
      </c>
      <c r="X9" s="73">
        <f t="shared" si="18"/>
        <v>6.2306400000000011</v>
      </c>
      <c r="Y9" s="73">
        <f t="shared" si="3"/>
        <v>2.9907072000000006</v>
      </c>
      <c r="Z9" s="58">
        <f t="shared" si="19"/>
        <v>1.2132376512439194</v>
      </c>
      <c r="AA9" s="122">
        <f t="shared" si="4"/>
        <v>268.87742617147205</v>
      </c>
      <c r="AB9"/>
      <c r="AC9" s="56">
        <v>4</v>
      </c>
      <c r="AD9" s="70">
        <f t="shared" si="20"/>
        <v>1.7560609523809467</v>
      </c>
      <c r="AE9" s="71">
        <f t="shared" si="21"/>
        <v>2.282879238095231</v>
      </c>
      <c r="AF9" s="72">
        <f t="shared" si="5"/>
        <v>0.82183652571428312</v>
      </c>
      <c r="AG9" s="72">
        <f t="shared" si="22"/>
        <v>0.38748641307865245</v>
      </c>
      <c r="AH9" s="128">
        <f t="shared" si="6"/>
        <v>263.66179300728658</v>
      </c>
      <c r="AI9"/>
      <c r="AJ9" s="56">
        <v>4</v>
      </c>
      <c r="AK9" s="70">
        <v>5</v>
      </c>
      <c r="AL9" s="73">
        <f t="shared" si="23"/>
        <v>7.8000000000000007</v>
      </c>
      <c r="AM9" s="73">
        <f t="shared" si="7"/>
        <v>4.0560000000000009</v>
      </c>
      <c r="AN9" s="58">
        <f t="shared" si="24"/>
        <v>1.5880618405727245</v>
      </c>
      <c r="AO9" s="122">
        <f t="shared" si="8"/>
        <v>303.16340770566416</v>
      </c>
    </row>
    <row r="10" spans="1:41" x14ac:dyDescent="0.25">
      <c r="A10" s="56">
        <v>5</v>
      </c>
      <c r="B10" s="70">
        <f t="shared" si="25"/>
        <v>16.483721875000001</v>
      </c>
      <c r="C10" s="73">
        <f t="shared" si="9"/>
        <v>21.428838437500001</v>
      </c>
      <c r="D10" s="58">
        <f t="shared" si="10"/>
        <v>9.8572656812500004</v>
      </c>
      <c r="E10" s="58">
        <f t="shared" si="11"/>
        <v>3.4804490043864003</v>
      </c>
      <c r="F10" s="122">
        <f t="shared" si="12"/>
        <v>286.0076308552612</v>
      </c>
      <c r="G10" s="63"/>
      <c r="H10" s="56">
        <v>5</v>
      </c>
      <c r="I10" s="70">
        <f t="shared" si="26"/>
        <v>32.178700000000006</v>
      </c>
      <c r="J10" s="73">
        <f t="shared" si="13"/>
        <v>41.832310000000007</v>
      </c>
      <c r="K10" s="73">
        <f t="shared" si="0"/>
        <v>17.987893300000003</v>
      </c>
      <c r="L10" s="58">
        <f t="shared" si="14"/>
        <v>5.9217853384611585</v>
      </c>
      <c r="M10" s="122">
        <f t="shared" si="15"/>
        <v>304.42046807309765</v>
      </c>
      <c r="N10" s="63"/>
      <c r="O10" s="56">
        <v>5</v>
      </c>
      <c r="P10" s="70">
        <f t="shared" si="27"/>
        <v>16.6922</v>
      </c>
      <c r="Q10" s="73">
        <f t="shared" si="16"/>
        <v>21.699860000000001</v>
      </c>
      <c r="R10" s="73">
        <f t="shared" si="1"/>
        <v>9.3309397999999995</v>
      </c>
      <c r="S10" s="58">
        <f t="shared" si="17"/>
        <v>3.3157222016997525</v>
      </c>
      <c r="T10" s="122">
        <f t="shared" si="2"/>
        <v>284.80404743073819</v>
      </c>
      <c r="U10" s="80"/>
      <c r="V10" s="56">
        <v>5</v>
      </c>
      <c r="W10" s="70">
        <f t="shared" ref="W10:W15" si="28">0.0002*V10^4-0.0232*V10^3+0.858*V10^2-2.6436*V10+0.284</f>
        <v>5.7410000000000005</v>
      </c>
      <c r="X10" s="73">
        <f t="shared" si="18"/>
        <v>7.4633000000000012</v>
      </c>
      <c r="Y10" s="73">
        <f t="shared" si="3"/>
        <v>3.5823840000000002</v>
      </c>
      <c r="Z10" s="58">
        <f t="shared" si="19"/>
        <v>1.4230447739741072</v>
      </c>
      <c r="AA10" s="122">
        <f t="shared" si="4"/>
        <v>271.49556622578268</v>
      </c>
      <c r="AB10"/>
      <c r="AC10" s="56">
        <v>5</v>
      </c>
      <c r="AD10" s="70">
        <f t="shared" si="20"/>
        <v>2.1700761904761836</v>
      </c>
      <c r="AE10" s="71">
        <f t="shared" si="21"/>
        <v>2.8210990476190387</v>
      </c>
      <c r="AF10" s="72">
        <f t="shared" si="5"/>
        <v>1.0155956571428539</v>
      </c>
      <c r="AG10" s="72">
        <f t="shared" si="22"/>
        <v>0.46718683348796003</v>
      </c>
      <c r="AH10" s="128">
        <f t="shared" si="6"/>
        <v>265.36029061562647</v>
      </c>
      <c r="AI10"/>
      <c r="AJ10" s="56">
        <v>5</v>
      </c>
      <c r="AK10" s="70">
        <v>6</v>
      </c>
      <c r="AL10" s="73">
        <f t="shared" si="23"/>
        <v>9.36</v>
      </c>
      <c r="AM10" s="73">
        <f t="shared" si="7"/>
        <v>4.8671999999999995</v>
      </c>
      <c r="AN10" s="58">
        <f t="shared" si="24"/>
        <v>1.8656576757326089</v>
      </c>
      <c r="AO10" s="122">
        <f t="shared" si="8"/>
        <v>305.05972711856759</v>
      </c>
    </row>
    <row r="11" spans="1:41" x14ac:dyDescent="0.25">
      <c r="A11" s="56">
        <v>6</v>
      </c>
      <c r="B11" s="70">
        <f t="shared" si="25"/>
        <v>21.853163968</v>
      </c>
      <c r="C11" s="73">
        <f t="shared" si="9"/>
        <v>28.4091131584</v>
      </c>
      <c r="D11" s="58">
        <f t="shared" si="10"/>
        <v>13.068192052864001</v>
      </c>
      <c r="E11" s="58">
        <f t="shared" si="11"/>
        <v>4.4651914865402862</v>
      </c>
      <c r="F11" s="122">
        <f t="shared" si="12"/>
        <v>294.53730966446244</v>
      </c>
      <c r="G11" s="63"/>
      <c r="H11" s="56">
        <v>6</v>
      </c>
      <c r="I11" s="70">
        <f t="shared" si="26"/>
        <v>42.738900000000001</v>
      </c>
      <c r="J11" s="73">
        <f t="shared" si="13"/>
        <v>55.560570000000006</v>
      </c>
      <c r="K11" s="73">
        <f t="shared" si="0"/>
        <v>23.891045100000003</v>
      </c>
      <c r="L11" s="58">
        <f t="shared" si="14"/>
        <v>7.6095792043764039</v>
      </c>
      <c r="M11" s="122">
        <f t="shared" si="15"/>
        <v>318.86358733012224</v>
      </c>
      <c r="N11" s="63"/>
      <c r="O11" s="56">
        <v>6</v>
      </c>
      <c r="P11" s="70">
        <f t="shared" si="27"/>
        <v>19.830639999999999</v>
      </c>
      <c r="Q11" s="73">
        <f t="shared" si="16"/>
        <v>25.779831999999999</v>
      </c>
      <c r="R11" s="73">
        <f t="shared" si="1"/>
        <v>11.08532776</v>
      </c>
      <c r="S11" s="58">
        <f t="shared" si="17"/>
        <v>3.8609295167352911</v>
      </c>
      <c r="T11" s="122">
        <f t="shared" si="2"/>
        <v>290.03139809031393</v>
      </c>
      <c r="U11" s="80"/>
      <c r="V11" s="56">
        <v>6</v>
      </c>
      <c r="W11" s="70">
        <f t="shared" si="28"/>
        <v>10.558399999999999</v>
      </c>
      <c r="X11" s="73">
        <f t="shared" si="18"/>
        <v>13.725919999999999</v>
      </c>
      <c r="Y11" s="73">
        <f t="shared" si="3"/>
        <v>6.5884415999999995</v>
      </c>
      <c r="Z11" s="58">
        <f t="shared" si="19"/>
        <v>2.4379705727346037</v>
      </c>
      <c r="AA11" s="122">
        <f t="shared" si="4"/>
        <v>279.7210012008461</v>
      </c>
      <c r="AB11"/>
      <c r="AC11" s="56">
        <v>6</v>
      </c>
      <c r="AD11" s="70">
        <f t="shared" si="20"/>
        <v>2.5840914285714205</v>
      </c>
      <c r="AE11" s="71">
        <f t="shared" si="21"/>
        <v>3.3593188571428469</v>
      </c>
      <c r="AF11" s="72">
        <f t="shared" si="5"/>
        <v>1.2093547885714249</v>
      </c>
      <c r="AG11" s="72">
        <f t="shared" si="22"/>
        <v>0.54512555198950285</v>
      </c>
      <c r="AH11" s="128">
        <f t="shared" si="6"/>
        <v>267.05571992647697</v>
      </c>
      <c r="AI11"/>
      <c r="AJ11" s="56">
        <v>6</v>
      </c>
      <c r="AK11" s="70">
        <v>7</v>
      </c>
      <c r="AL11" s="73">
        <f t="shared" si="23"/>
        <v>10.92</v>
      </c>
      <c r="AM11" s="73">
        <f t="shared" si="7"/>
        <v>5.6783999999999999</v>
      </c>
      <c r="AN11" s="58">
        <f t="shared" si="24"/>
        <v>2.1378938726743599</v>
      </c>
      <c r="AO11" s="122">
        <f t="shared" si="8"/>
        <v>306.94671182824118</v>
      </c>
    </row>
    <row r="12" spans="1:41" x14ac:dyDescent="0.25">
      <c r="A12" s="56">
        <v>7</v>
      </c>
      <c r="B12" s="70">
        <f t="shared" si="25"/>
        <v>27.713145947000001</v>
      </c>
      <c r="C12" s="73">
        <f t="shared" si="9"/>
        <v>36.027089731100006</v>
      </c>
      <c r="D12" s="58">
        <f t="shared" si="10"/>
        <v>16.572461276306004</v>
      </c>
      <c r="E12" s="58">
        <f t="shared" si="11"/>
        <v>5.5081077766989601</v>
      </c>
      <c r="F12" s="122">
        <f t="shared" si="12"/>
        <v>303.6792133228725</v>
      </c>
      <c r="G12" s="63"/>
      <c r="H12" s="56">
        <v>7</v>
      </c>
      <c r="I12" s="70">
        <f t="shared" si="26"/>
        <v>54.296900000000001</v>
      </c>
      <c r="J12" s="73">
        <f t="shared" si="13"/>
        <v>70.585970000000003</v>
      </c>
      <c r="K12" s="73">
        <f t="shared" si="0"/>
        <v>30.3519671</v>
      </c>
      <c r="L12" s="58">
        <f t="shared" si="14"/>
        <v>9.4018292416540312</v>
      </c>
      <c r="M12" s="122">
        <f t="shared" si="15"/>
        <v>334.46008418393632</v>
      </c>
      <c r="N12" s="63"/>
      <c r="O12" s="56">
        <v>7</v>
      </c>
      <c r="P12" s="70">
        <f t="shared" si="27"/>
        <v>22.969079999999998</v>
      </c>
      <c r="Q12" s="73">
        <f t="shared" si="16"/>
        <v>29.859803999999997</v>
      </c>
      <c r="R12" s="73">
        <f t="shared" si="1"/>
        <v>12.839715719999999</v>
      </c>
      <c r="S12" s="58">
        <f t="shared" si="17"/>
        <v>4.3961411038286426</v>
      </c>
      <c r="T12" s="122">
        <f t="shared" si="2"/>
        <v>295.24133952372375</v>
      </c>
      <c r="U12" s="80"/>
      <c r="V12" s="56">
        <v>7</v>
      </c>
      <c r="W12" s="70">
        <f t="shared" si="28"/>
        <v>16.343399999999995</v>
      </c>
      <c r="X12" s="73">
        <f t="shared" si="18"/>
        <v>21.246419999999993</v>
      </c>
      <c r="Y12" s="73">
        <f t="shared" si="3"/>
        <v>10.198281599999996</v>
      </c>
      <c r="Z12" s="58">
        <f t="shared" si="19"/>
        <v>3.5866295464025422</v>
      </c>
      <c r="AA12" s="122">
        <f t="shared" si="4"/>
        <v>289.23094246887331</v>
      </c>
      <c r="AB12"/>
      <c r="AC12" s="56">
        <v>7</v>
      </c>
      <c r="AD12" s="70">
        <f t="shared" si="20"/>
        <v>2.9981066666666574</v>
      </c>
      <c r="AE12" s="71">
        <f t="shared" si="21"/>
        <v>3.8975386666666547</v>
      </c>
      <c r="AF12" s="72">
        <f t="shared" si="5"/>
        <v>1.4031139199999956</v>
      </c>
      <c r="AG12" s="72">
        <f t="shared" si="22"/>
        <v>0.62161771220897355</v>
      </c>
      <c r="AH12" s="128">
        <f t="shared" si="6"/>
        <v>268.74862981498615</v>
      </c>
      <c r="AI12"/>
      <c r="AJ12" s="56">
        <v>7</v>
      </c>
      <c r="AK12" s="70">
        <v>8</v>
      </c>
      <c r="AL12" s="73">
        <f t="shared" si="23"/>
        <v>12.48</v>
      </c>
      <c r="AM12" s="73">
        <f t="shared" si="7"/>
        <v>6.4896000000000003</v>
      </c>
      <c r="AN12" s="58">
        <f t="shared" si="24"/>
        <v>2.4056244376575928</v>
      </c>
      <c r="AO12" s="122">
        <f t="shared" si="8"/>
        <v>308.82584922892028</v>
      </c>
    </row>
    <row r="13" spans="1:41" x14ac:dyDescent="0.25">
      <c r="A13" s="56">
        <v>8</v>
      </c>
      <c r="B13" s="70">
        <f t="shared" si="25"/>
        <v>34.002418431999999</v>
      </c>
      <c r="C13" s="73">
        <f t="shared" si="9"/>
        <v>44.203143961599999</v>
      </c>
      <c r="D13" s="58">
        <f t="shared" si="10"/>
        <v>20.333446222336001</v>
      </c>
      <c r="E13" s="58">
        <f t="shared" si="11"/>
        <v>6.5991393154433196</v>
      </c>
      <c r="F13" s="122">
        <f t="shared" si="12"/>
        <v>313.35203092274344</v>
      </c>
      <c r="G13" s="63"/>
      <c r="H13" s="56">
        <v>8</v>
      </c>
      <c r="I13" s="70">
        <f t="shared" si="26"/>
        <v>66.765100000000004</v>
      </c>
      <c r="J13" s="73">
        <f t="shared" si="13"/>
        <v>86.794630000000012</v>
      </c>
      <c r="K13" s="73">
        <f t="shared" si="0"/>
        <v>37.321690900000007</v>
      </c>
      <c r="L13" s="58">
        <f t="shared" si="14"/>
        <v>11.285922921836741</v>
      </c>
      <c r="M13" s="122">
        <f t="shared" si="15"/>
        <v>351.10270518414347</v>
      </c>
      <c r="N13" s="63"/>
      <c r="O13" s="56">
        <v>8</v>
      </c>
      <c r="P13" s="70">
        <f t="shared" si="27"/>
        <v>26.107519999999997</v>
      </c>
      <c r="Q13" s="73">
        <f t="shared" si="16"/>
        <v>33.939775999999995</v>
      </c>
      <c r="R13" s="73">
        <f t="shared" si="1"/>
        <v>14.594103679999998</v>
      </c>
      <c r="S13" s="58">
        <f t="shared" si="17"/>
        <v>4.9228798871635817</v>
      </c>
      <c r="T13" s="122">
        <f t="shared" si="2"/>
        <v>300.43652415725438</v>
      </c>
      <c r="U13" s="80"/>
      <c r="V13" s="56">
        <v>8</v>
      </c>
      <c r="W13" s="70">
        <f t="shared" si="28"/>
        <v>22.988</v>
      </c>
      <c r="X13" s="73">
        <f t="shared" si="18"/>
        <v>29.884399999999999</v>
      </c>
      <c r="Y13" s="73">
        <f t="shared" si="3"/>
        <v>14.344512</v>
      </c>
      <c r="Z13" s="58">
        <f t="shared" si="19"/>
        <v>4.8484131273650091</v>
      </c>
      <c r="AA13" s="122">
        <f t="shared" si="4"/>
        <v>299.87212237460517</v>
      </c>
      <c r="AB13"/>
      <c r="AC13" s="56">
        <v>8</v>
      </c>
      <c r="AD13" s="70">
        <f t="shared" si="20"/>
        <v>3.4121219047618943</v>
      </c>
      <c r="AE13" s="71">
        <f t="shared" si="21"/>
        <v>4.4357584761904629</v>
      </c>
      <c r="AF13" s="72">
        <f t="shared" si="5"/>
        <v>1.5968730514285665</v>
      </c>
      <c r="AG13" s="72">
        <f t="shared" si="22"/>
        <v>0.69688606935436592</v>
      </c>
      <c r="AH13" s="128">
        <f t="shared" si="6"/>
        <v>270.43940824647473</v>
      </c>
      <c r="AI13"/>
      <c r="AJ13" s="56">
        <v>8</v>
      </c>
      <c r="AK13" s="70">
        <v>9</v>
      </c>
      <c r="AL13" s="73">
        <f t="shared" si="23"/>
        <v>14.040000000000001</v>
      </c>
      <c r="AM13" s="73">
        <f t="shared" si="7"/>
        <v>7.3008000000000006</v>
      </c>
      <c r="AN13" s="58">
        <f t="shared" si="24"/>
        <v>2.6694770761469542</v>
      </c>
      <c r="AO13" s="122">
        <f t="shared" si="8"/>
        <v>310.69823257428925</v>
      </c>
    </row>
    <row r="14" spans="1:41" x14ac:dyDescent="0.25">
      <c r="A14" s="56">
        <v>9</v>
      </c>
      <c r="B14" s="70">
        <f t="shared" si="25"/>
        <v>40.668545322999996</v>
      </c>
      <c r="C14" s="73">
        <f t="shared" si="9"/>
        <v>52.8691089199</v>
      </c>
      <c r="D14" s="58">
        <f t="shared" si="10"/>
        <v>24.319790103154002</v>
      </c>
      <c r="E14" s="58">
        <f t="shared" si="11"/>
        <v>7.7301187197791261</v>
      </c>
      <c r="F14" s="122">
        <f t="shared" si="12"/>
        <v>323.48692453327521</v>
      </c>
      <c r="G14" s="63"/>
      <c r="H14" s="56">
        <v>9</v>
      </c>
      <c r="I14" s="70">
        <f t="shared" si="26"/>
        <v>80.058300000000003</v>
      </c>
      <c r="J14" s="73">
        <f t="shared" si="13"/>
        <v>104.07579000000001</v>
      </c>
      <c r="K14" s="73">
        <f t="shared" si="0"/>
        <v>44.752589700000001</v>
      </c>
      <c r="L14" s="58">
        <f t="shared" si="14"/>
        <v>13.249973247232152</v>
      </c>
      <c r="M14" s="122">
        <f t="shared" si="15"/>
        <v>368.68779713309596</v>
      </c>
      <c r="N14" s="63"/>
      <c r="O14" s="56">
        <v>9</v>
      </c>
      <c r="P14" s="70">
        <f t="shared" si="27"/>
        <v>29.245959999999997</v>
      </c>
      <c r="Q14" s="73">
        <f t="shared" si="16"/>
        <v>38.019748</v>
      </c>
      <c r="R14" s="73">
        <f t="shared" si="1"/>
        <v>16.348491639999999</v>
      </c>
      <c r="S14" s="58">
        <f t="shared" si="17"/>
        <v>5.4422808686120252</v>
      </c>
      <c r="T14" s="122">
        <f t="shared" si="2"/>
        <v>305.61892878583262</v>
      </c>
      <c r="U14" s="80"/>
      <c r="V14" s="56">
        <v>9</v>
      </c>
      <c r="W14" s="70">
        <f t="shared" si="28"/>
        <v>30.389000000000003</v>
      </c>
      <c r="X14" s="73">
        <f t="shared" si="18"/>
        <v>39.505700000000004</v>
      </c>
      <c r="Y14" s="73">
        <f t="shared" si="3"/>
        <v>18.962736000000003</v>
      </c>
      <c r="Z14" s="58">
        <f t="shared" si="19"/>
        <v>6.2044799781117863</v>
      </c>
      <c r="AA14" s="122">
        <f t="shared" si="4"/>
        <v>311.49956782854468</v>
      </c>
      <c r="AB14"/>
      <c r="AC14" s="56">
        <v>9</v>
      </c>
      <c r="AD14" s="70">
        <f t="shared" si="20"/>
        <v>3.8261371428571311</v>
      </c>
      <c r="AE14" s="71">
        <f t="shared" si="21"/>
        <v>4.9739782857142707</v>
      </c>
      <c r="AF14" s="72">
        <f t="shared" si="5"/>
        <v>1.7906321828571374</v>
      </c>
      <c r="AG14" s="72">
        <f t="shared" si="22"/>
        <v>0.77109610131845696</v>
      </c>
      <c r="AH14" s="128">
        <f t="shared" si="6"/>
        <v>272.12834342827244</v>
      </c>
      <c r="AI14"/>
      <c r="AJ14" s="56">
        <v>9</v>
      </c>
      <c r="AK14" s="70">
        <v>10</v>
      </c>
      <c r="AL14" s="73">
        <f t="shared" si="23"/>
        <v>15.600000000000001</v>
      </c>
      <c r="AM14" s="73">
        <f t="shared" si="7"/>
        <v>8.1120000000000019</v>
      </c>
      <c r="AN14" s="58">
        <f t="shared" si="24"/>
        <v>2.9299318202987461</v>
      </c>
      <c r="AO14" s="122">
        <f t="shared" si="8"/>
        <v>312.56469792035364</v>
      </c>
    </row>
    <row r="15" spans="1:41" x14ac:dyDescent="0.25">
      <c r="A15" s="56">
        <v>10</v>
      </c>
      <c r="B15" s="70">
        <f t="shared" si="25"/>
        <v>47.6678</v>
      </c>
      <c r="C15" s="73">
        <f t="shared" si="9"/>
        <v>61.968139999999998</v>
      </c>
      <c r="D15" s="58">
        <f t="shared" si="10"/>
        <v>28.505344400000002</v>
      </c>
      <c r="E15" s="58">
        <f t="shared" si="11"/>
        <v>8.8945695815104244</v>
      </c>
      <c r="F15" s="122">
        <f t="shared" si="12"/>
        <v>334.02707240668616</v>
      </c>
      <c r="G15" s="63"/>
      <c r="H15" s="56">
        <v>10</v>
      </c>
      <c r="I15" s="70">
        <f t="shared" si="26"/>
        <v>94.093700000000013</v>
      </c>
      <c r="J15" s="73">
        <f t="shared" si="13"/>
        <v>122.32181000000001</v>
      </c>
      <c r="K15" s="73">
        <f t="shared" si="0"/>
        <v>52.598378300000007</v>
      </c>
      <c r="L15" s="58">
        <f t="shared" si="14"/>
        <v>15.282810818206565</v>
      </c>
      <c r="M15" s="122">
        <f t="shared" si="15"/>
        <v>387.11529326976529</v>
      </c>
      <c r="N15" s="63"/>
      <c r="O15" s="56">
        <v>10</v>
      </c>
      <c r="P15" s="70">
        <f>0.0002*O15^4 - 0.0289*O15^3 + 1.3447*O15^2-7.5076*O15-0.1096</f>
        <v>32.384399999999999</v>
      </c>
      <c r="Q15" s="73">
        <f t="shared" si="16"/>
        <v>42.099719999999998</v>
      </c>
      <c r="R15" s="73">
        <f t="shared" si="1"/>
        <v>18.102879599999998</v>
      </c>
      <c r="S15" s="58">
        <f t="shared" si="17"/>
        <v>5.955221232708209</v>
      </c>
      <c r="T15" s="122">
        <f t="shared" si="2"/>
        <v>310.79008117252232</v>
      </c>
      <c r="U15" s="80"/>
      <c r="V15" s="56">
        <v>10</v>
      </c>
      <c r="W15" s="70">
        <f t="shared" si="28"/>
        <v>38.447999999999993</v>
      </c>
      <c r="X15" s="73">
        <f t="shared" si="18"/>
        <v>49.982399999999991</v>
      </c>
      <c r="Y15" s="73">
        <f t="shared" si="3"/>
        <v>23.991551999999995</v>
      </c>
      <c r="Z15" s="58">
        <f t="shared" si="19"/>
        <v>7.6378586504824701</v>
      </c>
      <c r="AA15" s="122">
        <f t="shared" si="4"/>
        <v>323.97677910514585</v>
      </c>
      <c r="AB15"/>
      <c r="AC15" s="56">
        <v>10</v>
      </c>
      <c r="AD15" s="70">
        <f t="shared" si="20"/>
        <v>4.2401523809523676</v>
      </c>
      <c r="AE15" s="71">
        <f t="shared" si="21"/>
        <v>5.5121980952380785</v>
      </c>
      <c r="AF15" s="72">
        <f t="shared" si="5"/>
        <v>1.9843913142857081</v>
      </c>
      <c r="AG15" s="72">
        <f t="shared" si="22"/>
        <v>0.84437538147233371</v>
      </c>
      <c r="AH15" s="128">
        <f t="shared" si="6"/>
        <v>273.81565755066742</v>
      </c>
      <c r="AI15"/>
      <c r="AJ15" s="56">
        <v>10</v>
      </c>
      <c r="AK15" s="70">
        <v>11</v>
      </c>
      <c r="AL15" s="73">
        <f t="shared" si="23"/>
        <v>17.16</v>
      </c>
      <c r="AM15" s="73">
        <f t="shared" si="7"/>
        <v>8.9231999999999996</v>
      </c>
      <c r="AN15" s="58">
        <f t="shared" si="24"/>
        <v>3.1873671402024266</v>
      </c>
      <c r="AO15" s="122">
        <f t="shared" si="8"/>
        <v>314.42590443585254</v>
      </c>
    </row>
    <row r="16" spans="1:41" x14ac:dyDescent="0.25">
      <c r="A16" s="56">
        <v>11</v>
      </c>
      <c r="B16" s="70">
        <f t="shared" si="25"/>
        <v>54.965063683000004</v>
      </c>
      <c r="C16" s="73">
        <f t="shared" si="9"/>
        <v>71.454582787900009</v>
      </c>
      <c r="D16" s="58">
        <f t="shared" si="10"/>
        <v>32.869108082434003</v>
      </c>
      <c r="E16" s="58">
        <f t="shared" si="11"/>
        <v>10.087553952219645</v>
      </c>
      <c r="F16" s="122">
        <f t="shared" si="12"/>
        <v>344.92729748813287</v>
      </c>
      <c r="G16" s="63"/>
      <c r="H16" s="56">
        <v>11</v>
      </c>
      <c r="I16" s="70">
        <f t="shared" si="26"/>
        <v>108.79090000000002</v>
      </c>
      <c r="J16" s="73">
        <f t="shared" si="13"/>
        <v>141.42817000000002</v>
      </c>
      <c r="K16" s="73">
        <f t="shared" si="0"/>
        <v>60.814113100000007</v>
      </c>
      <c r="L16" s="58">
        <f t="shared" si="14"/>
        <v>17.373940617397327</v>
      </c>
      <c r="M16" s="122">
        <f t="shared" si="15"/>
        <v>406.28863800224485</v>
      </c>
      <c r="N16" s="63"/>
      <c r="O16" s="56">
        <v>11</v>
      </c>
      <c r="P16" s="70">
        <f>0.0002*O16^4 - 0.0289*O16^3 + 1.3447*O16^2-7.5076*O16-0.1096</f>
        <v>44.477799999999988</v>
      </c>
      <c r="Q16" s="73">
        <f t="shared" si="16"/>
        <v>57.821139999999986</v>
      </c>
      <c r="R16" s="73">
        <f t="shared" si="1"/>
        <v>24.863090199999995</v>
      </c>
      <c r="S16" s="58">
        <f t="shared" si="17"/>
        <v>7.8825104672177497</v>
      </c>
      <c r="T16" s="122">
        <f t="shared" si="2"/>
        <v>327.14303227318203</v>
      </c>
      <c r="U16" s="80"/>
      <c r="V16" s="56">
        <v>11</v>
      </c>
      <c r="W16" s="70">
        <f t="shared" ref="W16:W22" si="29">0.0002*V16^4-0.0232*V16^3+0.858*V16^2-2.6436*V16+0.284</f>
        <v>47.071400000000004</v>
      </c>
      <c r="X16" s="73">
        <f t="shared" si="18"/>
        <v>61.192820000000005</v>
      </c>
      <c r="Y16" s="73">
        <f t="shared" si="3"/>
        <v>29.3725536</v>
      </c>
      <c r="Z16" s="58">
        <f t="shared" si="19"/>
        <v>9.133250207291459</v>
      </c>
      <c r="AA16" s="122">
        <f t="shared" si="4"/>
        <v>337.17538607547704</v>
      </c>
      <c r="AB16"/>
      <c r="AC16" s="56">
        <v>11</v>
      </c>
      <c r="AD16" s="70">
        <f t="shared" si="20"/>
        <v>4.6541676190476045</v>
      </c>
      <c r="AE16" s="71">
        <f t="shared" si="21"/>
        <v>6.0504179047618862</v>
      </c>
      <c r="AF16" s="72">
        <f t="shared" si="5"/>
        <v>2.1781504457142788</v>
      </c>
      <c r="AG16" s="72">
        <f t="shared" si="22"/>
        <v>0.91682513220630568</v>
      </c>
      <c r="AH16" s="128">
        <f t="shared" si="6"/>
        <v>275.50152690932276</v>
      </c>
      <c r="AI16"/>
      <c r="AJ16" s="56">
        <v>11</v>
      </c>
      <c r="AK16" s="70">
        <v>12</v>
      </c>
      <c r="AL16" s="73">
        <f t="shared" si="23"/>
        <v>18.72</v>
      </c>
      <c r="AM16" s="73">
        <f t="shared" si="7"/>
        <v>9.7343999999999991</v>
      </c>
      <c r="AN16" s="58">
        <f t="shared" si="24"/>
        <v>3.442088746331315</v>
      </c>
      <c r="AO16" s="122">
        <f t="shared" si="8"/>
        <v>316.28238456652701</v>
      </c>
    </row>
    <row r="17" spans="1:41" customFormat="1" x14ac:dyDescent="0.25">
      <c r="A17" s="56">
        <v>12</v>
      </c>
      <c r="B17" s="70">
        <f t="shared" si="25"/>
        <v>62.533725952000005</v>
      </c>
      <c r="C17" s="73">
        <f t="shared" si="9"/>
        <v>81.293843737600014</v>
      </c>
      <c r="D17" s="58">
        <f t="shared" si="10"/>
        <v>37.395168119296009</v>
      </c>
      <c r="E17" s="58">
        <f t="shared" si="11"/>
        <v>11.305553561856312</v>
      </c>
      <c r="F17" s="122">
        <f t="shared" si="12"/>
        <v>356.15375692800694</v>
      </c>
      <c r="G17" s="63"/>
      <c r="H17" s="56">
        <v>12</v>
      </c>
      <c r="I17" s="70">
        <f t="shared" si="26"/>
        <v>124.07190000000001</v>
      </c>
      <c r="J17" s="73">
        <f t="shared" si="13"/>
        <v>161.29347000000001</v>
      </c>
      <c r="K17" s="73">
        <f t="shared" si="0"/>
        <v>69.356192100000001</v>
      </c>
      <c r="L17" s="58">
        <f t="shared" si="14"/>
        <v>19.513491504109751</v>
      </c>
      <c r="M17" s="122">
        <f t="shared" si="15"/>
        <v>426.11469894382452</v>
      </c>
      <c r="N17" s="63"/>
      <c r="O17" s="56">
        <v>12</v>
      </c>
      <c r="P17" s="70">
        <f>0.0002*O17^4 - 0.0289*O17^3 + 1.3447*O17^2-7.5076*O17-0.1096</f>
        <v>57.643999999999991</v>
      </c>
      <c r="Q17" s="73">
        <f t="shared" si="16"/>
        <v>74.93719999999999</v>
      </c>
      <c r="R17" s="73">
        <f t="shared" si="1"/>
        <v>32.222995999999995</v>
      </c>
      <c r="S17" s="58">
        <f t="shared" si="17"/>
        <v>9.9121409597256047</v>
      </c>
      <c r="T17" s="122">
        <f t="shared" si="2"/>
        <v>344.71869687152207</v>
      </c>
      <c r="U17" s="80"/>
      <c r="V17" s="56">
        <v>12</v>
      </c>
      <c r="W17" s="70">
        <f t="shared" si="29"/>
        <v>56.170399999999994</v>
      </c>
      <c r="X17" s="73">
        <f t="shared" si="18"/>
        <v>73.021519999999995</v>
      </c>
      <c r="Y17" s="73">
        <f t="shared" si="3"/>
        <v>35.050329599999998</v>
      </c>
      <c r="Z17" s="58">
        <f t="shared" si="19"/>
        <v>10.676822186226021</v>
      </c>
      <c r="AA17" s="122">
        <f t="shared" si="4"/>
        <v>350.97478936101027</v>
      </c>
      <c r="AC17" s="56">
        <v>12</v>
      </c>
      <c r="AD17" s="70">
        <f t="shared" si="20"/>
        <v>5.0681828571428413</v>
      </c>
      <c r="AE17" s="71">
        <f t="shared" si="21"/>
        <v>6.588637714285694</v>
      </c>
      <c r="AF17" s="72">
        <f t="shared" si="5"/>
        <v>2.3719095771428496</v>
      </c>
      <c r="AG17" s="72">
        <f t="shared" si="22"/>
        <v>0.98852753604230348</v>
      </c>
      <c r="AH17" s="128">
        <f t="shared" si="6"/>
        <v>277.1860946387975</v>
      </c>
      <c r="AJ17" s="56">
        <v>12</v>
      </c>
      <c r="AK17" s="70">
        <v>13</v>
      </c>
      <c r="AL17" s="73">
        <f t="shared" si="23"/>
        <v>20.28</v>
      </c>
      <c r="AM17" s="73">
        <f t="shared" si="7"/>
        <v>10.5456</v>
      </c>
      <c r="AN17" s="58">
        <f t="shared" si="24"/>
        <v>3.6943484919296665</v>
      </c>
      <c r="AO17" s="122">
        <f t="shared" si="8"/>
        <v>318.13457695677749</v>
      </c>
    </row>
    <row r="18" spans="1:41" x14ac:dyDescent="0.25">
      <c r="A18" s="56">
        <v>13</v>
      </c>
      <c r="B18" s="70">
        <f t="shared" si="25"/>
        <v>70.355587427000003</v>
      </c>
      <c r="C18" s="73">
        <f t="shared" si="9"/>
        <v>91.462263655100003</v>
      </c>
      <c r="D18" s="58">
        <f t="shared" si="10"/>
        <v>42.072641281346002</v>
      </c>
      <c r="E18" s="58">
        <f t="shared" si="11"/>
        <v>12.546375120665447</v>
      </c>
      <c r="F18" s="122">
        <f t="shared" si="12"/>
        <v>367.68367578905878</v>
      </c>
      <c r="G18" s="63"/>
      <c r="H18" s="56">
        <v>13</v>
      </c>
      <c r="I18" s="70">
        <f t="shared" si="26"/>
        <v>139.86109999999999</v>
      </c>
      <c r="J18" s="73">
        <f t="shared" si="13"/>
        <v>181.81943000000001</v>
      </c>
      <c r="K18" s="73">
        <f t="shared" si="0"/>
        <v>78.182354900000007</v>
      </c>
      <c r="L18" s="58">
        <f t="shared" si="14"/>
        <v>21.69216774507683</v>
      </c>
      <c r="M18" s="122">
        <f t="shared" si="15"/>
        <v>446.50368249573103</v>
      </c>
      <c r="N18" s="63"/>
      <c r="O18" s="56">
        <v>13</v>
      </c>
      <c r="P18" s="70">
        <f t="shared" ref="P18:P23" si="30">0.0002*O18^4 - 0.0289*O18^3 + 1.3447*O18^2-7.5076*O18-0.1096</f>
        <v>71.764800000000022</v>
      </c>
      <c r="Q18" s="73">
        <f t="shared" si="16"/>
        <v>93.29424000000003</v>
      </c>
      <c r="R18" s="73">
        <f t="shared" si="1"/>
        <v>40.11652320000001</v>
      </c>
      <c r="S18" s="58">
        <f t="shared" si="17"/>
        <v>12.02952616316662</v>
      </c>
      <c r="T18" s="122">
        <f t="shared" si="2"/>
        <v>363.37659152973742</v>
      </c>
      <c r="U18" s="80"/>
      <c r="V18" s="56">
        <v>13</v>
      </c>
      <c r="W18" s="70">
        <f t="shared" si="29"/>
        <v>65.661000000000016</v>
      </c>
      <c r="X18" s="73">
        <f t="shared" si="18"/>
        <v>85.359300000000019</v>
      </c>
      <c r="Y18" s="73">
        <f t="shared" si="3"/>
        <v>40.972464000000009</v>
      </c>
      <c r="Z18" s="58">
        <f t="shared" si="19"/>
        <v>12.256037152818402</v>
      </c>
      <c r="AA18" s="122">
        <f t="shared" si="4"/>
        <v>365.26186173004754</v>
      </c>
      <c r="AB18"/>
      <c r="AC18" s="56">
        <v>13</v>
      </c>
      <c r="AD18" s="70">
        <f t="shared" si="20"/>
        <v>5.4821980952380782</v>
      </c>
      <c r="AE18" s="71">
        <f t="shared" si="21"/>
        <v>7.1268575238095018</v>
      </c>
      <c r="AF18" s="72">
        <f t="shared" si="5"/>
        <v>2.5656687085714207</v>
      </c>
      <c r="AG18" s="72">
        <f t="shared" si="22"/>
        <v>1.0595505838406376</v>
      </c>
      <c r="AH18" s="128">
        <f t="shared" si="6"/>
        <v>278.86947915650654</v>
      </c>
      <c r="AI18"/>
      <c r="AJ18" s="56">
        <v>13</v>
      </c>
      <c r="AK18" s="70">
        <v>14</v>
      </c>
      <c r="AL18" s="73">
        <f t="shared" si="23"/>
        <v>21.84</v>
      </c>
      <c r="AM18" s="73">
        <f t="shared" si="7"/>
        <v>11.3568</v>
      </c>
      <c r="AN18" s="58">
        <f t="shared" si="24"/>
        <v>3.9443572825295607</v>
      </c>
      <c r="AO18" s="122">
        <f t="shared" si="8"/>
        <v>319.98284893373892</v>
      </c>
    </row>
    <row r="19" spans="1:41" x14ac:dyDescent="0.25">
      <c r="A19" s="56">
        <v>14</v>
      </c>
      <c r="B19" s="70">
        <f t="shared" si="25"/>
        <v>78.420764608000013</v>
      </c>
      <c r="C19" s="73">
        <f t="shared" si="9"/>
        <v>101.94699399040002</v>
      </c>
      <c r="D19" s="58">
        <f t="shared" si="10"/>
        <v>46.895617235584012</v>
      </c>
      <c r="E19" s="58">
        <f t="shared" si="11"/>
        <v>13.809073036168421</v>
      </c>
      <c r="F19" s="122">
        <f t="shared" si="12"/>
        <v>379.50511333441329</v>
      </c>
      <c r="G19" s="63"/>
      <c r="H19" s="56">
        <v>14</v>
      </c>
      <c r="I19" s="70">
        <f t="shared" si="26"/>
        <v>156.08530000000002</v>
      </c>
      <c r="J19" s="73">
        <f t="shared" si="13"/>
        <v>202.91089000000002</v>
      </c>
      <c r="K19" s="73">
        <f t="shared" si="0"/>
        <v>87.251682700000003</v>
      </c>
      <c r="L19" s="58">
        <f t="shared" si="14"/>
        <v>23.901205425580507</v>
      </c>
      <c r="M19" s="122">
        <f t="shared" si="15"/>
        <v>467.36905792983049</v>
      </c>
      <c r="N19" s="63"/>
      <c r="O19" s="56">
        <v>14</v>
      </c>
      <c r="P19" s="70">
        <f t="shared" si="30"/>
        <v>86.726799999999969</v>
      </c>
      <c r="Q19" s="73">
        <f t="shared" si="16"/>
        <v>112.74483999999997</v>
      </c>
      <c r="R19" s="73">
        <f t="shared" si="1"/>
        <v>48.480281199999986</v>
      </c>
      <c r="S19" s="58">
        <f t="shared" si="17"/>
        <v>14.220583406831254</v>
      </c>
      <c r="T19" s="122">
        <f t="shared" si="2"/>
        <v>382.98178363467554</v>
      </c>
      <c r="U19" s="80"/>
      <c r="V19" s="56">
        <v>14</v>
      </c>
      <c r="W19" s="70">
        <f t="shared" si="29"/>
        <v>75.464000000000013</v>
      </c>
      <c r="X19" s="73">
        <f t="shared" si="18"/>
        <v>98.103200000000015</v>
      </c>
      <c r="Y19" s="73">
        <f t="shared" si="3"/>
        <v>47.089536000000003</v>
      </c>
      <c r="Z19" s="58">
        <f t="shared" si="19"/>
        <v>13.859516330524652</v>
      </c>
      <c r="AA19" s="122">
        <f t="shared" si="4"/>
        <v>379.93071058677486</v>
      </c>
      <c r="AB19"/>
      <c r="AC19" s="56">
        <v>14</v>
      </c>
      <c r="AD19" s="70">
        <f t="shared" si="20"/>
        <v>5.8962133333333151</v>
      </c>
      <c r="AE19" s="71">
        <f t="shared" si="21"/>
        <v>7.6650773333333095</v>
      </c>
      <c r="AF19" s="72">
        <f t="shared" si="5"/>
        <v>2.7594278399999914</v>
      </c>
      <c r="AG19" s="72">
        <f t="shared" si="22"/>
        <v>1.1299514141786862</v>
      </c>
      <c r="AH19" s="128">
        <f t="shared" si="6"/>
        <v>280.55177997880565</v>
      </c>
      <c r="AI19"/>
      <c r="AJ19" s="56">
        <v>14</v>
      </c>
      <c r="AK19" s="70">
        <v>15</v>
      </c>
      <c r="AL19" s="73">
        <f t="shared" si="23"/>
        <v>23.400000000000002</v>
      </c>
      <c r="AM19" s="73">
        <f t="shared" si="7"/>
        <v>12.168000000000001</v>
      </c>
      <c r="AN19" s="58">
        <f t="shared" si="24"/>
        <v>4.192294187029626</v>
      </c>
      <c r="AO19" s="122">
        <f t="shared" si="8"/>
        <v>321.82751237574325</v>
      </c>
    </row>
    <row r="20" spans="1:41" x14ac:dyDescent="0.25">
      <c r="A20" s="56">
        <v>15</v>
      </c>
      <c r="B20" s="70">
        <f t="shared" si="25"/>
        <v>86.727596875000003</v>
      </c>
      <c r="C20" s="73">
        <f t="shared" si="9"/>
        <v>112.7458759375</v>
      </c>
      <c r="D20" s="58">
        <f t="shared" si="10"/>
        <v>51.863102931250005</v>
      </c>
      <c r="E20" s="58">
        <f t="shared" si="11"/>
        <v>15.093884853772545</v>
      </c>
      <c r="F20" s="122">
        <f t="shared" si="12"/>
        <v>391.61675372558091</v>
      </c>
      <c r="G20" s="63"/>
      <c r="H20" s="56">
        <v>15</v>
      </c>
      <c r="I20" s="70">
        <v>162</v>
      </c>
      <c r="J20" s="73">
        <f t="shared" si="13"/>
        <v>210.6</v>
      </c>
      <c r="K20" s="73">
        <f t="shared" si="0"/>
        <v>90.557999999999993</v>
      </c>
      <c r="L20" s="58">
        <f t="shared" si="14"/>
        <v>24.699752708509138</v>
      </c>
      <c r="M20" s="122">
        <f t="shared" si="15"/>
        <v>475.7405859673201</v>
      </c>
      <c r="N20" s="63"/>
      <c r="O20" s="56">
        <v>15</v>
      </c>
      <c r="P20" s="70">
        <f t="shared" si="30"/>
        <v>102.42140000000001</v>
      </c>
      <c r="Q20" s="73">
        <f t="shared" si="16"/>
        <v>133.14782000000002</v>
      </c>
      <c r="R20" s="73">
        <f t="shared" si="1"/>
        <v>57.253562600000009</v>
      </c>
      <c r="S20" s="58">
        <f t="shared" si="17"/>
        <v>16.472001298074968</v>
      </c>
      <c r="T20" s="122">
        <f t="shared" si="2"/>
        <v>403.40535712248055</v>
      </c>
      <c r="U20" s="80"/>
      <c r="V20" s="56">
        <v>15</v>
      </c>
      <c r="W20" s="70">
        <f t="shared" si="29"/>
        <v>85.504999999999981</v>
      </c>
      <c r="X20" s="73">
        <f t="shared" si="18"/>
        <v>111.15649999999998</v>
      </c>
      <c r="Y20" s="73">
        <f t="shared" si="3"/>
        <v>53.355119999999985</v>
      </c>
      <c r="Z20" s="58">
        <f t="shared" si="19"/>
        <v>15.476931759561873</v>
      </c>
      <c r="AA20" s="122">
        <f t="shared" si="4"/>
        <v>394.88249014790358</v>
      </c>
      <c r="AB20"/>
      <c r="AC20" s="56">
        <v>15</v>
      </c>
      <c r="AD20" s="70">
        <f t="shared" si="20"/>
        <v>6.310228571428552</v>
      </c>
      <c r="AE20" s="71">
        <f t="shared" si="21"/>
        <v>8.2032971428571173</v>
      </c>
      <c r="AF20" s="72">
        <f t="shared" si="5"/>
        <v>2.9531869714285621</v>
      </c>
      <c r="AG20" s="72">
        <f t="shared" si="22"/>
        <v>1.199778686935788</v>
      </c>
      <c r="AH20" s="128">
        <f t="shared" si="6"/>
        <v>282.23308185498456</v>
      </c>
      <c r="AI20"/>
      <c r="AJ20" s="56">
        <v>15</v>
      </c>
      <c r="AK20" s="70">
        <v>16</v>
      </c>
      <c r="AL20" s="73">
        <f t="shared" si="23"/>
        <v>24.96</v>
      </c>
      <c r="AM20" s="73">
        <f t="shared" si="7"/>
        <v>12.979200000000001</v>
      </c>
      <c r="AN20" s="58">
        <f t="shared" si="24"/>
        <v>4.438313047708097</v>
      </c>
      <c r="AO20" s="122">
        <f t="shared" si="8"/>
        <v>323.66883522475825</v>
      </c>
    </row>
    <row r="21" spans="1:41" x14ac:dyDescent="0.25">
      <c r="A21" s="56">
        <v>16</v>
      </c>
      <c r="B21" s="70">
        <f t="shared" si="25"/>
        <v>95.282555647999999</v>
      </c>
      <c r="C21" s="73">
        <f t="shared" si="9"/>
        <v>123.8673223424</v>
      </c>
      <c r="D21" s="58">
        <f t="shared" si="10"/>
        <v>56.978968277504002</v>
      </c>
      <c r="E21" s="58">
        <f t="shared" si="11"/>
        <v>16.402176041716615</v>
      </c>
      <c r="F21" s="122">
        <f t="shared" si="12"/>
        <v>404.02771524486479</v>
      </c>
      <c r="G21" s="63"/>
      <c r="H21" s="56">
        <v>16</v>
      </c>
      <c r="I21" s="70">
        <f>I20+(($I$25-$I$20)/($H$25-$H$20))</f>
        <v>181.6</v>
      </c>
      <c r="J21" s="73">
        <f t="shared" si="13"/>
        <v>236.08</v>
      </c>
      <c r="K21" s="73">
        <f t="shared" si="0"/>
        <v>101.51440000000001</v>
      </c>
      <c r="L21" s="58">
        <f t="shared" si="14"/>
        <v>27.32246625421611</v>
      </c>
      <c r="M21" s="122">
        <f t="shared" si="15"/>
        <v>500.613097614982</v>
      </c>
      <c r="N21" s="63"/>
      <c r="O21" s="56">
        <v>16</v>
      </c>
      <c r="P21" s="70">
        <f t="shared" si="30"/>
        <v>118.7448</v>
      </c>
      <c r="Q21" s="73">
        <f t="shared" si="16"/>
        <v>154.36824000000001</v>
      </c>
      <c r="R21" s="73">
        <f t="shared" si="1"/>
        <v>66.378343200000003</v>
      </c>
      <c r="S21" s="58">
        <f t="shared" si="17"/>
        <v>18.771310745594338</v>
      </c>
      <c r="T21" s="122">
        <f t="shared" si="2"/>
        <v>424.52453617746562</v>
      </c>
      <c r="U21" s="80"/>
      <c r="V21" s="56">
        <v>16</v>
      </c>
      <c r="W21" s="70">
        <f t="shared" si="29"/>
        <v>95.714400000000012</v>
      </c>
      <c r="X21" s="73">
        <f t="shared" si="18"/>
        <v>124.42872000000001</v>
      </c>
      <c r="Y21" s="73">
        <f t="shared" si="3"/>
        <v>59.725785600000002</v>
      </c>
      <c r="Z21" s="58">
        <f t="shared" si="19"/>
        <v>17.098920536316943</v>
      </c>
      <c r="AA21" s="122">
        <f t="shared" si="4"/>
        <v>410.02525207630754</v>
      </c>
      <c r="AB21"/>
      <c r="AC21" s="56">
        <v>16</v>
      </c>
      <c r="AD21" s="70">
        <f t="shared" si="20"/>
        <v>6.7242438095237889</v>
      </c>
      <c r="AE21" s="71">
        <f t="shared" si="21"/>
        <v>8.7415169523809251</v>
      </c>
      <c r="AF21" s="72">
        <f t="shared" si="5"/>
        <v>3.1469461028571328</v>
      </c>
      <c r="AG21" s="72">
        <f t="shared" si="22"/>
        <v>1.2690743156877127</v>
      </c>
      <c r="AH21" s="128">
        <f t="shared" si="6"/>
        <v>283.91345778452109</v>
      </c>
      <c r="AI21"/>
      <c r="AJ21" s="56">
        <v>16</v>
      </c>
      <c r="AK21" s="70">
        <v>17</v>
      </c>
      <c r="AL21" s="73">
        <f t="shared" si="23"/>
        <v>26.52</v>
      </c>
      <c r="AM21" s="73">
        <f t="shared" si="7"/>
        <v>13.7904</v>
      </c>
      <c r="AN21" s="58">
        <f t="shared" si="24"/>
        <v>4.6825473896592289</v>
      </c>
      <c r="AO21" s="122">
        <f t="shared" si="8"/>
        <v>325.50705003698982</v>
      </c>
    </row>
    <row r="22" spans="1:41" x14ac:dyDescent="0.25">
      <c r="A22" s="56">
        <v>17</v>
      </c>
      <c r="B22" s="70">
        <v>103</v>
      </c>
      <c r="C22" s="73">
        <f t="shared" si="9"/>
        <v>133.9</v>
      </c>
      <c r="D22" s="58">
        <f t="shared" si="10"/>
        <v>61.594000000000008</v>
      </c>
      <c r="E22" s="58">
        <f t="shared" si="11"/>
        <v>17.570665168564613</v>
      </c>
      <c r="F22" s="122">
        <f t="shared" si="12"/>
        <v>415.32290294636118</v>
      </c>
      <c r="G22" s="63"/>
      <c r="H22" s="56">
        <v>17</v>
      </c>
      <c r="I22" s="70">
        <f>I21+(($I$25-$I$20)/($H$25-$H$20))</f>
        <v>201.2</v>
      </c>
      <c r="J22" s="73">
        <f t="shared" si="13"/>
        <v>261.56</v>
      </c>
      <c r="K22" s="73">
        <f t="shared" si="0"/>
        <v>112.4708</v>
      </c>
      <c r="L22" s="58">
        <f t="shared" si="14"/>
        <v>29.912369592339321</v>
      </c>
      <c r="M22" s="122">
        <f t="shared" si="15"/>
        <v>525.42846481776871</v>
      </c>
      <c r="N22" s="63"/>
      <c r="O22" s="56">
        <v>17</v>
      </c>
      <c r="P22" s="70">
        <f t="shared" si="30"/>
        <v>135.59799999999998</v>
      </c>
      <c r="Q22" s="73">
        <f t="shared" si="16"/>
        <v>176.2774</v>
      </c>
      <c r="R22" s="73">
        <f t="shared" si="1"/>
        <v>75.799282000000005</v>
      </c>
      <c r="S22" s="58">
        <f t="shared" si="17"/>
        <v>21.106884811091202</v>
      </c>
      <c r="T22" s="122">
        <f t="shared" si="2"/>
        <v>446.2226849737616</v>
      </c>
      <c r="U22" s="80"/>
      <c r="V22" s="56">
        <v>17</v>
      </c>
      <c r="W22" s="70">
        <f t="shared" si="29"/>
        <v>106.02739999999999</v>
      </c>
      <c r="X22" s="73">
        <f t="shared" si="18"/>
        <v>137.83561999999998</v>
      </c>
      <c r="Y22" s="73">
        <f t="shared" si="3"/>
        <v>66.161097599999991</v>
      </c>
      <c r="Z22" s="58">
        <f t="shared" si="19"/>
        <v>18.717016012261752</v>
      </c>
      <c r="AA22" s="122">
        <f t="shared" si="4"/>
        <v>425.27382565246694</v>
      </c>
      <c r="AB22"/>
      <c r="AC22" s="56">
        <v>17</v>
      </c>
      <c r="AD22" s="70">
        <f t="shared" si="20"/>
        <v>7.1382590476190257</v>
      </c>
      <c r="AE22" s="71">
        <f t="shared" si="21"/>
        <v>9.2797367619047346</v>
      </c>
      <c r="AF22" s="72">
        <f t="shared" si="5"/>
        <v>3.3407052342857044</v>
      </c>
      <c r="AG22" s="72">
        <f t="shared" si="22"/>
        <v>1.3378747610585606</v>
      </c>
      <c r="AH22" s="128">
        <f t="shared" si="6"/>
        <v>285.59297126966908</v>
      </c>
      <c r="AI22"/>
      <c r="AJ22" s="56">
        <v>17</v>
      </c>
      <c r="AK22" s="70">
        <v>18</v>
      </c>
      <c r="AL22" s="73">
        <f t="shared" si="23"/>
        <v>28.080000000000002</v>
      </c>
      <c r="AM22" s="73">
        <f t="shared" si="7"/>
        <v>14.601600000000001</v>
      </c>
      <c r="AN22" s="58">
        <f t="shared" si="24"/>
        <v>4.9251141417391429</v>
      </c>
      <c r="AO22" s="122">
        <f t="shared" si="8"/>
        <v>327.34236046352902</v>
      </c>
    </row>
    <row r="23" spans="1:41" x14ac:dyDescent="0.25">
      <c r="A23" s="56">
        <v>18</v>
      </c>
      <c r="B23" s="70">
        <f>B22+((B25-B22)/(A25-A22))</f>
        <v>109.33333333333333</v>
      </c>
      <c r="C23" s="73">
        <f t="shared" si="9"/>
        <v>142.13333333333333</v>
      </c>
      <c r="D23" s="58">
        <f t="shared" si="10"/>
        <v>65.38133333333333</v>
      </c>
      <c r="E23" s="58">
        <f t="shared" si="11"/>
        <v>18.52196327156188</v>
      </c>
      <c r="F23" s="122">
        <f t="shared" si="12"/>
        <v>424.79824158685915</v>
      </c>
      <c r="G23" s="63"/>
      <c r="H23" s="56">
        <v>18</v>
      </c>
      <c r="I23" s="70">
        <f>I22+(($I$25-$I$20)/($H$25-$H$20))</f>
        <v>220.79999999999998</v>
      </c>
      <c r="J23" s="73">
        <f t="shared" si="13"/>
        <v>287.03999999999996</v>
      </c>
      <c r="K23" s="73">
        <f t="shared" si="0"/>
        <v>123.42719999999998</v>
      </c>
      <c r="L23" s="58">
        <f t="shared" si="14"/>
        <v>32.473022671122074</v>
      </c>
      <c r="M23" s="122">
        <f t="shared" si="15"/>
        <v>550.19288781887099</v>
      </c>
      <c r="N23" s="63"/>
      <c r="O23" s="56">
        <v>18</v>
      </c>
      <c r="P23" s="70">
        <f t="shared" si="30"/>
        <v>152.88679999999999</v>
      </c>
      <c r="Q23" s="73">
        <f t="shared" si="16"/>
        <v>198.75283999999999</v>
      </c>
      <c r="R23" s="73">
        <f t="shared" si="1"/>
        <v>85.463721199999995</v>
      </c>
      <c r="S23" s="58">
        <f t="shared" si="17"/>
        <v>23.467912600394722</v>
      </c>
      <c r="T23" s="122">
        <f t="shared" si="2"/>
        <v>468.38926220235408</v>
      </c>
      <c r="U23" s="80"/>
      <c r="V23" s="56">
        <v>18</v>
      </c>
      <c r="W23" s="70">
        <v>112</v>
      </c>
      <c r="X23" s="73">
        <f t="shared" si="18"/>
        <v>145.6</v>
      </c>
      <c r="Y23" s="73">
        <f t="shared" si="3"/>
        <v>69.887999999999991</v>
      </c>
      <c r="Z23" s="58">
        <f t="shared" si="19"/>
        <v>19.645641432461961</v>
      </c>
      <c r="AA23" s="122">
        <f t="shared" si="4"/>
        <v>434.60442549487118</v>
      </c>
      <c r="AB23"/>
      <c r="AC23" s="56">
        <v>18</v>
      </c>
      <c r="AD23" s="70">
        <f t="shared" si="20"/>
        <v>7.5522742857142626</v>
      </c>
      <c r="AE23" s="71">
        <f t="shared" si="21"/>
        <v>9.8179565714285424</v>
      </c>
      <c r="AF23" s="72">
        <f t="shared" si="5"/>
        <v>3.5344643657142751</v>
      </c>
      <c r="AG23" s="72">
        <f t="shared" si="22"/>
        <v>1.4062120153751219</v>
      </c>
      <c r="AH23" s="128">
        <f t="shared" si="6"/>
        <v>287.27167803039737</v>
      </c>
      <c r="AI23"/>
      <c r="AJ23" s="56">
        <v>18</v>
      </c>
      <c r="AK23" s="70">
        <v>19</v>
      </c>
      <c r="AL23" s="73">
        <f t="shared" si="23"/>
        <v>29.64</v>
      </c>
      <c r="AM23" s="73">
        <f t="shared" si="7"/>
        <v>15.412800000000001</v>
      </c>
      <c r="AN23" s="58">
        <f t="shared" si="24"/>
        <v>5.1661165069289936</v>
      </c>
      <c r="AO23" s="122">
        <f t="shared" si="8"/>
        <v>329.17494624956799</v>
      </c>
    </row>
    <row r="24" spans="1:41" x14ac:dyDescent="0.25">
      <c r="A24" s="56">
        <v>19</v>
      </c>
      <c r="B24" s="70">
        <f>B25-((B25-B22)/(A25-A22))</f>
        <v>115.66666666666667</v>
      </c>
      <c r="C24" s="73">
        <f t="shared" si="9"/>
        <v>150.36666666666667</v>
      </c>
      <c r="D24" s="58">
        <f t="shared" si="10"/>
        <v>69.168666666666667</v>
      </c>
      <c r="E24" s="58">
        <f t="shared" si="11"/>
        <v>19.466864873576913</v>
      </c>
      <c r="F24" s="122">
        <f t="shared" si="12"/>
        <v>434.26243965481308</v>
      </c>
      <c r="G24" s="63"/>
      <c r="H24" s="56">
        <v>19</v>
      </c>
      <c r="I24" s="70">
        <f>I23+(($I$25-$I$20)/($H$25-$H$20))</f>
        <v>240.39999999999998</v>
      </c>
      <c r="J24" s="73">
        <f t="shared" si="13"/>
        <v>312.52</v>
      </c>
      <c r="K24" s="73">
        <f t="shared" si="0"/>
        <v>134.3836</v>
      </c>
      <c r="L24" s="58">
        <f t="shared" si="14"/>
        <v>35.00731723313698</v>
      </c>
      <c r="M24" s="122">
        <f t="shared" si="15"/>
        <v>574.91140306993577</v>
      </c>
      <c r="N24" s="63"/>
      <c r="O24" s="56">
        <v>19</v>
      </c>
      <c r="P24" s="70">
        <v>162</v>
      </c>
      <c r="Q24" s="73">
        <f t="shared" si="16"/>
        <v>210.6</v>
      </c>
      <c r="R24" s="73">
        <f t="shared" si="1"/>
        <v>90.557999999999993</v>
      </c>
      <c r="S24" s="58">
        <f t="shared" si="17"/>
        <v>24.699752708509138</v>
      </c>
      <c r="T24" s="122">
        <f t="shared" si="2"/>
        <v>480.6294748562089</v>
      </c>
      <c r="U24" s="80"/>
      <c r="V24" s="56">
        <v>19</v>
      </c>
      <c r="W24" s="70">
        <f>W23+(($W$26-$W$23)/($V$26-$V$23))</f>
        <v>123.33333333333333</v>
      </c>
      <c r="X24" s="73">
        <f t="shared" si="18"/>
        <v>160.33333333333334</v>
      </c>
      <c r="Y24" s="73">
        <f t="shared" si="3"/>
        <v>76.960000000000008</v>
      </c>
      <c r="Z24" s="58">
        <f t="shared" si="19"/>
        <v>21.392220726743766</v>
      </c>
      <c r="AA24" s="122">
        <f t="shared" si="4"/>
        <v>451.18567332130095</v>
      </c>
      <c r="AB24"/>
      <c r="AC24" s="56">
        <v>19</v>
      </c>
      <c r="AD24" s="70">
        <f t="shared" si="20"/>
        <v>7.9662895238094995</v>
      </c>
      <c r="AE24" s="71">
        <f t="shared" si="21"/>
        <v>10.35617638095235</v>
      </c>
      <c r="AF24" s="72">
        <f t="shared" si="5"/>
        <v>3.7282234971428458</v>
      </c>
      <c r="AG24" s="72">
        <f t="shared" si="22"/>
        <v>1.4741143652244815</v>
      </c>
      <c r="AH24" s="128">
        <f t="shared" si="6"/>
        <v>288.94962733251191</v>
      </c>
      <c r="AI24"/>
      <c r="AJ24" s="56">
        <v>19</v>
      </c>
      <c r="AK24" s="70">
        <v>20</v>
      </c>
      <c r="AL24" s="73">
        <f t="shared" si="23"/>
        <v>31.200000000000003</v>
      </c>
      <c r="AM24" s="73">
        <f t="shared" si="7"/>
        <v>16.224000000000004</v>
      </c>
      <c r="AN24" s="58">
        <f t="shared" si="24"/>
        <v>5.4056462111722139</v>
      </c>
      <c r="AO24" s="122">
        <f t="shared" si="8"/>
        <v>331.00496715112496</v>
      </c>
    </row>
    <row r="25" spans="1:41" x14ac:dyDescent="0.25">
      <c r="A25" s="56">
        <v>20</v>
      </c>
      <c r="B25" s="70">
        <v>122</v>
      </c>
      <c r="C25" s="73">
        <f t="shared" si="9"/>
        <v>158.6</v>
      </c>
      <c r="D25" s="58">
        <f t="shared" si="10"/>
        <v>72.956000000000003</v>
      </c>
      <c r="E25" s="58">
        <f t="shared" si="11"/>
        <v>20.405760140212273</v>
      </c>
      <c r="F25" s="122">
        <f t="shared" si="12"/>
        <v>443.71617668864747</v>
      </c>
      <c r="G25" s="63"/>
      <c r="H25" s="56">
        <v>20</v>
      </c>
      <c r="I25" s="70">
        <v>260</v>
      </c>
      <c r="J25" s="73">
        <f t="shared" si="13"/>
        <v>338</v>
      </c>
      <c r="K25" s="73">
        <f t="shared" si="0"/>
        <v>145.34</v>
      </c>
      <c r="L25" s="58">
        <f t="shared" si="14"/>
        <v>37.517646631752974</v>
      </c>
      <c r="M25" s="122">
        <f t="shared" si="15"/>
        <v>599.58817899474741</v>
      </c>
      <c r="N25" s="63"/>
      <c r="O25" s="56">
        <v>20</v>
      </c>
      <c r="P25" s="70">
        <f>P24+(($P$30-$P$24)/($O$30-$O$24))</f>
        <v>181.83333333333334</v>
      </c>
      <c r="Q25" s="73">
        <f t="shared" si="16"/>
        <v>236.38333333333335</v>
      </c>
      <c r="R25" s="73">
        <f t="shared" si="1"/>
        <v>101.64483333333334</v>
      </c>
      <c r="S25" s="58">
        <f t="shared" si="17"/>
        <v>27.353483560919244</v>
      </c>
      <c r="T25" s="122">
        <f t="shared" si="2"/>
        <v>505.78317970193433</v>
      </c>
      <c r="U25" s="80"/>
      <c r="V25" s="56">
        <v>20</v>
      </c>
      <c r="W25" s="70">
        <f>W24+(($W$26-$W$23)/($V$26-$V$23))</f>
        <v>134.66666666666666</v>
      </c>
      <c r="X25" s="73">
        <f t="shared" si="18"/>
        <v>175.06666666666666</v>
      </c>
      <c r="Y25" s="73">
        <f t="shared" si="3"/>
        <v>84.031999999999996</v>
      </c>
      <c r="Z25" s="58">
        <f t="shared" si="19"/>
        <v>23.120190164579945</v>
      </c>
      <c r="AA25" s="122">
        <f t="shared" si="4"/>
        <v>467.73450898108786</v>
      </c>
      <c r="AB25"/>
      <c r="AC25" s="56">
        <v>20</v>
      </c>
      <c r="AD25" s="70">
        <f>AD24+($AD$26-$AD$5)/($AC$26-$AC$5)</f>
        <v>8.3803047619047355</v>
      </c>
      <c r="AE25" s="71">
        <f t="shared" si="21"/>
        <v>10.894396190476156</v>
      </c>
      <c r="AF25" s="72">
        <f t="shared" si="5"/>
        <v>3.9219826285714161</v>
      </c>
      <c r="AG25" s="72">
        <f t="shared" si="22"/>
        <v>1.5416069909706938</v>
      </c>
      <c r="AH25" s="128">
        <f t="shared" si="6"/>
        <v>290.62686303181363</v>
      </c>
      <c r="AI25"/>
      <c r="AJ25" s="56">
        <v>20</v>
      </c>
      <c r="AK25" s="70">
        <v>21</v>
      </c>
      <c r="AL25" s="73">
        <f t="shared" si="23"/>
        <v>32.76</v>
      </c>
      <c r="AM25" s="73">
        <f t="shared" si="7"/>
        <v>17.0352</v>
      </c>
      <c r="AN25" s="58">
        <f t="shared" si="24"/>
        <v>5.6437852896626746</v>
      </c>
      <c r="AO25" s="122">
        <f t="shared" si="8"/>
        <v>332.83256604616247</v>
      </c>
    </row>
    <row r="26" spans="1:41" x14ac:dyDescent="0.25">
      <c r="A26" s="56">
        <v>21</v>
      </c>
      <c r="B26" s="70">
        <f>B25+((B30-B25)/(A30-A25))</f>
        <v>131.19999999999999</v>
      </c>
      <c r="C26" s="73">
        <f t="shared" si="9"/>
        <v>170.56</v>
      </c>
      <c r="D26" s="58">
        <f t="shared" si="10"/>
        <v>78.457599999999999</v>
      </c>
      <c r="E26" s="58">
        <f t="shared" si="11"/>
        <v>21.759633072453035</v>
      </c>
      <c r="F26" s="122">
        <f t="shared" si="12"/>
        <v>456.87834760118898</v>
      </c>
      <c r="G26" s="63"/>
      <c r="H26" s="56">
        <v>21</v>
      </c>
      <c r="I26" s="70">
        <f>I25+(($I$30-$I$25)/($H$30-$H$25))</f>
        <v>279.8</v>
      </c>
      <c r="J26" s="73">
        <f t="shared" si="13"/>
        <v>363.74</v>
      </c>
      <c r="K26" s="73">
        <f t="shared" si="0"/>
        <v>156.40819999999999</v>
      </c>
      <c r="L26" s="58">
        <f t="shared" si="14"/>
        <v>40.031307479386733</v>
      </c>
      <c r="M26" s="122">
        <f t="shared" si="15"/>
        <v>624.46547552659842</v>
      </c>
      <c r="N26" s="63"/>
      <c r="O26" s="56">
        <v>21</v>
      </c>
      <c r="P26" s="70">
        <f>P25+(($P$30-$P$24)/($O$30-$O$24))</f>
        <v>201.66666666666669</v>
      </c>
      <c r="Q26" s="73">
        <f t="shared" si="16"/>
        <v>262.16666666666669</v>
      </c>
      <c r="R26" s="73">
        <f t="shared" si="1"/>
        <v>112.73166666666667</v>
      </c>
      <c r="S26" s="58">
        <f t="shared" si="17"/>
        <v>29.973664832526055</v>
      </c>
      <c r="T26" s="122">
        <f t="shared" si="2"/>
        <v>530.87845236109388</v>
      </c>
      <c r="U26" s="80"/>
      <c r="V26" s="56">
        <v>21</v>
      </c>
      <c r="W26" s="70">
        <v>146</v>
      </c>
      <c r="X26" s="73">
        <f t="shared" si="18"/>
        <v>189.8</v>
      </c>
      <c r="Y26" s="73">
        <f t="shared" si="3"/>
        <v>91.103999999999999</v>
      </c>
      <c r="Z26" s="58">
        <f t="shared" si="19"/>
        <v>24.831293984707884</v>
      </c>
      <c r="AA26" s="122">
        <f t="shared" si="4"/>
        <v>484.25397035669954</v>
      </c>
      <c r="AB26"/>
      <c r="AC26" s="56">
        <v>21</v>
      </c>
      <c r="AD26" s="70">
        <f>2*10^-5 *AC26^4 - 0.0067*AC26^3+0.5912*AC26^2 - 9.1569*AC26-1.4709</f>
        <v>8.7943199999999706</v>
      </c>
      <c r="AE26" s="71">
        <f t="shared" si="21"/>
        <v>11.432615999999962</v>
      </c>
      <c r="AF26" s="72">
        <f t="shared" si="5"/>
        <v>4.1157417599999864</v>
      </c>
      <c r="AG26" s="72">
        <f t="shared" si="22"/>
        <v>1.608712444434776</v>
      </c>
      <c r="AH26" s="128">
        <f t="shared" si="6"/>
        <v>292.30342440605722</v>
      </c>
      <c r="AI26"/>
      <c r="AJ26" s="56">
        <v>21</v>
      </c>
      <c r="AK26" s="70">
        <v>22</v>
      </c>
      <c r="AL26" s="73">
        <f t="shared" si="23"/>
        <v>34.32</v>
      </c>
      <c r="AM26" s="73">
        <f t="shared" si="7"/>
        <v>17.846399999999999</v>
      </c>
      <c r="AN26" s="58">
        <f t="shared" si="24"/>
        <v>5.880607523247166</v>
      </c>
      <c r="AO26" s="122">
        <f t="shared" si="8"/>
        <v>334.65787143632213</v>
      </c>
    </row>
    <row r="27" spans="1:41" x14ac:dyDescent="0.25">
      <c r="A27" s="56">
        <v>22</v>
      </c>
      <c r="B27" s="70">
        <f>B26+((B30-B25)/(A30-A25))</f>
        <v>140.39999999999998</v>
      </c>
      <c r="C27" s="73">
        <f t="shared" si="9"/>
        <v>182.51999999999998</v>
      </c>
      <c r="D27" s="58">
        <f t="shared" si="10"/>
        <v>83.959199999999996</v>
      </c>
      <c r="E27" s="58">
        <f t="shared" si="11"/>
        <v>23.102490880810642</v>
      </c>
      <c r="F27" s="122">
        <f t="shared" si="12"/>
        <v>470.021333839634</v>
      </c>
      <c r="G27" s="63"/>
      <c r="H27" s="56">
        <v>22</v>
      </c>
      <c r="I27" s="70">
        <f>I26+(($I$30-$I$25)/($H$30-$H$25))</f>
        <v>299.60000000000002</v>
      </c>
      <c r="J27" s="73">
        <f t="shared" si="13"/>
        <v>389.48</v>
      </c>
      <c r="K27" s="73">
        <f t="shared" si="0"/>
        <v>167.47640000000001</v>
      </c>
      <c r="L27" s="58">
        <f t="shared" si="14"/>
        <v>42.524330102194952</v>
      </c>
      <c r="M27" s="122">
        <f t="shared" si="15"/>
        <v>649.30682715021169</v>
      </c>
      <c r="N27" s="63"/>
      <c r="O27" s="56">
        <v>22</v>
      </c>
      <c r="P27" s="70">
        <f>P26+(($P$30-$P$24)/($O$30-$O$24))</f>
        <v>221.50000000000003</v>
      </c>
      <c r="Q27" s="73">
        <f t="shared" si="16"/>
        <v>287.95000000000005</v>
      </c>
      <c r="R27" s="73">
        <f t="shared" si="1"/>
        <v>123.81850000000001</v>
      </c>
      <c r="S27" s="58">
        <f t="shared" si="17"/>
        <v>32.563971549777349</v>
      </c>
      <c r="T27" s="122">
        <f t="shared" si="2"/>
        <v>555.92169350475115</v>
      </c>
      <c r="U27" s="80"/>
      <c r="V27" s="56">
        <v>22</v>
      </c>
      <c r="W27" s="70">
        <f>W26+(($W$29-$W$26)/($V$29-$V$26))</f>
        <v>153.33333333333334</v>
      </c>
      <c r="X27" s="73">
        <f t="shared" si="18"/>
        <v>199.33333333333334</v>
      </c>
      <c r="Y27" s="73">
        <f t="shared" si="3"/>
        <v>95.68</v>
      </c>
      <c r="Z27" s="58">
        <f t="shared" si="19"/>
        <v>25.930186937101965</v>
      </c>
      <c r="AA27" s="122">
        <f t="shared" si="4"/>
        <v>495.3599644710082</v>
      </c>
      <c r="AB27"/>
      <c r="AC27" s="56">
        <v>22</v>
      </c>
      <c r="AD27" s="70">
        <f t="shared" ref="AD27:AD34" si="31">2*10^-5 *AC27^4 - 0.0067*AC27^3+0.5912*AC27^2 - 9.1569*AC27-1.4709</f>
        <v>16.561619999999976</v>
      </c>
      <c r="AE27" s="71">
        <f t="shared" si="21"/>
        <v>21.530105999999972</v>
      </c>
      <c r="AF27" s="72">
        <f t="shared" si="5"/>
        <v>7.7508381599999892</v>
      </c>
      <c r="AG27" s="72">
        <f t="shared" si="22"/>
        <v>2.8143658257483444</v>
      </c>
      <c r="AH27" s="128">
        <f t="shared" si="6"/>
        <v>301.95661916406721</v>
      </c>
      <c r="AI27"/>
      <c r="AJ27" s="56">
        <v>22</v>
      </c>
      <c r="AK27" s="70">
        <v>23</v>
      </c>
      <c r="AL27" s="73">
        <f t="shared" si="23"/>
        <v>35.880000000000003</v>
      </c>
      <c r="AM27" s="73">
        <f t="shared" si="7"/>
        <v>18.657600000000002</v>
      </c>
      <c r="AN27" s="58">
        <f t="shared" si="24"/>
        <v>6.1161796062812952</v>
      </c>
      <c r="AO27" s="122">
        <f t="shared" si="8"/>
        <v>336.48099948093989</v>
      </c>
    </row>
    <row r="28" spans="1:41" x14ac:dyDescent="0.25">
      <c r="A28" s="56">
        <v>23</v>
      </c>
      <c r="B28" s="70">
        <f>B27+((B30-B25)/(A30-A25))</f>
        <v>149.59999999999997</v>
      </c>
      <c r="C28" s="73">
        <f t="shared" si="9"/>
        <v>194.47999999999996</v>
      </c>
      <c r="D28" s="58">
        <f t="shared" si="10"/>
        <v>89.460799999999992</v>
      </c>
      <c r="E28" s="58">
        <f t="shared" si="11"/>
        <v>24.435137492992443</v>
      </c>
      <c r="F28" s="122">
        <f t="shared" si="12"/>
        <v>483.14653557807293</v>
      </c>
      <c r="G28" s="63"/>
      <c r="H28" s="56">
        <v>23</v>
      </c>
      <c r="I28" s="70">
        <f>I27+(($I$30-$I$25)/($H$30-$H$25))</f>
        <v>319.40000000000003</v>
      </c>
      <c r="J28" s="73">
        <f t="shared" si="13"/>
        <v>415.22000000000008</v>
      </c>
      <c r="K28" s="73">
        <f t="shared" si="0"/>
        <v>178.54460000000003</v>
      </c>
      <c r="L28" s="58">
        <f t="shared" si="14"/>
        <v>44.998233646829171</v>
      </c>
      <c r="M28" s="122">
        <f t="shared" si="15"/>
        <v>674.11487971267184</v>
      </c>
      <c r="N28" s="63"/>
      <c r="O28" s="56">
        <v>23</v>
      </c>
      <c r="P28" s="70">
        <f>P27+(($P$30-$P$24)/($O$30-$O$24))</f>
        <v>241.33333333333337</v>
      </c>
      <c r="Q28" s="73">
        <f t="shared" si="16"/>
        <v>313.73333333333341</v>
      </c>
      <c r="R28" s="73">
        <f t="shared" si="1"/>
        <v>134.90533333333337</v>
      </c>
      <c r="S28" s="58">
        <f t="shared" si="17"/>
        <v>35.127382903297395</v>
      </c>
      <c r="T28" s="122">
        <f t="shared" si="2"/>
        <v>580.91809188990965</v>
      </c>
      <c r="U28" s="80"/>
      <c r="V28" s="56">
        <v>23</v>
      </c>
      <c r="W28" s="70">
        <f>W27+(($W$29-$W$26)/($V$29-$V$26))</f>
        <v>160.66666666666669</v>
      </c>
      <c r="X28" s="73">
        <f t="shared" si="18"/>
        <v>208.8666666666667</v>
      </c>
      <c r="Y28" s="73">
        <f t="shared" si="3"/>
        <v>100.25600000000001</v>
      </c>
      <c r="Z28" s="58">
        <f t="shared" si="19"/>
        <v>27.022976940048139</v>
      </c>
      <c r="AA28" s="122">
        <f t="shared" si="4"/>
        <v>506.4553292816949</v>
      </c>
      <c r="AB28"/>
      <c r="AC28" s="56">
        <v>23</v>
      </c>
      <c r="AD28" s="70">
        <f t="shared" si="31"/>
        <v>24.743120000000005</v>
      </c>
      <c r="AE28" s="71">
        <f t="shared" si="21"/>
        <v>32.166056000000005</v>
      </c>
      <c r="AF28" s="72">
        <f t="shared" si="5"/>
        <v>11.579780160000002</v>
      </c>
      <c r="AG28" s="72">
        <f t="shared" si="22"/>
        <v>4.0127089696463329</v>
      </c>
      <c r="AH28" s="128">
        <f t="shared" si="6"/>
        <v>311.93469634524519</v>
      </c>
      <c r="AI28"/>
      <c r="AJ28" s="56">
        <v>23</v>
      </c>
      <c r="AK28" s="70">
        <v>24</v>
      </c>
      <c r="AL28" s="73">
        <f t="shared" si="23"/>
        <v>37.44</v>
      </c>
      <c r="AM28" s="73">
        <f t="shared" si="7"/>
        <v>19.468799999999998</v>
      </c>
      <c r="AN28" s="58">
        <f t="shared" si="24"/>
        <v>6.3505621056489936</v>
      </c>
      <c r="AO28" s="122">
        <f t="shared" si="8"/>
        <v>338.30205566733866</v>
      </c>
    </row>
    <row r="29" spans="1:41" x14ac:dyDescent="0.25">
      <c r="A29" s="56">
        <v>24</v>
      </c>
      <c r="B29" s="70">
        <f>B28+((B30-B25)/(A30-A25))</f>
        <v>158.79999999999995</v>
      </c>
      <c r="C29" s="73">
        <f t="shared" si="9"/>
        <v>206.43999999999994</v>
      </c>
      <c r="D29" s="58">
        <f t="shared" si="10"/>
        <v>94.962399999999974</v>
      </c>
      <c r="E29" s="58">
        <f t="shared" si="11"/>
        <v>25.758272370212392</v>
      </c>
      <c r="F29" s="122">
        <f t="shared" si="12"/>
        <v>496.25517104478655</v>
      </c>
      <c r="G29" s="63"/>
      <c r="H29" s="56">
        <v>24</v>
      </c>
      <c r="I29" s="70">
        <f>I28+(($I$30-$I$25)/($H$30-$H$25))</f>
        <v>339.20000000000005</v>
      </c>
      <c r="J29" s="73">
        <f t="shared" si="13"/>
        <v>440.96000000000009</v>
      </c>
      <c r="K29" s="73">
        <f t="shared" si="0"/>
        <v>189.61280000000005</v>
      </c>
      <c r="L29" s="58">
        <f t="shared" si="14"/>
        <v>47.454338267915261</v>
      </c>
      <c r="M29" s="122">
        <f t="shared" si="15"/>
        <v>698.89193248328581</v>
      </c>
      <c r="N29" s="63"/>
      <c r="O29" s="56">
        <v>24</v>
      </c>
      <c r="P29" s="70">
        <f>P28+(($P$30-$P$24)/($O$30-$O$24))</f>
        <v>261.16666666666669</v>
      </c>
      <c r="Q29" s="73">
        <f t="shared" si="16"/>
        <v>339.51666666666671</v>
      </c>
      <c r="R29" s="73">
        <f t="shared" si="1"/>
        <v>145.99216666666669</v>
      </c>
      <c r="S29" s="58">
        <f t="shared" si="17"/>
        <v>37.666360508078967</v>
      </c>
      <c r="T29" s="122">
        <f t="shared" si="2"/>
        <v>605.87193482934867</v>
      </c>
      <c r="U29" s="80"/>
      <c r="V29" s="56">
        <v>24</v>
      </c>
      <c r="W29" s="70">
        <v>168</v>
      </c>
      <c r="X29" s="73">
        <f t="shared" si="18"/>
        <v>218.4</v>
      </c>
      <c r="Y29" s="73">
        <f t="shared" si="3"/>
        <v>104.83199999999999</v>
      </c>
      <c r="Z29" s="58">
        <f t="shared" si="19"/>
        <v>28.109974371137717</v>
      </c>
      <c r="AA29" s="122">
        <f t="shared" si="4"/>
        <v>517.54060536306474</v>
      </c>
      <c r="AB29"/>
      <c r="AC29" s="56">
        <v>24</v>
      </c>
      <c r="AD29" s="70">
        <f t="shared" si="31"/>
        <v>33.30941999999996</v>
      </c>
      <c r="AE29" s="71">
        <f t="shared" si="21"/>
        <v>43.302245999999947</v>
      </c>
      <c r="AF29" s="72">
        <f t="shared" si="5"/>
        <v>15.588808559999981</v>
      </c>
      <c r="AG29" s="72">
        <f t="shared" si="22"/>
        <v>5.2182101382820845</v>
      </c>
      <c r="AH29" s="128">
        <f t="shared" si="6"/>
        <v>322.23889089950791</v>
      </c>
      <c r="AI29"/>
      <c r="AJ29" s="56">
        <v>24</v>
      </c>
      <c r="AK29" s="70">
        <v>25</v>
      </c>
      <c r="AL29" s="73">
        <f t="shared" si="23"/>
        <v>39</v>
      </c>
      <c r="AM29" s="73">
        <f t="shared" si="7"/>
        <v>20.28</v>
      </c>
      <c r="AN29" s="58">
        <f t="shared" si="24"/>
        <v>6.5838102554415308</v>
      </c>
      <c r="AO29" s="122">
        <f t="shared" si="8"/>
        <v>340.12113619489401</v>
      </c>
    </row>
    <row r="30" spans="1:41" x14ac:dyDescent="0.25">
      <c r="A30" s="56">
        <v>25</v>
      </c>
      <c r="B30" s="70">
        <v>168</v>
      </c>
      <c r="C30" s="73">
        <f t="shared" si="9"/>
        <v>218.4</v>
      </c>
      <c r="D30" s="58">
        <f t="shared" si="10"/>
        <v>100.46400000000001</v>
      </c>
      <c r="E30" s="58">
        <f t="shared" si="11"/>
        <v>27.072509349827456</v>
      </c>
      <c r="F30" s="122">
        <f t="shared" si="12"/>
        <v>509.34830933983841</v>
      </c>
      <c r="G30" s="63"/>
      <c r="H30" s="56">
        <v>25</v>
      </c>
      <c r="I30" s="70">
        <v>359</v>
      </c>
      <c r="J30" s="73">
        <f t="shared" si="13"/>
        <v>466.7</v>
      </c>
      <c r="K30" s="73">
        <f t="shared" si="0"/>
        <v>200.68099999999998</v>
      </c>
      <c r="L30" s="58">
        <f t="shared" si="14"/>
        <v>49.893801292173457</v>
      </c>
      <c r="M30" s="122">
        <f t="shared" si="15"/>
        <v>723.64000113942438</v>
      </c>
      <c r="N30" s="63"/>
      <c r="O30" s="56">
        <v>25</v>
      </c>
      <c r="P30" s="70">
        <v>281</v>
      </c>
      <c r="Q30" s="73">
        <f t="shared" si="16"/>
        <v>365.3</v>
      </c>
      <c r="R30" s="73">
        <f t="shared" si="1"/>
        <v>157.07900000000001</v>
      </c>
      <c r="S30" s="58">
        <f t="shared" si="17"/>
        <v>40.182970874689481</v>
      </c>
      <c r="T30" s="122">
        <f t="shared" si="2"/>
        <v>630.78682149563974</v>
      </c>
      <c r="U30" s="80"/>
      <c r="V30" s="56">
        <v>25</v>
      </c>
      <c r="W30" s="70">
        <f>W29+(($W$35-$W$29)/($V$35-$V$29))</f>
        <v>177.33333333333334</v>
      </c>
      <c r="X30" s="73">
        <f t="shared" si="18"/>
        <v>230.53333333333336</v>
      </c>
      <c r="Y30" s="73">
        <f t="shared" si="3"/>
        <v>110.65600000000001</v>
      </c>
      <c r="Z30" s="58">
        <f t="shared" si="19"/>
        <v>29.485489763046598</v>
      </c>
      <c r="AA30" s="122">
        <f t="shared" si="4"/>
        <v>531.30198355952837</v>
      </c>
      <c r="AB30"/>
      <c r="AC30" s="56">
        <v>25</v>
      </c>
      <c r="AD30" s="70">
        <f t="shared" si="31"/>
        <v>42.231599999999929</v>
      </c>
      <c r="AE30" s="71">
        <f t="shared" si="21"/>
        <v>54.901079999999908</v>
      </c>
      <c r="AF30" s="72">
        <f t="shared" si="5"/>
        <v>19.764388799999967</v>
      </c>
      <c r="AG30" s="72">
        <f t="shared" si="22"/>
        <v>6.4356827479218746</v>
      </c>
      <c r="AH30" s="128">
        <f t="shared" si="6"/>
        <v>332.85401350151943</v>
      </c>
      <c r="AI30"/>
      <c r="AJ30" s="56">
        <v>25</v>
      </c>
      <c r="AK30" s="70">
        <v>26</v>
      </c>
      <c r="AL30" s="73">
        <f t="shared" si="23"/>
        <v>40.56</v>
      </c>
      <c r="AM30" s="73">
        <f t="shared" si="7"/>
        <v>21.091200000000001</v>
      </c>
      <c r="AN30" s="58">
        <f t="shared" si="24"/>
        <v>6.8159746209088015</v>
      </c>
      <c r="AO30" s="122">
        <f t="shared" si="8"/>
        <v>341.93832913141614</v>
      </c>
    </row>
    <row r="31" spans="1:41" x14ac:dyDescent="0.25">
      <c r="A31" s="56">
        <v>26</v>
      </c>
      <c r="B31" s="70">
        <f>B30+(($B$35-$B$30)/($A$35-$A$30))</f>
        <v>174.8</v>
      </c>
      <c r="C31" s="73">
        <f t="shared" si="9"/>
        <v>227.24</v>
      </c>
      <c r="D31" s="58">
        <f t="shared" si="10"/>
        <v>104.53040000000001</v>
      </c>
      <c r="E31" s="58">
        <f t="shared" si="11"/>
        <v>28.038503938183524</v>
      </c>
      <c r="F31" s="122">
        <f t="shared" si="12"/>
        <v>519.33528547011406</v>
      </c>
      <c r="G31" s="63"/>
      <c r="H31" s="56">
        <v>26</v>
      </c>
      <c r="I31" s="70">
        <f>I30+(($I$35-$I$30)/($H$35-$H$30))</f>
        <v>374</v>
      </c>
      <c r="J31" s="73">
        <f t="shared" si="13"/>
        <v>486.2</v>
      </c>
      <c r="K31" s="73">
        <f t="shared" si="0"/>
        <v>209.066</v>
      </c>
      <c r="L31" s="58">
        <f t="shared" si="14"/>
        <v>51.73143027933051</v>
      </c>
      <c r="M31" s="122">
        <f t="shared" si="15"/>
        <v>742.66663551427837</v>
      </c>
      <c r="N31" s="63"/>
      <c r="O31" s="56">
        <v>26</v>
      </c>
      <c r="P31" s="70">
        <f>P30+(($P$35-$P$30)/($O$35-$O$30))</f>
        <v>298.2</v>
      </c>
      <c r="Q31" s="73">
        <f t="shared" si="16"/>
        <v>387.66</v>
      </c>
      <c r="R31" s="73">
        <f t="shared" si="1"/>
        <v>166.69380000000001</v>
      </c>
      <c r="S31" s="58">
        <f t="shared" si="17"/>
        <v>42.348700500553939</v>
      </c>
      <c r="T31" s="122">
        <f t="shared" si="2"/>
        <v>652.52679948290915</v>
      </c>
      <c r="U31" s="80"/>
      <c r="V31" s="56">
        <v>26</v>
      </c>
      <c r="W31" s="70">
        <f>W30+(($W$35-$W$29)/($V$35-$V$29))</f>
        <v>186.66666666666669</v>
      </c>
      <c r="X31" s="73">
        <f t="shared" si="18"/>
        <v>242.66666666666669</v>
      </c>
      <c r="Y31" s="73">
        <f t="shared" si="3"/>
        <v>116.48</v>
      </c>
      <c r="Z31" s="58">
        <f t="shared" si="19"/>
        <v>30.852599976867037</v>
      </c>
      <c r="AA31" s="122">
        <f t="shared" si="4"/>
        <v>545.04872273748776</v>
      </c>
      <c r="AB31"/>
      <c r="AC31" s="56">
        <v>26</v>
      </c>
      <c r="AD31" s="70">
        <f t="shared" si="31"/>
        <v>51.481219999999922</v>
      </c>
      <c r="AE31" s="71">
        <f t="shared" si="21"/>
        <v>66.925585999999896</v>
      </c>
      <c r="AF31" s="72">
        <f t="shared" si="5"/>
        <v>24.093210959999961</v>
      </c>
      <c r="AG31" s="72">
        <f t="shared" si="22"/>
        <v>7.6664482253542721</v>
      </c>
      <c r="AH31" s="128">
        <f t="shared" si="6"/>
        <v>343.75918419226974</v>
      </c>
      <c r="AI31"/>
      <c r="AJ31" s="56">
        <v>26</v>
      </c>
      <c r="AK31" s="70">
        <v>27</v>
      </c>
      <c r="AL31" s="73">
        <f t="shared" si="23"/>
        <v>42.120000000000005</v>
      </c>
      <c r="AM31" s="73">
        <f t="shared" si="7"/>
        <v>21.902400000000004</v>
      </c>
      <c r="AN31" s="58">
        <f t="shared" si="24"/>
        <v>7.0471016573911687</v>
      </c>
      <c r="AO31" s="122">
        <f t="shared" si="8"/>
        <v>343.75371538662296</v>
      </c>
    </row>
    <row r="32" spans="1:41" x14ac:dyDescent="0.25">
      <c r="A32" s="56">
        <v>27</v>
      </c>
      <c r="B32" s="70">
        <f>B31+(($B$35-$B$30)/($A$35-$A$30))</f>
        <v>181.60000000000002</v>
      </c>
      <c r="C32" s="73">
        <f t="shared" si="9"/>
        <v>236.08000000000004</v>
      </c>
      <c r="D32" s="58">
        <f t="shared" si="10"/>
        <v>108.59680000000003</v>
      </c>
      <c r="E32" s="58">
        <f t="shared" si="11"/>
        <v>29.000133087134955</v>
      </c>
      <c r="F32" s="122">
        <f t="shared" si="12"/>
        <v>529.31465846009337</v>
      </c>
      <c r="G32" s="63"/>
      <c r="H32" s="56">
        <v>27</v>
      </c>
      <c r="I32" s="70">
        <f>I31+(($I$35-$I$30)/($H$35-$H$30))</f>
        <v>389</v>
      </c>
      <c r="J32" s="73">
        <f t="shared" si="13"/>
        <v>505.70000000000005</v>
      </c>
      <c r="K32" s="73">
        <f t="shared" si="0"/>
        <v>217.45100000000002</v>
      </c>
      <c r="L32" s="58">
        <f t="shared" si="14"/>
        <v>53.560497958714095</v>
      </c>
      <c r="M32" s="122">
        <f t="shared" si="15"/>
        <v>761.67835894476036</v>
      </c>
      <c r="N32" s="63"/>
      <c r="O32" s="56">
        <v>27</v>
      </c>
      <c r="P32" s="70">
        <f>P31+(($P$35-$P$30)/($O$35-$O$30))</f>
        <v>315.39999999999998</v>
      </c>
      <c r="Q32" s="73">
        <f t="shared" si="16"/>
        <v>410.02</v>
      </c>
      <c r="R32" s="73">
        <f t="shared" si="1"/>
        <v>176.30859999999998</v>
      </c>
      <c r="S32" s="58">
        <f t="shared" si="17"/>
        <v>44.499929886425051</v>
      </c>
      <c r="T32" s="122">
        <f t="shared" si="2"/>
        <v>674.24152288552364</v>
      </c>
      <c r="U32" s="80"/>
      <c r="V32" s="56">
        <v>27</v>
      </c>
      <c r="W32" s="70">
        <f>W31+(($W$35-$W$29)/($V$35-$V$29))</f>
        <v>196.00000000000003</v>
      </c>
      <c r="X32" s="73">
        <f t="shared" si="18"/>
        <v>254.80000000000004</v>
      </c>
      <c r="Y32" s="73">
        <f t="shared" si="3"/>
        <v>122.30400000000002</v>
      </c>
      <c r="Z32" s="58">
        <f t="shared" si="19"/>
        <v>32.211773226559373</v>
      </c>
      <c r="AA32" s="122">
        <f t="shared" si="4"/>
        <v>558.78163836959084</v>
      </c>
      <c r="AB32"/>
      <c r="AC32" s="56">
        <v>27</v>
      </c>
      <c r="AD32" s="70">
        <f t="shared" si="31"/>
        <v>61.030319999999961</v>
      </c>
      <c r="AE32" s="71">
        <f t="shared" si="21"/>
        <v>79.339415999999957</v>
      </c>
      <c r="AF32" s="72">
        <f t="shared" si="5"/>
        <v>28.562189759999985</v>
      </c>
      <c r="AG32" s="72">
        <f t="shared" si="22"/>
        <v>8.9102406641923544</v>
      </c>
      <c r="AH32" s="128">
        <f t="shared" si="6"/>
        <v>354.93114965546829</v>
      </c>
      <c r="AI32"/>
      <c r="AJ32" s="56">
        <v>27</v>
      </c>
      <c r="AK32" s="70">
        <v>28</v>
      </c>
      <c r="AL32" s="73">
        <f t="shared" si="23"/>
        <v>43.68</v>
      </c>
      <c r="AM32" s="73">
        <f t="shared" si="7"/>
        <v>22.7136</v>
      </c>
      <c r="AN32" s="58">
        <f t="shared" si="24"/>
        <v>7.2772341841187993</v>
      </c>
      <c r="AO32" s="122">
        <f t="shared" si="8"/>
        <v>345.5673695373402</v>
      </c>
    </row>
    <row r="33" spans="1:41" x14ac:dyDescent="0.25">
      <c r="A33" s="56">
        <v>28</v>
      </c>
      <c r="B33" s="70">
        <f>B32+(($B$35-$B$30)/($A$35-$A$30))</f>
        <v>188.40000000000003</v>
      </c>
      <c r="C33" s="73">
        <f t="shared" si="9"/>
        <v>244.92000000000004</v>
      </c>
      <c r="D33" s="58">
        <f t="shared" si="10"/>
        <v>112.66320000000003</v>
      </c>
      <c r="E33" s="58">
        <f t="shared" si="11"/>
        <v>29.957578976957446</v>
      </c>
      <c r="F33" s="122">
        <f t="shared" si="12"/>
        <v>539.28674560708987</v>
      </c>
      <c r="G33" s="63"/>
      <c r="H33" s="56">
        <v>28</v>
      </c>
      <c r="I33" s="70">
        <f>I32+(($I$35-$I$30)/($H$35-$H$30))</f>
        <v>404</v>
      </c>
      <c r="J33" s="73">
        <f t="shared" si="13"/>
        <v>525.20000000000005</v>
      </c>
      <c r="K33" s="73">
        <f t="shared" si="0"/>
        <v>225.83600000000001</v>
      </c>
      <c r="L33" s="58">
        <f t="shared" si="14"/>
        <v>55.381372244509706</v>
      </c>
      <c r="M33" s="122">
        <f t="shared" si="15"/>
        <v>780.67581221474336</v>
      </c>
      <c r="N33" s="63"/>
      <c r="O33" s="56">
        <v>28</v>
      </c>
      <c r="P33" s="70">
        <f>P32+(($P$35-$P$30)/($O$35-$O$30))</f>
        <v>332.59999999999997</v>
      </c>
      <c r="Q33" s="73">
        <f t="shared" si="16"/>
        <v>432.38</v>
      </c>
      <c r="R33" s="73">
        <f t="shared" si="1"/>
        <v>185.92339999999999</v>
      </c>
      <c r="S33" s="58">
        <f t="shared" si="17"/>
        <v>46.637539931606739</v>
      </c>
      <c r="T33" s="122">
        <f t="shared" si="2"/>
        <v>695.93252593643729</v>
      </c>
      <c r="U33" s="80"/>
      <c r="V33" s="56">
        <v>28</v>
      </c>
      <c r="W33" s="70">
        <f>W32+(($W$35-$W$29)/($V$35-$V$29))</f>
        <v>205.33333333333337</v>
      </c>
      <c r="X33" s="73">
        <f t="shared" si="18"/>
        <v>266.93333333333339</v>
      </c>
      <c r="Y33" s="73">
        <f t="shared" si="3"/>
        <v>128.12800000000001</v>
      </c>
      <c r="Z33" s="58">
        <f t="shared" si="19"/>
        <v>33.563430614589933</v>
      </c>
      <c r="AA33" s="122">
        <f t="shared" si="4"/>
        <v>572.50146387596635</v>
      </c>
      <c r="AB33"/>
      <c r="AC33" s="56">
        <v>28</v>
      </c>
      <c r="AD33" s="70">
        <f t="shared" si="31"/>
        <v>70.85141999999999</v>
      </c>
      <c r="AE33" s="71">
        <f t="shared" si="21"/>
        <v>92.10684599999999</v>
      </c>
      <c r="AF33" s="72">
        <f t="shared" si="5"/>
        <v>33.158464559999999</v>
      </c>
      <c r="AG33" s="72">
        <f t="shared" si="22"/>
        <v>10.165980847829848</v>
      </c>
      <c r="AH33" s="128">
        <f t="shared" si="6"/>
        <v>366.34563130752588</v>
      </c>
      <c r="AI33"/>
      <c r="AJ33" s="56">
        <v>28</v>
      </c>
      <c r="AK33" s="70">
        <v>29</v>
      </c>
      <c r="AL33" s="73">
        <f t="shared" si="23"/>
        <v>45.24</v>
      </c>
      <c r="AM33" s="73">
        <f t="shared" si="7"/>
        <v>23.524800000000003</v>
      </c>
      <c r="AN33" s="58">
        <f t="shared" si="24"/>
        <v>7.5064117884233559</v>
      </c>
      <c r="AO33" s="122">
        <f t="shared" si="8"/>
        <v>347.37936053150401</v>
      </c>
    </row>
    <row r="34" spans="1:41" x14ac:dyDescent="0.25">
      <c r="A34" s="56">
        <v>29</v>
      </c>
      <c r="B34" s="70">
        <f>B33+(($B$35-$B$30)/($A$35-$A$30))</f>
        <v>195.20000000000005</v>
      </c>
      <c r="C34" s="73">
        <f t="shared" si="9"/>
        <v>253.76000000000008</v>
      </c>
      <c r="D34" s="58">
        <f t="shared" si="10"/>
        <v>116.72960000000003</v>
      </c>
      <c r="E34" s="58">
        <f t="shared" si="11"/>
        <v>30.911009891510503</v>
      </c>
      <c r="F34" s="122">
        <f t="shared" si="12"/>
        <v>549.251840005492</v>
      </c>
      <c r="G34" s="63"/>
      <c r="H34" s="56">
        <v>29</v>
      </c>
      <c r="I34" s="70">
        <f>I33+(($I$35-$I$30)/($H$35-$H$30))</f>
        <v>419</v>
      </c>
      <c r="J34" s="73">
        <f t="shared" si="13"/>
        <v>544.70000000000005</v>
      </c>
      <c r="K34" s="73">
        <f t="shared" si="0"/>
        <v>234.221</v>
      </c>
      <c r="L34" s="58">
        <f t="shared" si="14"/>
        <v>57.194392182630075</v>
      </c>
      <c r="M34" s="122">
        <f t="shared" si="15"/>
        <v>799.65958582919177</v>
      </c>
      <c r="N34" s="63"/>
      <c r="O34" s="56">
        <v>29</v>
      </c>
      <c r="P34" s="70">
        <f>P33+(($P$35-$P$30)/($O$35-$O$30))</f>
        <v>349.79999999999995</v>
      </c>
      <c r="Q34" s="73">
        <f t="shared" si="16"/>
        <v>454.73999999999995</v>
      </c>
      <c r="R34" s="73">
        <f t="shared" si="1"/>
        <v>195.53819999999999</v>
      </c>
      <c r="S34" s="58">
        <f t="shared" si="17"/>
        <v>48.762315280106222</v>
      </c>
      <c r="T34" s="122">
        <f t="shared" si="2"/>
        <v>717.60117522396263</v>
      </c>
      <c r="U34" s="80"/>
      <c r="V34" s="56">
        <v>29</v>
      </c>
      <c r="W34" s="70">
        <f>W33+(($W$35-$W$29)/($V$35-$V$29))</f>
        <v>214.66666666666671</v>
      </c>
      <c r="X34" s="73">
        <f t="shared" si="18"/>
        <v>279.06666666666672</v>
      </c>
      <c r="Y34" s="73">
        <f t="shared" si="3"/>
        <v>133.95200000000003</v>
      </c>
      <c r="Z34" s="58">
        <f t="shared" si="19"/>
        <v>34.907952797441666</v>
      </c>
      <c r="AA34" s="122">
        <f t="shared" si="4"/>
        <v>586.20886223332195</v>
      </c>
      <c r="AB34"/>
      <c r="AC34" s="56">
        <v>29</v>
      </c>
      <c r="AD34" s="70">
        <f t="shared" si="31"/>
        <v>80.917519999999939</v>
      </c>
      <c r="AE34" s="71">
        <f t="shared" si="21"/>
        <v>105.19277599999992</v>
      </c>
      <c r="AF34" s="72">
        <f t="shared" si="5"/>
        <v>37.869399359999974</v>
      </c>
      <c r="AG34" s="72">
        <f t="shared" si="22"/>
        <v>11.432144627279385</v>
      </c>
      <c r="AH34" s="128">
        <f t="shared" si="6"/>
        <v>377.97796688895596</v>
      </c>
      <c r="AI34"/>
      <c r="AJ34" s="56">
        <v>29</v>
      </c>
      <c r="AK34" s="70">
        <v>30</v>
      </c>
      <c r="AL34" s="73">
        <f t="shared" si="23"/>
        <v>46.800000000000004</v>
      </c>
      <c r="AM34" s="73">
        <f t="shared" si="7"/>
        <v>24.336000000000002</v>
      </c>
      <c r="AN34" s="58">
        <f t="shared" si="24"/>
        <v>7.7346711726299766</v>
      </c>
      <c r="AO34" s="122">
        <f t="shared" si="8"/>
        <v>349.18975229233052</v>
      </c>
    </row>
    <row r="35" spans="1:41" x14ac:dyDescent="0.25">
      <c r="A35" s="84">
        <v>30</v>
      </c>
      <c r="B35" s="88">
        <v>202</v>
      </c>
      <c r="C35" s="86">
        <f t="shared" si="9"/>
        <v>262.60000000000002</v>
      </c>
      <c r="D35" s="85">
        <f t="shared" si="10"/>
        <v>120.79600000000002</v>
      </c>
      <c r="E35" s="85">
        <f t="shared" si="11"/>
        <v>31.860581725070222</v>
      </c>
      <c r="F35" s="123">
        <f t="shared" si="12"/>
        <v>559.21021317116401</v>
      </c>
      <c r="G35" s="80"/>
      <c r="H35" s="84">
        <v>30</v>
      </c>
      <c r="I35" s="88">
        <v>434</v>
      </c>
      <c r="J35" s="86">
        <f t="shared" si="13"/>
        <v>564.20000000000005</v>
      </c>
      <c r="K35" s="86">
        <f t="shared" si="0"/>
        <v>242.60600000000002</v>
      </c>
      <c r="L35" s="85">
        <f t="shared" si="14"/>
        <v>58.999871167541734</v>
      </c>
      <c r="M35" s="123">
        <f t="shared" si="15"/>
        <v>818.63022561680179</v>
      </c>
      <c r="N35" s="80"/>
      <c r="O35" s="84">
        <v>30</v>
      </c>
      <c r="P35" s="88">
        <v>367</v>
      </c>
      <c r="Q35" s="86">
        <f t="shared" si="16"/>
        <v>477.1</v>
      </c>
      <c r="R35" s="86">
        <f t="shared" si="1"/>
        <v>205.15300000000002</v>
      </c>
      <c r="S35" s="85">
        <f t="shared" si="17"/>
        <v>50.874959053246712</v>
      </c>
      <c r="T35" s="123">
        <f t="shared" si="2"/>
        <v>739.24869535107132</v>
      </c>
      <c r="U35" s="80"/>
      <c r="V35" s="84">
        <v>30</v>
      </c>
      <c r="W35" s="88">
        <v>224</v>
      </c>
      <c r="X35" s="86">
        <f t="shared" si="18"/>
        <v>291.2</v>
      </c>
      <c r="Y35" s="86">
        <f t="shared" si="3"/>
        <v>139.77599999999998</v>
      </c>
      <c r="Z35" s="85">
        <f t="shared" si="19"/>
        <v>36.245685459195286</v>
      </c>
      <c r="AA35" s="123">
        <f t="shared" si="4"/>
        <v>599.90443550809846</v>
      </c>
      <c r="AB35" s="82"/>
      <c r="AC35" s="84">
        <v>30</v>
      </c>
      <c r="AD35" s="88">
        <v>88</v>
      </c>
      <c r="AE35" s="87">
        <f t="shared" si="21"/>
        <v>114.4</v>
      </c>
      <c r="AF35" s="89">
        <f t="shared" si="5"/>
        <v>41.183999999999997</v>
      </c>
      <c r="AG35" s="89">
        <f t="shared" si="22"/>
        <v>12.31193147776184</v>
      </c>
      <c r="AH35" s="129">
        <f t="shared" si="6"/>
        <v>386.50541399043516</v>
      </c>
      <c r="AI35" s="82"/>
      <c r="AJ35" s="84">
        <v>30</v>
      </c>
      <c r="AK35" s="88">
        <v>31</v>
      </c>
      <c r="AL35" s="86">
        <f t="shared" si="23"/>
        <v>48.36</v>
      </c>
      <c r="AM35" s="86">
        <f t="shared" si="7"/>
        <v>25.147200000000002</v>
      </c>
      <c r="AN35" s="85">
        <f t="shared" si="24"/>
        <v>7.9620464533976936</v>
      </c>
      <c r="AO35" s="123">
        <f t="shared" si="8"/>
        <v>350.9986042396676</v>
      </c>
    </row>
    <row r="36" spans="1:41" x14ac:dyDescent="0.25">
      <c r="A36" s="56">
        <v>31</v>
      </c>
      <c r="B36" s="70">
        <f>B35+(($B$40-$B$35)/($A$40-$A$35))</f>
        <v>210.4</v>
      </c>
      <c r="C36" s="73">
        <f t="shared" si="9"/>
        <v>273.52000000000004</v>
      </c>
      <c r="D36" s="58">
        <f t="shared" si="10"/>
        <v>125.81920000000002</v>
      </c>
      <c r="E36" s="58">
        <f t="shared" si="11"/>
        <v>33.028469001524961</v>
      </c>
      <c r="F36" s="122">
        <f t="shared" ref="F36:F68" si="32">((D36+E36)* TauxC + Csol + Clitiere)*MasseMol</f>
        <v>569.99302351098936</v>
      </c>
      <c r="G36" s="63"/>
      <c r="H36" s="56">
        <v>31</v>
      </c>
      <c r="I36" s="70">
        <f>I35+(($I$40-$I$35)/($H$40-$H$35))</f>
        <v>448</v>
      </c>
      <c r="J36" s="73">
        <f t="shared" si="13"/>
        <v>582.4</v>
      </c>
      <c r="K36" s="73">
        <f t="shared" si="0"/>
        <v>250.43199999999999</v>
      </c>
      <c r="L36" s="58">
        <f t="shared" si="14"/>
        <v>60.67843785311895</v>
      </c>
      <c r="M36" s="122">
        <f t="shared" ref="M36:M68" si="33">((K36+L36)* TauxC + Csol + Clitiere)* MasseMol</f>
        <v>835.18401259418204</v>
      </c>
      <c r="N36" s="63"/>
      <c r="O36" s="56">
        <v>31</v>
      </c>
      <c r="P36" s="70">
        <f>P35+(($P$40-$P$35)/($O$40-$O$35))</f>
        <v>380.8</v>
      </c>
      <c r="Q36" s="73">
        <f t="shared" si="16"/>
        <v>495.04</v>
      </c>
      <c r="R36" s="73">
        <f t="shared" si="1"/>
        <v>212.8672</v>
      </c>
      <c r="S36" s="58">
        <f t="shared" si="17"/>
        <v>52.561645671611224</v>
      </c>
      <c r="T36" s="122">
        <f t="shared" ref="T36:T65" si="34">((R36+S36)* TauxC + Csol + Clitiere)*MasseMol</f>
        <v>755.62190621138939</v>
      </c>
      <c r="U36" s="80"/>
      <c r="V36" s="56">
        <v>31</v>
      </c>
      <c r="W36" s="70">
        <f>W35+(($W$41-$W$35)/($V$41-$V$35))</f>
        <v>228</v>
      </c>
      <c r="X36" s="73">
        <f t="shared" si="18"/>
        <v>296.40000000000003</v>
      </c>
      <c r="Y36" s="73">
        <f t="shared" si="3"/>
        <v>142.27200000000002</v>
      </c>
      <c r="Z36" s="58">
        <f t="shared" si="19"/>
        <v>36.817000136193229</v>
      </c>
      <c r="AA36" s="122">
        <f t="shared" ref="AA36:AA65" si="35">((Y36+Z36)* TauxC + Csol + Clitiere)*MasseMol</f>
        <v>605.24667523720314</v>
      </c>
      <c r="AB36"/>
      <c r="AC36" s="56">
        <v>31</v>
      </c>
      <c r="AD36" s="70">
        <f>AD35+($AD$45-$AD$35)/($AC$45-$AC$35)</f>
        <v>99</v>
      </c>
      <c r="AE36" s="71">
        <f t="shared" si="21"/>
        <v>128.70000000000002</v>
      </c>
      <c r="AF36" s="72">
        <f t="shared" si="5"/>
        <v>46.332000000000008</v>
      </c>
      <c r="AG36" s="72">
        <f t="shared" si="22"/>
        <v>13.662323315513062</v>
      </c>
      <c r="AH36" s="128">
        <f t="shared" ref="AH36:AH68" si="36">((AF36+AG36)*TauxC + Csol + Clitiere)*MasseMol</f>
        <v>397.82344644118524</v>
      </c>
      <c r="AI36"/>
      <c r="AJ36" s="56">
        <v>31</v>
      </c>
      <c r="AK36" s="70">
        <v>32</v>
      </c>
      <c r="AL36" s="73">
        <f t="shared" si="23"/>
        <v>49.92</v>
      </c>
      <c r="AM36" s="73">
        <f t="shared" si="7"/>
        <v>25.958400000000001</v>
      </c>
      <c r="AN36" s="58">
        <f t="shared" si="24"/>
        <v>8.1885694213502802</v>
      </c>
      <c r="AO36" s="122">
        <f t="shared" si="8"/>
        <v>352.80597174218502</v>
      </c>
    </row>
    <row r="37" spans="1:41" x14ac:dyDescent="0.25">
      <c r="A37" s="56">
        <v>32</v>
      </c>
      <c r="B37" s="70">
        <f>B36+(($B$40-$B$35)/($A$40-$A$35))</f>
        <v>218.8</v>
      </c>
      <c r="C37" s="73">
        <f t="shared" si="9"/>
        <v>284.44</v>
      </c>
      <c r="D37" s="58">
        <f t="shared" si="10"/>
        <v>130.8424</v>
      </c>
      <c r="E37" s="58">
        <f t="shared" si="11"/>
        <v>34.190940004301886</v>
      </c>
      <c r="F37" s="122">
        <f t="shared" si="32"/>
        <v>580.76640050749234</v>
      </c>
      <c r="G37" s="63"/>
      <c r="H37" s="56">
        <v>32</v>
      </c>
      <c r="I37" s="70">
        <f>I36+(($I$40-$I$35)/($H$40-$H$35))</f>
        <v>462</v>
      </c>
      <c r="J37" s="73">
        <f t="shared" si="13"/>
        <v>600.6</v>
      </c>
      <c r="K37" s="73">
        <f t="shared" si="0"/>
        <v>258.25799999999998</v>
      </c>
      <c r="L37" s="58">
        <f t="shared" si="14"/>
        <v>62.350908795595359</v>
      </c>
      <c r="M37" s="122">
        <f t="shared" si="33"/>
        <v>851.72718281899506</v>
      </c>
      <c r="N37" s="63"/>
      <c r="O37" s="56">
        <v>32</v>
      </c>
      <c r="P37" s="70">
        <f>P36+(($P$40-$P$35)/($O$40-$O$35))</f>
        <v>394.6</v>
      </c>
      <c r="Q37" s="73">
        <f t="shared" si="16"/>
        <v>512.98</v>
      </c>
      <c r="R37" s="73">
        <f t="shared" si="1"/>
        <v>220.5814</v>
      </c>
      <c r="S37" s="58">
        <f t="shared" si="17"/>
        <v>54.241230721401301</v>
      </c>
      <c r="T37" s="122">
        <f t="shared" si="34"/>
        <v>771.98274850644054</v>
      </c>
      <c r="U37" s="80"/>
      <c r="V37" s="56">
        <v>32</v>
      </c>
      <c r="W37" s="70">
        <f>W36+(($W$41-$W$35)/($V$41-$V$35))</f>
        <v>232</v>
      </c>
      <c r="X37" s="73">
        <f t="shared" si="18"/>
        <v>301.60000000000002</v>
      </c>
      <c r="Y37" s="73">
        <f t="shared" si="3"/>
        <v>144.768</v>
      </c>
      <c r="Z37" s="58">
        <f t="shared" si="19"/>
        <v>37.387149255707826</v>
      </c>
      <c r="AA37" s="122">
        <f t="shared" si="35"/>
        <v>610.58688495369108</v>
      </c>
      <c r="AB37"/>
      <c r="AC37" s="56">
        <v>32</v>
      </c>
      <c r="AD37" s="70">
        <f t="shared" ref="AD37:AD44" si="37">AD36+($AD$45-$AD$35)/($AC$45-$AC$35)</f>
        <v>110</v>
      </c>
      <c r="AE37" s="71">
        <f t="shared" si="21"/>
        <v>143</v>
      </c>
      <c r="AF37" s="72">
        <f t="shared" si="5"/>
        <v>51.48</v>
      </c>
      <c r="AG37" s="72">
        <f t="shared" si="22"/>
        <v>14.995324806875232</v>
      </c>
      <c r="AH37" s="128">
        <f t="shared" si="36"/>
        <v>409.11119070530765</v>
      </c>
      <c r="AI37"/>
      <c r="AJ37" s="56">
        <v>32</v>
      </c>
      <c r="AK37" s="70">
        <v>33</v>
      </c>
      <c r="AL37" s="73">
        <f t="shared" si="23"/>
        <v>51.480000000000004</v>
      </c>
      <c r="AM37" s="73">
        <f t="shared" si="7"/>
        <v>26.769600000000004</v>
      </c>
      <c r="AN37" s="58">
        <f t="shared" si="24"/>
        <v>8.4142697673415618</v>
      </c>
      <c r="AO37" s="122">
        <f t="shared" si="8"/>
        <v>354.61190651145318</v>
      </c>
    </row>
    <row r="38" spans="1:41" x14ac:dyDescent="0.25">
      <c r="A38" s="56">
        <v>33</v>
      </c>
      <c r="B38" s="70">
        <f>B37+(($B$40-$B$35)/($A$40-$A$35))</f>
        <v>227.20000000000002</v>
      </c>
      <c r="C38" s="73">
        <f t="shared" si="9"/>
        <v>295.36</v>
      </c>
      <c r="D38" s="58">
        <f t="shared" si="10"/>
        <v>135.8656</v>
      </c>
      <c r="E38" s="58">
        <f t="shared" si="11"/>
        <v>35.348226472689539</v>
      </c>
      <c r="F38" s="122">
        <f t="shared" si="32"/>
        <v>591.53074777326754</v>
      </c>
      <c r="G38" s="63"/>
      <c r="H38" s="56">
        <v>33</v>
      </c>
      <c r="I38" s="70">
        <f>I37+(($I$40-$I$35)/($H$40-$H$35))</f>
        <v>476</v>
      </c>
      <c r="J38" s="73">
        <f t="shared" si="13"/>
        <v>618.80000000000007</v>
      </c>
      <c r="K38" s="73">
        <f t="shared" si="0"/>
        <v>266.084</v>
      </c>
      <c r="L38" s="58">
        <f t="shared" si="14"/>
        <v>64.017489916454537</v>
      </c>
      <c r="M38" s="122">
        <f t="shared" si="33"/>
        <v>868.26009493782487</v>
      </c>
      <c r="N38" s="63"/>
      <c r="O38" s="56">
        <v>33</v>
      </c>
      <c r="P38" s="70">
        <f>P37+(($P$40-$P$35)/($O$40-$O$35))</f>
        <v>408.40000000000003</v>
      </c>
      <c r="Q38" s="73">
        <f t="shared" si="16"/>
        <v>530.92000000000007</v>
      </c>
      <c r="R38" s="73">
        <f t="shared" si="1"/>
        <v>228.29560000000004</v>
      </c>
      <c r="S38" s="58">
        <f t="shared" si="17"/>
        <v>55.913991019426796</v>
      </c>
      <c r="T38" s="122">
        <f t="shared" si="34"/>
        <v>788.33170435883505</v>
      </c>
      <c r="U38" s="80"/>
      <c r="V38" s="56">
        <v>33</v>
      </c>
      <c r="W38" s="70">
        <f>W37+(($W$41-$W$35)/($V$41-$V$35))</f>
        <v>236</v>
      </c>
      <c r="X38" s="73">
        <f t="shared" si="18"/>
        <v>306.8</v>
      </c>
      <c r="Y38" s="73">
        <f t="shared" si="3"/>
        <v>147.26400000000001</v>
      </c>
      <c r="Z38" s="58">
        <f t="shared" si="19"/>
        <v>37.956155232452218</v>
      </c>
      <c r="AA38" s="122">
        <f t="shared" si="35"/>
        <v>615.92510369652098</v>
      </c>
      <c r="AB38"/>
      <c r="AC38" s="56">
        <v>33</v>
      </c>
      <c r="AD38" s="70">
        <f t="shared" si="37"/>
        <v>121</v>
      </c>
      <c r="AE38" s="71">
        <f t="shared" si="21"/>
        <v>157.30000000000001</v>
      </c>
      <c r="AF38" s="72">
        <f t="shared" si="5"/>
        <v>56.628</v>
      </c>
      <c r="AG38" s="72">
        <f t="shared" si="22"/>
        <v>16.312872953208519</v>
      </c>
      <c r="AH38" s="128">
        <f t="shared" si="36"/>
        <v>420.37202039350484</v>
      </c>
      <c r="AI38"/>
      <c r="AJ38" s="56">
        <v>33</v>
      </c>
      <c r="AK38" s="70">
        <v>34</v>
      </c>
      <c r="AL38" s="73">
        <f t="shared" si="23"/>
        <v>53.04</v>
      </c>
      <c r="AM38" s="73">
        <f t="shared" si="7"/>
        <v>27.5808</v>
      </c>
      <c r="AN38" s="58">
        <f t="shared" si="24"/>
        <v>8.6391752805240465</v>
      </c>
      <c r="AO38" s="122">
        <f t="shared" si="8"/>
        <v>356.41645694691266</v>
      </c>
    </row>
    <row r="39" spans="1:41" x14ac:dyDescent="0.25">
      <c r="A39" s="56">
        <v>34</v>
      </c>
      <c r="B39" s="70">
        <f>B38+(($B$40-$B$35)/($A$40-$A$35))</f>
        <v>235.60000000000002</v>
      </c>
      <c r="C39" s="73">
        <f t="shared" si="9"/>
        <v>306.28000000000003</v>
      </c>
      <c r="D39" s="58">
        <f t="shared" si="10"/>
        <v>140.88880000000003</v>
      </c>
      <c r="E39" s="58">
        <f t="shared" si="11"/>
        <v>36.500542039400031</v>
      </c>
      <c r="F39" s="122">
        <f t="shared" si="32"/>
        <v>602.28643738528831</v>
      </c>
      <c r="G39" s="63"/>
      <c r="H39" s="56">
        <v>34</v>
      </c>
      <c r="I39" s="70">
        <f>I38+(($I$40-$I$35)/($H$40-$H$35))</f>
        <v>490</v>
      </c>
      <c r="J39" s="73">
        <f t="shared" si="13"/>
        <v>637</v>
      </c>
      <c r="K39" s="73">
        <f t="shared" si="0"/>
        <v>273.90999999999997</v>
      </c>
      <c r="L39" s="58">
        <f t="shared" si="14"/>
        <v>65.678374335500266</v>
      </c>
      <c r="M39" s="122">
        <f t="shared" si="33"/>
        <v>884.78308530099628</v>
      </c>
      <c r="N39" s="63"/>
      <c r="O39" s="56">
        <v>34</v>
      </c>
      <c r="P39" s="70">
        <f>P38+(($P$40-$P$35)/($O$40-$O$35))</f>
        <v>422.20000000000005</v>
      </c>
      <c r="Q39" s="73">
        <f t="shared" si="16"/>
        <v>548.86000000000013</v>
      </c>
      <c r="R39" s="73">
        <f t="shared" si="1"/>
        <v>236.00980000000004</v>
      </c>
      <c r="S39" s="58">
        <f t="shared" si="17"/>
        <v>57.580183613654185</v>
      </c>
      <c r="T39" s="122">
        <f t="shared" si="34"/>
        <v>804.66922146044772</v>
      </c>
      <c r="U39" s="80"/>
      <c r="V39" s="56">
        <v>34</v>
      </c>
      <c r="W39" s="70">
        <f>W38+(($W$41-$W$35)/($V$41-$V$35))</f>
        <v>240</v>
      </c>
      <c r="X39" s="73">
        <f t="shared" si="18"/>
        <v>312</v>
      </c>
      <c r="Y39" s="73">
        <f t="shared" si="3"/>
        <v>149.76</v>
      </c>
      <c r="Z39" s="58">
        <f t="shared" si="19"/>
        <v>38.524039677774802</v>
      </c>
      <c r="AA39" s="122">
        <f t="shared" si="35"/>
        <v>621.26136910545767</v>
      </c>
      <c r="AB39"/>
      <c r="AC39" s="56">
        <v>34</v>
      </c>
      <c r="AD39" s="70">
        <f t="shared" si="37"/>
        <v>132</v>
      </c>
      <c r="AE39" s="71">
        <f t="shared" si="21"/>
        <v>171.6</v>
      </c>
      <c r="AF39" s="72">
        <f t="shared" si="5"/>
        <v>61.775999999999996</v>
      </c>
      <c r="AG39" s="72">
        <f t="shared" si="22"/>
        <v>17.616532373802876</v>
      </c>
      <c r="AH39" s="128">
        <f t="shared" si="36"/>
        <v>431.60866055103997</v>
      </c>
      <c r="AI39"/>
      <c r="AJ39" s="56">
        <v>34</v>
      </c>
      <c r="AK39" s="70">
        <v>35</v>
      </c>
      <c r="AL39" s="73">
        <f t="shared" si="23"/>
        <v>54.6</v>
      </c>
      <c r="AM39" s="73">
        <f t="shared" si="7"/>
        <v>28.392000000000003</v>
      </c>
      <c r="AN39" s="58">
        <f t="shared" si="24"/>
        <v>8.8633120224605495</v>
      </c>
      <c r="AO39" s="122">
        <f t="shared" si="8"/>
        <v>358.21966843911878</v>
      </c>
    </row>
    <row r="40" spans="1:41" x14ac:dyDescent="0.25">
      <c r="A40" s="56">
        <v>35</v>
      </c>
      <c r="B40" s="70">
        <v>244</v>
      </c>
      <c r="C40" s="73">
        <f t="shared" si="9"/>
        <v>317.2</v>
      </c>
      <c r="D40" s="58">
        <f t="shared" si="10"/>
        <v>145.91200000000001</v>
      </c>
      <c r="E40" s="58">
        <f t="shared" si="11"/>
        <v>37.648084239987625</v>
      </c>
      <c r="F40" s="122">
        <f t="shared" si="32"/>
        <v>613.0338133846451</v>
      </c>
      <c r="G40" s="63"/>
      <c r="H40" s="56">
        <v>35</v>
      </c>
      <c r="I40" s="70">
        <v>504</v>
      </c>
      <c r="J40" s="73">
        <f t="shared" si="13"/>
        <v>655.20000000000005</v>
      </c>
      <c r="K40" s="73">
        <f t="shared" si="0"/>
        <v>281.73599999999999</v>
      </c>
      <c r="L40" s="58">
        <f t="shared" si="14"/>
        <v>67.333743509453043</v>
      </c>
      <c r="M40" s="122">
        <f t="shared" si="33"/>
        <v>901.29646994563063</v>
      </c>
      <c r="N40" s="63"/>
      <c r="O40" s="56">
        <v>35</v>
      </c>
      <c r="P40" s="70">
        <v>436</v>
      </c>
      <c r="Q40" s="73">
        <f t="shared" si="16"/>
        <v>566.80000000000007</v>
      </c>
      <c r="R40" s="73">
        <f t="shared" si="1"/>
        <v>243.72400000000002</v>
      </c>
      <c r="S40" s="58">
        <f t="shared" si="17"/>
        <v>59.24004779454549</v>
      </c>
      <c r="T40" s="122">
        <f t="shared" si="34"/>
        <v>820.99571657550007</v>
      </c>
      <c r="U40" s="80"/>
      <c r="V40" s="56">
        <v>35</v>
      </c>
      <c r="W40" s="70">
        <f>W39+(($W$41-$W$35)/($V$41-$V$35))</f>
        <v>244</v>
      </c>
      <c r="X40" s="73">
        <f t="shared" si="18"/>
        <v>317.2</v>
      </c>
      <c r="Y40" s="73">
        <f t="shared" si="3"/>
        <v>152.256</v>
      </c>
      <c r="Z40" s="58">
        <f t="shared" si="19"/>
        <v>39.090823441353066</v>
      </c>
      <c r="AA40" s="122">
        <f t="shared" si="35"/>
        <v>626.59571749368979</v>
      </c>
      <c r="AB40"/>
      <c r="AC40" s="56">
        <v>35</v>
      </c>
      <c r="AD40" s="70">
        <f t="shared" si="37"/>
        <v>143</v>
      </c>
      <c r="AE40" s="71">
        <f t="shared" si="21"/>
        <v>185.9</v>
      </c>
      <c r="AF40" s="72">
        <f t="shared" si="5"/>
        <v>66.924000000000007</v>
      </c>
      <c r="AG40" s="72">
        <f t="shared" si="22"/>
        <v>18.90759204786767</v>
      </c>
      <c r="AH40" s="128">
        <f t="shared" si="36"/>
        <v>442.8233561500362</v>
      </c>
      <c r="AI40"/>
      <c r="AJ40" s="56">
        <v>35</v>
      </c>
      <c r="AK40" s="70">
        <v>36</v>
      </c>
      <c r="AL40" s="73">
        <f t="shared" si="23"/>
        <v>56.160000000000004</v>
      </c>
      <c r="AM40" s="73">
        <f t="shared" si="7"/>
        <v>29.203200000000002</v>
      </c>
      <c r="AN40" s="58">
        <f t="shared" si="24"/>
        <v>9.0867044807780779</v>
      </c>
      <c r="AO40" s="122">
        <f t="shared" si="8"/>
        <v>360.02158363735515</v>
      </c>
    </row>
    <row r="41" spans="1:41" x14ac:dyDescent="0.25">
      <c r="A41" s="56">
        <v>36</v>
      </c>
      <c r="B41" s="70">
        <f>B40+(($B$45-$B$40)/($A$45-$A$40))</f>
        <v>252</v>
      </c>
      <c r="C41" s="73">
        <f t="shared" si="9"/>
        <v>327.60000000000002</v>
      </c>
      <c r="D41" s="58">
        <f t="shared" si="10"/>
        <v>150.69600000000003</v>
      </c>
      <c r="E41" s="58">
        <f t="shared" si="11"/>
        <v>38.736711478840633</v>
      </c>
      <c r="F41" s="122">
        <f t="shared" si="32"/>
        <v>623.26197249231416</v>
      </c>
      <c r="G41" s="63"/>
      <c r="H41" s="56">
        <v>36</v>
      </c>
      <c r="I41" s="70">
        <f>I40+(($I$45-$I$40)/($H$45-$H$40))</f>
        <v>515.6</v>
      </c>
      <c r="J41" s="73">
        <f t="shared" si="13"/>
        <v>670.28000000000009</v>
      </c>
      <c r="K41" s="73">
        <f t="shared" si="0"/>
        <v>288.22040000000004</v>
      </c>
      <c r="L41" s="58">
        <f t="shared" si="14"/>
        <v>68.701279333418142</v>
      </c>
      <c r="M41" s="122">
        <f t="shared" si="33"/>
        <v>914.97192483903666</v>
      </c>
      <c r="N41" s="63"/>
      <c r="O41" s="56">
        <v>36</v>
      </c>
      <c r="P41" s="70">
        <f>P40+(($P$45-$P$40)/($O$45-$O$40))</f>
        <v>447.2</v>
      </c>
      <c r="Q41" s="73">
        <f t="shared" si="16"/>
        <v>581.36</v>
      </c>
      <c r="R41" s="73">
        <f t="shared" si="1"/>
        <v>249.98480000000001</v>
      </c>
      <c r="S41" s="58">
        <f t="shared" si="17"/>
        <v>60.582685989596904</v>
      </c>
      <c r="T41" s="122">
        <f t="shared" si="34"/>
        <v>834.23837143188121</v>
      </c>
      <c r="U41" s="80"/>
      <c r="V41" s="56">
        <v>36</v>
      </c>
      <c r="W41" s="70">
        <v>248</v>
      </c>
      <c r="X41" s="73">
        <f t="shared" si="18"/>
        <v>322.40000000000003</v>
      </c>
      <c r="Y41" s="73">
        <f t="shared" si="3"/>
        <v>154.75200000000001</v>
      </c>
      <c r="Z41" s="58">
        <f t="shared" si="19"/>
        <v>39.656526650076415</v>
      </c>
      <c r="AA41" s="122">
        <f t="shared" si="35"/>
        <v>631.92818391554977</v>
      </c>
      <c r="AB41"/>
      <c r="AC41" s="56">
        <v>36</v>
      </c>
      <c r="AD41" s="70">
        <f t="shared" si="37"/>
        <v>154</v>
      </c>
      <c r="AE41" s="71">
        <f t="shared" si="21"/>
        <v>200.20000000000002</v>
      </c>
      <c r="AF41" s="72">
        <f t="shared" si="5"/>
        <v>72.072000000000003</v>
      </c>
      <c r="AG41" s="72">
        <f t="shared" si="22"/>
        <v>20.187131385147271</v>
      </c>
      <c r="AH41" s="128">
        <f t="shared" si="36"/>
        <v>454.01798716246481</v>
      </c>
      <c r="AI41"/>
      <c r="AJ41" s="56">
        <v>36</v>
      </c>
      <c r="AK41" s="70">
        <v>37</v>
      </c>
      <c r="AL41" s="73">
        <f t="shared" si="23"/>
        <v>57.72</v>
      </c>
      <c r="AM41" s="73">
        <f t="shared" si="7"/>
        <v>30.014400000000002</v>
      </c>
      <c r="AN41" s="58">
        <f t="shared" si="24"/>
        <v>9.309375705269078</v>
      </c>
      <c r="AO41" s="122">
        <f t="shared" si="8"/>
        <v>361.82224268667693</v>
      </c>
    </row>
    <row r="42" spans="1:41" x14ac:dyDescent="0.25">
      <c r="A42" s="56">
        <v>37</v>
      </c>
      <c r="B42" s="70">
        <f>B41+(($B$45-$B$40)/($A$45-$A$40))</f>
        <v>260</v>
      </c>
      <c r="C42" s="73">
        <f t="shared" si="9"/>
        <v>338</v>
      </c>
      <c r="D42" s="58">
        <f t="shared" si="10"/>
        <v>155.48000000000002</v>
      </c>
      <c r="E42" s="58">
        <f t="shared" si="11"/>
        <v>39.821322691506509</v>
      </c>
      <c r="F42" s="122">
        <f t="shared" si="32"/>
        <v>633.48313702104053</v>
      </c>
      <c r="G42" s="63"/>
      <c r="H42" s="56">
        <v>37</v>
      </c>
      <c r="I42" s="70">
        <f>I41+(($I$45-$I$40)/($H$45-$H$40))</f>
        <v>527.20000000000005</v>
      </c>
      <c r="J42" s="73">
        <f t="shared" si="13"/>
        <v>685.36000000000013</v>
      </c>
      <c r="K42" s="73">
        <f t="shared" si="0"/>
        <v>294.70480000000003</v>
      </c>
      <c r="L42" s="58">
        <f t="shared" si="14"/>
        <v>70.065238256033226</v>
      </c>
      <c r="M42" s="122">
        <f t="shared" si="33"/>
        <v>928.64114996259127</v>
      </c>
      <c r="N42" s="63"/>
      <c r="O42" s="56">
        <v>37</v>
      </c>
      <c r="P42" s="70">
        <f>P41+(($P$45-$P$40)/($O$45-$O$40))</f>
        <v>458.4</v>
      </c>
      <c r="Q42" s="73">
        <f t="shared" si="16"/>
        <v>595.91999999999996</v>
      </c>
      <c r="R42" s="73">
        <f t="shared" si="1"/>
        <v>256.24559999999997</v>
      </c>
      <c r="S42" s="58">
        <f t="shared" si="17"/>
        <v>61.921415385868649</v>
      </c>
      <c r="T42" s="122">
        <f t="shared" si="34"/>
        <v>847.47421846372117</v>
      </c>
      <c r="U42" s="80"/>
      <c r="V42" s="56">
        <v>37</v>
      </c>
      <c r="W42" s="70">
        <f>W41+(($W$47-$W$41)/($V$47-$V$41))</f>
        <v>249.16666666666666</v>
      </c>
      <c r="X42" s="73">
        <f t="shared" si="18"/>
        <v>323.91666666666669</v>
      </c>
      <c r="Y42" s="73">
        <f t="shared" si="3"/>
        <v>155.47999999999999</v>
      </c>
      <c r="Z42" s="58">
        <f t="shared" si="19"/>
        <v>39.821322691506509</v>
      </c>
      <c r="AA42" s="122">
        <f t="shared" si="35"/>
        <v>633.48313702104042</v>
      </c>
      <c r="AB42"/>
      <c r="AC42" s="56">
        <v>37</v>
      </c>
      <c r="AD42" s="70">
        <f t="shared" si="37"/>
        <v>165</v>
      </c>
      <c r="AE42" s="71">
        <f t="shared" si="21"/>
        <v>214.5</v>
      </c>
      <c r="AF42" s="72">
        <f t="shared" si="5"/>
        <v>77.22</v>
      </c>
      <c r="AG42" s="72">
        <f t="shared" si="22"/>
        <v>21.456066856215884</v>
      </c>
      <c r="AH42" s="128">
        <f t="shared" si="36"/>
        <v>465.19414977457598</v>
      </c>
      <c r="AI42"/>
      <c r="AJ42" s="56">
        <v>37</v>
      </c>
      <c r="AK42" s="70">
        <v>38</v>
      </c>
      <c r="AL42" s="73">
        <f t="shared" si="23"/>
        <v>59.28</v>
      </c>
      <c r="AM42" s="73">
        <f t="shared" si="7"/>
        <v>30.825600000000001</v>
      </c>
      <c r="AN42" s="58">
        <f t="shared" si="24"/>
        <v>9.5313474288652582</v>
      </c>
      <c r="AO42" s="122">
        <f t="shared" si="8"/>
        <v>363.62168343860696</v>
      </c>
    </row>
    <row r="43" spans="1:41" x14ac:dyDescent="0.25">
      <c r="A43" s="56">
        <v>38</v>
      </c>
      <c r="B43" s="70">
        <f>B42+(($B$45-$B$40)/($A$45-$A$40))</f>
        <v>268</v>
      </c>
      <c r="C43" s="73">
        <f t="shared" si="9"/>
        <v>348.40000000000003</v>
      </c>
      <c r="D43" s="58">
        <f t="shared" si="10"/>
        <v>160.26400000000001</v>
      </c>
      <c r="E43" s="58">
        <f t="shared" si="11"/>
        <v>40.90205562891957</v>
      </c>
      <c r="F43" s="122">
        <f t="shared" si="32"/>
        <v>643.69754688703495</v>
      </c>
      <c r="G43" s="63"/>
      <c r="H43" s="56">
        <v>38</v>
      </c>
      <c r="I43" s="70">
        <f>I42+(($I$45-$I$40)/($H$45-$H$40))</f>
        <v>538.80000000000007</v>
      </c>
      <c r="J43" s="73">
        <f t="shared" si="13"/>
        <v>700.44000000000017</v>
      </c>
      <c r="K43" s="73">
        <f t="shared" si="0"/>
        <v>301.18920000000008</v>
      </c>
      <c r="L43" s="58">
        <f t="shared" si="14"/>
        <v>71.425708042861942</v>
      </c>
      <c r="M43" s="122">
        <f t="shared" si="33"/>
        <v>942.30429817465119</v>
      </c>
      <c r="N43" s="63"/>
      <c r="O43" s="56">
        <v>38</v>
      </c>
      <c r="P43" s="70">
        <f>P42+(($P$45-$P$40)/($O$45-$O$40))</f>
        <v>469.59999999999997</v>
      </c>
      <c r="Q43" s="73">
        <f t="shared" si="16"/>
        <v>610.48</v>
      </c>
      <c r="R43" s="73">
        <f t="shared" si="1"/>
        <v>262.50639999999999</v>
      </c>
      <c r="S43" s="58">
        <f t="shared" si="17"/>
        <v>63.256342472799659</v>
      </c>
      <c r="T43" s="122">
        <f t="shared" si="34"/>
        <v>860.70344314012596</v>
      </c>
      <c r="U43" s="80"/>
      <c r="V43" s="56">
        <v>38</v>
      </c>
      <c r="W43" s="70">
        <f>W42+(($W$47-$W$41)/($V$47-$V$41))</f>
        <v>250.33333333333331</v>
      </c>
      <c r="X43" s="73">
        <f t="shared" si="18"/>
        <v>325.43333333333334</v>
      </c>
      <c r="Y43" s="73">
        <f t="shared" si="3"/>
        <v>156.208</v>
      </c>
      <c r="Z43" s="58">
        <f t="shared" si="19"/>
        <v>39.986028940462447</v>
      </c>
      <c r="AA43" s="122">
        <f t="shared" si="35"/>
        <v>635.03793373797203</v>
      </c>
      <c r="AB43"/>
      <c r="AC43" s="56">
        <v>38</v>
      </c>
      <c r="AD43" s="70">
        <f t="shared" si="37"/>
        <v>176</v>
      </c>
      <c r="AE43" s="71">
        <f t="shared" si="21"/>
        <v>228.8</v>
      </c>
      <c r="AF43" s="72">
        <f t="shared" si="5"/>
        <v>82.367999999999995</v>
      </c>
      <c r="AG43" s="72">
        <f t="shared" si="22"/>
        <v>22.715185822374924</v>
      </c>
      <c r="AH43" s="128">
        <f t="shared" si="36"/>
        <v>476.35321530730289</v>
      </c>
      <c r="AI43"/>
      <c r="AJ43" s="56">
        <v>38</v>
      </c>
      <c r="AK43" s="70">
        <v>39</v>
      </c>
      <c r="AL43" s="73">
        <f t="shared" si="23"/>
        <v>60.84</v>
      </c>
      <c r="AM43" s="73">
        <f t="shared" si="7"/>
        <v>31.636800000000004</v>
      </c>
      <c r="AN43" s="58">
        <f t="shared" si="24"/>
        <v>9.7526401755191241</v>
      </c>
      <c r="AO43" s="122">
        <f t="shared" si="8"/>
        <v>365.4199416390291</v>
      </c>
    </row>
    <row r="44" spans="1:41" x14ac:dyDescent="0.25">
      <c r="A44" s="56">
        <v>39</v>
      </c>
      <c r="B44" s="70">
        <f>B43+(($B$45-$B$40)/($A$45-$A$40))</f>
        <v>276</v>
      </c>
      <c r="C44" s="73">
        <f t="shared" si="9"/>
        <v>358.8</v>
      </c>
      <c r="D44" s="58">
        <f t="shared" si="10"/>
        <v>165.048</v>
      </c>
      <c r="E44" s="58">
        <f t="shared" si="11"/>
        <v>41.979039350635581</v>
      </c>
      <c r="F44" s="122">
        <f t="shared" si="32"/>
        <v>653.90542686902359</v>
      </c>
      <c r="G44" s="63"/>
      <c r="H44" s="56">
        <v>39</v>
      </c>
      <c r="I44" s="70">
        <f>I43+(($I$45-$I$40)/($H$45-$H$40))</f>
        <v>550.40000000000009</v>
      </c>
      <c r="J44" s="73">
        <f t="shared" si="13"/>
        <v>715.5200000000001</v>
      </c>
      <c r="K44" s="73">
        <f t="shared" si="0"/>
        <v>307.67360000000002</v>
      </c>
      <c r="L44" s="58">
        <f t="shared" si="14"/>
        <v>72.782772464539264</v>
      </c>
      <c r="M44" s="122">
        <f t="shared" si="33"/>
        <v>955.96151537573928</v>
      </c>
      <c r="N44" s="63"/>
      <c r="O44" s="56">
        <v>39</v>
      </c>
      <c r="P44" s="70">
        <f>P43+(($P$45-$P$40)/($O$45-$O$40))</f>
        <v>480.79999999999995</v>
      </c>
      <c r="Q44" s="73">
        <f t="shared" si="16"/>
        <v>625.04</v>
      </c>
      <c r="R44" s="73">
        <f t="shared" si="1"/>
        <v>268.7672</v>
      </c>
      <c r="S44" s="58">
        <f t="shared" si="17"/>
        <v>64.587568370555275</v>
      </c>
      <c r="T44" s="122">
        <f t="shared" si="34"/>
        <v>873.9262215787171</v>
      </c>
      <c r="U44" s="80"/>
      <c r="V44" s="56">
        <v>39</v>
      </c>
      <c r="W44" s="70">
        <f>W43+(($W$47-$W$41)/($V$47-$V$41))</f>
        <v>251.49999999999997</v>
      </c>
      <c r="X44" s="73">
        <f t="shared" si="18"/>
        <v>326.95</v>
      </c>
      <c r="Y44" s="73">
        <f t="shared" si="3"/>
        <v>156.93599999999998</v>
      </c>
      <c r="Z44" s="58">
        <f t="shared" si="19"/>
        <v>40.150645864004822</v>
      </c>
      <c r="AA44" s="122">
        <f t="shared" si="35"/>
        <v>636.59257487980824</v>
      </c>
      <c r="AB44"/>
      <c r="AC44" s="56">
        <v>39</v>
      </c>
      <c r="AD44" s="70">
        <f t="shared" si="37"/>
        <v>187</v>
      </c>
      <c r="AE44" s="71">
        <f t="shared" si="21"/>
        <v>243.1</v>
      </c>
      <c r="AF44" s="72">
        <f t="shared" si="5"/>
        <v>87.515999999999991</v>
      </c>
      <c r="AG44" s="72">
        <f t="shared" si="22"/>
        <v>23.965171662037644</v>
      </c>
      <c r="AH44" s="128">
        <f t="shared" si="36"/>
        <v>487.49637397804889</v>
      </c>
      <c r="AI44"/>
      <c r="AJ44" s="56">
        <v>39</v>
      </c>
      <c r="AK44" s="70">
        <v>40</v>
      </c>
      <c r="AL44" s="73">
        <f t="shared" si="23"/>
        <v>62.400000000000006</v>
      </c>
      <c r="AM44" s="73">
        <f t="shared" si="7"/>
        <v>32.448000000000008</v>
      </c>
      <c r="AN44" s="58">
        <f t="shared" si="24"/>
        <v>9.9732733567093899</v>
      </c>
      <c r="AO44" s="122">
        <f t="shared" si="8"/>
        <v>367.21705109626885</v>
      </c>
    </row>
    <row r="45" spans="1:41" x14ac:dyDescent="0.25">
      <c r="A45" s="56">
        <v>40</v>
      </c>
      <c r="B45" s="70">
        <v>284</v>
      </c>
      <c r="C45" s="73">
        <f t="shared" si="9"/>
        <v>369.2</v>
      </c>
      <c r="D45" s="58">
        <f t="shared" si="10"/>
        <v>169.83199999999999</v>
      </c>
      <c r="E45" s="58">
        <f t="shared" si="11"/>
        <v>43.052395009050464</v>
      </c>
      <c r="F45" s="122">
        <f t="shared" si="32"/>
        <v>664.10698797409611</v>
      </c>
      <c r="G45" s="63"/>
      <c r="H45" s="56">
        <v>40</v>
      </c>
      <c r="I45" s="70">
        <v>562</v>
      </c>
      <c r="J45" s="73">
        <f t="shared" si="13"/>
        <v>730.6</v>
      </c>
      <c r="K45" s="73">
        <f t="shared" si="0"/>
        <v>314.15800000000002</v>
      </c>
      <c r="L45" s="58">
        <f t="shared" si="14"/>
        <v>74.136511558914265</v>
      </c>
      <c r="M45" s="122">
        <f t="shared" si="33"/>
        <v>969.61294096510903</v>
      </c>
      <c r="N45" s="63"/>
      <c r="O45" s="56">
        <v>40</v>
      </c>
      <c r="P45" s="70">
        <v>492</v>
      </c>
      <c r="Q45" s="73">
        <f t="shared" si="16"/>
        <v>639.6</v>
      </c>
      <c r="R45" s="73">
        <f t="shared" si="1"/>
        <v>275.02800000000002</v>
      </c>
      <c r="S45" s="58">
        <f t="shared" si="17"/>
        <v>65.915189219423411</v>
      </c>
      <c r="T45" s="122">
        <f t="shared" si="34"/>
        <v>887.14272122382908</v>
      </c>
      <c r="U45" s="80"/>
      <c r="V45" s="56">
        <v>40</v>
      </c>
      <c r="W45" s="70">
        <f>W44+(($W$47-$W$41)/($V$47-$V$41))</f>
        <v>252.66666666666663</v>
      </c>
      <c r="X45" s="73">
        <f t="shared" si="18"/>
        <v>328.46666666666664</v>
      </c>
      <c r="Y45" s="73">
        <f t="shared" si="3"/>
        <v>157.66399999999999</v>
      </c>
      <c r="Z45" s="58">
        <f t="shared" si="19"/>
        <v>40.315173924610093</v>
      </c>
      <c r="AA45" s="122">
        <f t="shared" si="35"/>
        <v>638.14706125202906</v>
      </c>
      <c r="AB45"/>
      <c r="AC45" s="56">
        <v>40</v>
      </c>
      <c r="AD45" s="70">
        <v>198</v>
      </c>
      <c r="AE45" s="71">
        <f t="shared" si="21"/>
        <v>257.40000000000003</v>
      </c>
      <c r="AF45" s="72">
        <f t="shared" si="5"/>
        <v>92.664000000000016</v>
      </c>
      <c r="AG45" s="72">
        <f t="shared" si="22"/>
        <v>25.206622814445772</v>
      </c>
      <c r="AH45" s="128">
        <f t="shared" si="36"/>
        <v>498.62466806849312</v>
      </c>
      <c r="AI45"/>
      <c r="AJ45" s="56">
        <v>40</v>
      </c>
      <c r="AK45" s="70">
        <v>41</v>
      </c>
      <c r="AL45" s="73">
        <f t="shared" si="23"/>
        <v>63.96</v>
      </c>
      <c r="AM45" s="73">
        <f t="shared" si="7"/>
        <v>33.2592</v>
      </c>
      <c r="AN45" s="58">
        <f t="shared" si="24"/>
        <v>10.193265358024187</v>
      </c>
      <c r="AO45" s="122">
        <f t="shared" si="8"/>
        <v>369.01304383189211</v>
      </c>
    </row>
    <row r="46" spans="1:41" x14ac:dyDescent="0.25">
      <c r="A46" s="56">
        <v>41</v>
      </c>
      <c r="B46" s="70">
        <f>B45+(($B$50-$B$45)/($A$50-$A$45))</f>
        <v>292.60000000000002</v>
      </c>
      <c r="C46" s="73">
        <f t="shared" si="9"/>
        <v>380.38000000000005</v>
      </c>
      <c r="D46" s="58">
        <f t="shared" si="10"/>
        <v>174.97480000000004</v>
      </c>
      <c r="E46" s="58">
        <f t="shared" si="11"/>
        <v>44.202336027888798</v>
      </c>
      <c r="F46" s="122">
        <f t="shared" si="32"/>
        <v>675.06684524857292</v>
      </c>
      <c r="G46" s="63"/>
      <c r="H46" s="56">
        <v>41</v>
      </c>
      <c r="I46" s="70">
        <f>I45+(($I$50-$I$45)/($H$50-$H$45))</f>
        <v>574</v>
      </c>
      <c r="J46" s="73">
        <f t="shared" si="13"/>
        <v>746.2</v>
      </c>
      <c r="K46" s="73">
        <f t="shared" si="0"/>
        <v>320.86600000000004</v>
      </c>
      <c r="L46" s="58">
        <f t="shared" si="14"/>
        <v>75.53351345285769</v>
      </c>
      <c r="M46" s="122">
        <f t="shared" si="33"/>
        <v>983.72915259706053</v>
      </c>
      <c r="N46" s="63"/>
      <c r="O46" s="56">
        <v>41</v>
      </c>
      <c r="P46" s="70">
        <f>P45+(($P$50-$P$45)/($O$50-$O$45))</f>
        <v>501.6</v>
      </c>
      <c r="Q46" s="73">
        <f t="shared" si="16"/>
        <v>652.08000000000004</v>
      </c>
      <c r="R46" s="73">
        <f t="shared" si="1"/>
        <v>280.39440000000002</v>
      </c>
      <c r="S46" s="58">
        <f t="shared" si="17"/>
        <v>67.050350109566551</v>
      </c>
      <c r="T46" s="122">
        <f t="shared" si="34"/>
        <v>898.46627310749511</v>
      </c>
      <c r="U46" s="80"/>
      <c r="V46" s="56">
        <v>41</v>
      </c>
      <c r="W46" s="70">
        <f>W45+(($W$47-$W$41)/($V$47-$V$41))</f>
        <v>253.83333333333329</v>
      </c>
      <c r="X46" s="73">
        <f t="shared" si="18"/>
        <v>329.98333333333329</v>
      </c>
      <c r="Y46" s="73">
        <f t="shared" si="3"/>
        <v>158.39199999999997</v>
      </c>
      <c r="Z46" s="58">
        <f t="shared" si="19"/>
        <v>40.47961358023619</v>
      </c>
      <c r="AA46" s="122">
        <f t="shared" si="35"/>
        <v>639.70139365224463</v>
      </c>
      <c r="AB46"/>
      <c r="AC46" s="56">
        <v>41</v>
      </c>
      <c r="AD46" s="70">
        <f>AD45+($AD$51-$AD$45)/($AC$51-$AC$45)</f>
        <v>215</v>
      </c>
      <c r="AE46" s="71">
        <f t="shared" si="21"/>
        <v>279.5</v>
      </c>
      <c r="AF46" s="72">
        <f t="shared" si="5"/>
        <v>100.61999999999999</v>
      </c>
      <c r="AG46" s="72">
        <f t="shared" si="22"/>
        <v>27.10965082293415</v>
      </c>
      <c r="AH46" s="128">
        <f t="shared" si="36"/>
        <v>515.79580851661024</v>
      </c>
      <c r="AI46"/>
      <c r="AJ46" s="56">
        <v>41</v>
      </c>
      <c r="AK46" s="70">
        <v>42</v>
      </c>
      <c r="AL46" s="73">
        <f t="shared" si="23"/>
        <v>65.52</v>
      </c>
      <c r="AM46" s="73">
        <f t="shared" si="7"/>
        <v>34.070399999999999</v>
      </c>
      <c r="AN46" s="58">
        <f t="shared" si="24"/>
        <v>10.412633617059315</v>
      </c>
      <c r="AO46" s="122">
        <f t="shared" si="8"/>
        <v>370.80795021637829</v>
      </c>
    </row>
    <row r="47" spans="1:41" x14ac:dyDescent="0.25">
      <c r="A47" s="56">
        <v>42</v>
      </c>
      <c r="B47" s="70">
        <f>B46+(($B$50-$B$45)/($A$50-$A$45))</f>
        <v>301.20000000000005</v>
      </c>
      <c r="C47" s="73">
        <f t="shared" si="9"/>
        <v>391.56000000000006</v>
      </c>
      <c r="D47" s="58">
        <f t="shared" si="10"/>
        <v>180.11760000000004</v>
      </c>
      <c r="E47" s="58">
        <f t="shared" si="11"/>
        <v>45.348349005300811</v>
      </c>
      <c r="F47" s="122">
        <f t="shared" si="32"/>
        <v>686.01986118423224</v>
      </c>
      <c r="G47" s="63"/>
      <c r="H47" s="56">
        <v>42</v>
      </c>
      <c r="I47" s="70">
        <f>I46+(($I$50-$I$45)/($H$50-$H$45))</f>
        <v>586</v>
      </c>
      <c r="J47" s="73">
        <f t="shared" si="13"/>
        <v>761.80000000000007</v>
      </c>
      <c r="K47" s="73">
        <f t="shared" si="0"/>
        <v>327.57400000000001</v>
      </c>
      <c r="L47" s="58">
        <f t="shared" si="14"/>
        <v>76.927119684760811</v>
      </c>
      <c r="M47" s="122">
        <f t="shared" si="33"/>
        <v>997.83945011762523</v>
      </c>
      <c r="N47" s="63"/>
      <c r="O47" s="56">
        <v>42</v>
      </c>
      <c r="P47" s="70">
        <f>P46+(($P$50-$P$45)/($O$50-$O$45))</f>
        <v>511.20000000000005</v>
      </c>
      <c r="Q47" s="73">
        <f t="shared" si="16"/>
        <v>664.56000000000006</v>
      </c>
      <c r="R47" s="73">
        <f t="shared" si="1"/>
        <v>285.76080000000002</v>
      </c>
      <c r="S47" s="58">
        <f t="shared" si="17"/>
        <v>68.182984795389388</v>
      </c>
      <c r="T47" s="122">
        <f t="shared" si="34"/>
        <v>909.78542518530321</v>
      </c>
      <c r="U47" s="80"/>
      <c r="V47" s="56">
        <v>42</v>
      </c>
      <c r="W47" s="70">
        <v>255</v>
      </c>
      <c r="X47" s="73">
        <f t="shared" si="18"/>
        <v>331.5</v>
      </c>
      <c r="Y47" s="73">
        <f t="shared" si="3"/>
        <v>159.12</v>
      </c>
      <c r="Z47" s="58">
        <f t="shared" si="19"/>
        <v>40.643965284387697</v>
      </c>
      <c r="AA47" s="122">
        <f t="shared" si="35"/>
        <v>641.25557287030858</v>
      </c>
      <c r="AB47"/>
      <c r="AC47" s="56">
        <v>42</v>
      </c>
      <c r="AD47" s="70">
        <f>AD46+($AD$51-$AD$45)/($AC$51-$AC$45)</f>
        <v>232</v>
      </c>
      <c r="AE47" s="71">
        <f t="shared" si="21"/>
        <v>301.60000000000002</v>
      </c>
      <c r="AF47" s="72">
        <f t="shared" si="5"/>
        <v>108.57600000000001</v>
      </c>
      <c r="AG47" s="72">
        <f t="shared" si="22"/>
        <v>28.995225061228002</v>
      </c>
      <c r="AH47" s="128">
        <f t="shared" si="36"/>
        <v>532.93655031497201</v>
      </c>
      <c r="AI47"/>
      <c r="AJ47" s="56">
        <v>42</v>
      </c>
      <c r="AK47" s="70">
        <v>43</v>
      </c>
      <c r="AL47" s="73">
        <f t="shared" si="23"/>
        <v>67.08</v>
      </c>
      <c r="AM47" s="73">
        <f t="shared" si="7"/>
        <v>34.881599999999999</v>
      </c>
      <c r="AN47" s="58">
        <f t="shared" si="24"/>
        <v>10.631394693688584</v>
      </c>
      <c r="AO47" s="122">
        <f t="shared" si="8"/>
        <v>372.60179909150759</v>
      </c>
    </row>
    <row r="48" spans="1:41" x14ac:dyDescent="0.25">
      <c r="A48" s="56">
        <v>43</v>
      </c>
      <c r="B48" s="70">
        <f>B47+(($B$50-$B$45)/($A$50-$A$45))</f>
        <v>309.80000000000007</v>
      </c>
      <c r="C48" s="73">
        <f t="shared" si="9"/>
        <v>402.74000000000012</v>
      </c>
      <c r="D48" s="58">
        <f t="shared" si="10"/>
        <v>185.26040000000006</v>
      </c>
      <c r="E48" s="58">
        <f t="shared" si="11"/>
        <v>46.490558977978807</v>
      </c>
      <c r="F48" s="122">
        <f t="shared" si="32"/>
        <v>696.96625355331321</v>
      </c>
      <c r="G48" s="63"/>
      <c r="H48" s="56">
        <v>43</v>
      </c>
      <c r="I48" s="70">
        <f>I47+(($I$50-$I$45)/($H$50-$H$45))</f>
        <v>598</v>
      </c>
      <c r="J48" s="73">
        <f t="shared" si="13"/>
        <v>777.4</v>
      </c>
      <c r="K48" s="73">
        <f t="shared" si="0"/>
        <v>334.28199999999998</v>
      </c>
      <c r="L48" s="58">
        <f t="shared" si="14"/>
        <v>78.31740780282</v>
      </c>
      <c r="M48" s="122">
        <f t="shared" si="33"/>
        <v>1011.9439685899114</v>
      </c>
      <c r="N48" s="63"/>
      <c r="O48" s="56">
        <v>43</v>
      </c>
      <c r="P48" s="70">
        <f>P47+(($P$50-$P$45)/($O$50-$O$45))</f>
        <v>520.80000000000007</v>
      </c>
      <c r="Q48" s="73">
        <f t="shared" si="16"/>
        <v>677.04000000000008</v>
      </c>
      <c r="R48" s="73">
        <f t="shared" si="1"/>
        <v>291.12720000000002</v>
      </c>
      <c r="S48" s="58">
        <f t="shared" si="17"/>
        <v>69.313146187847352</v>
      </c>
      <c r="T48" s="122">
        <f t="shared" si="34"/>
        <v>921.10026961050073</v>
      </c>
      <c r="U48" s="80"/>
      <c r="V48" s="56">
        <v>43</v>
      </c>
      <c r="W48" s="70">
        <f>W47+(($W$53-$W$47)/($V$53-$V$47))</f>
        <v>256.16666666666669</v>
      </c>
      <c r="X48" s="73">
        <f t="shared" si="18"/>
        <v>333.01666666666671</v>
      </c>
      <c r="Y48" s="73">
        <f t="shared" si="3"/>
        <v>159.84800000000001</v>
      </c>
      <c r="Z48" s="58">
        <f t="shared" si="19"/>
        <v>40.808229486178959</v>
      </c>
      <c r="AA48" s="122">
        <f t="shared" si="35"/>
        <v>642.80959968842831</v>
      </c>
      <c r="AB48"/>
      <c r="AC48" s="56">
        <v>43</v>
      </c>
      <c r="AD48" s="70">
        <f>AD47+($AD$51-$AD$45)/($AC$51-$AC$45)</f>
        <v>249</v>
      </c>
      <c r="AE48" s="71">
        <f t="shared" si="21"/>
        <v>323.7</v>
      </c>
      <c r="AF48" s="72">
        <f t="shared" si="5"/>
        <v>116.532</v>
      </c>
      <c r="AG48" s="72">
        <f t="shared" si="22"/>
        <v>30.864769909522728</v>
      </c>
      <c r="AH48" s="128">
        <f t="shared" si="36"/>
        <v>550.04937425908543</v>
      </c>
      <c r="AI48"/>
      <c r="AJ48" s="56">
        <v>43</v>
      </c>
      <c r="AK48" s="70">
        <v>44</v>
      </c>
      <c r="AL48" s="73">
        <f t="shared" si="23"/>
        <v>68.64</v>
      </c>
      <c r="AM48" s="73">
        <f t="shared" si="7"/>
        <v>35.692799999999998</v>
      </c>
      <c r="AN48" s="58">
        <f t="shared" si="24"/>
        <v>10.849564333613264</v>
      </c>
      <c r="AO48" s="122">
        <f t="shared" si="8"/>
        <v>374.39461788104308</v>
      </c>
    </row>
    <row r="49" spans="1:41" x14ac:dyDescent="0.25">
      <c r="A49" s="56">
        <v>44</v>
      </c>
      <c r="B49" s="70">
        <f>B48+(($B$50-$B$45)/($A$50-$A$45))</f>
        <v>318.40000000000009</v>
      </c>
      <c r="C49" s="73">
        <f t="shared" si="9"/>
        <v>413.92000000000013</v>
      </c>
      <c r="D49" s="58">
        <f t="shared" si="10"/>
        <v>190.40320000000006</v>
      </c>
      <c r="E49" s="58">
        <f t="shared" si="11"/>
        <v>47.62908364559928</v>
      </c>
      <c r="F49" s="122">
        <f t="shared" si="32"/>
        <v>707.90622734941883</v>
      </c>
      <c r="G49" s="63"/>
      <c r="H49" s="56">
        <v>44</v>
      </c>
      <c r="I49" s="70">
        <f>I48+(($I$50-$I$45)/($H$50-$H$45))</f>
        <v>610</v>
      </c>
      <c r="J49" s="73">
        <f t="shared" si="13"/>
        <v>793</v>
      </c>
      <c r="K49" s="73">
        <f t="shared" si="0"/>
        <v>340.99</v>
      </c>
      <c r="L49" s="58">
        <f t="shared" si="14"/>
        <v>79.704452064974646</v>
      </c>
      <c r="M49" s="122">
        <f t="shared" si="33"/>
        <v>1026.0428373464974</v>
      </c>
      <c r="N49" s="63"/>
      <c r="O49" s="56">
        <v>44</v>
      </c>
      <c r="P49" s="70">
        <f>P48+(($P$50-$P$45)/($O$50-$O$45))</f>
        <v>530.40000000000009</v>
      </c>
      <c r="Q49" s="73">
        <f t="shared" si="16"/>
        <v>689.5200000000001</v>
      </c>
      <c r="R49" s="73">
        <f t="shared" si="1"/>
        <v>296.49360000000001</v>
      </c>
      <c r="S49" s="58">
        <f t="shared" si="17"/>
        <v>70.44088513559764</v>
      </c>
      <c r="T49" s="122">
        <f t="shared" si="34"/>
        <v>932.41089494449909</v>
      </c>
      <c r="U49" s="80"/>
      <c r="V49" s="56">
        <v>44</v>
      </c>
      <c r="W49" s="70">
        <f>W48+(($W$53-$W$47)/($V$53-$V$47))</f>
        <v>257.33333333333337</v>
      </c>
      <c r="X49" s="73">
        <f t="shared" si="18"/>
        <v>334.53333333333342</v>
      </c>
      <c r="Y49" s="73">
        <f t="shared" si="3"/>
        <v>160.57600000000002</v>
      </c>
      <c r="Z49" s="58">
        <f t="shared" si="19"/>
        <v>40.972406630396577</v>
      </c>
      <c r="AA49" s="122">
        <f t="shared" si="35"/>
        <v>644.36347488127399</v>
      </c>
      <c r="AB49"/>
      <c r="AC49" s="56">
        <v>44</v>
      </c>
      <c r="AD49" s="70">
        <f>AD48+($AD$51-$AD$45)/($AC$51-$AC$45)</f>
        <v>266</v>
      </c>
      <c r="AE49" s="71">
        <f t="shared" si="21"/>
        <v>345.8</v>
      </c>
      <c r="AF49" s="72">
        <f t="shared" si="5"/>
        <v>124.488</v>
      </c>
      <c r="AG49" s="72">
        <f t="shared" si="22"/>
        <v>32.719504245667267</v>
      </c>
      <c r="AH49" s="128">
        <f t="shared" si="36"/>
        <v>567.13640322787046</v>
      </c>
      <c r="AI49"/>
      <c r="AJ49" s="56">
        <v>44</v>
      </c>
      <c r="AK49" s="70">
        <v>45</v>
      </c>
      <c r="AL49" s="73">
        <f t="shared" si="23"/>
        <v>70.2</v>
      </c>
      <c r="AM49" s="73">
        <f t="shared" si="7"/>
        <v>36.504000000000005</v>
      </c>
      <c r="AN49" s="58">
        <f t="shared" si="24"/>
        <v>11.067157525971377</v>
      </c>
      <c r="AO49" s="122">
        <f t="shared" si="8"/>
        <v>376.18643269106678</v>
      </c>
    </row>
    <row r="50" spans="1:41" x14ac:dyDescent="0.25">
      <c r="A50" s="56">
        <v>45</v>
      </c>
      <c r="B50" s="70">
        <v>327</v>
      </c>
      <c r="C50" s="73">
        <f t="shared" si="9"/>
        <v>425.1</v>
      </c>
      <c r="D50" s="58">
        <f t="shared" si="10"/>
        <v>195.54600000000002</v>
      </c>
      <c r="E50" s="58">
        <f t="shared" si="11"/>
        <v>48.764033987743304</v>
      </c>
      <c r="F50" s="122">
        <f t="shared" si="32"/>
        <v>718.83997586198632</v>
      </c>
      <c r="G50" s="63"/>
      <c r="H50" s="56">
        <v>45</v>
      </c>
      <c r="I50" s="70">
        <v>622</v>
      </c>
      <c r="J50" s="73">
        <f t="shared" si="13"/>
        <v>808.6</v>
      </c>
      <c r="K50" s="73">
        <f t="shared" si="0"/>
        <v>347.69799999999998</v>
      </c>
      <c r="L50" s="58">
        <f t="shared" si="14"/>
        <v>81.088323640441374</v>
      </c>
      <c r="M50" s="122">
        <f t="shared" si="33"/>
        <v>1040.1361803404352</v>
      </c>
      <c r="N50" s="63"/>
      <c r="O50" s="56">
        <v>45</v>
      </c>
      <c r="P50" s="70">
        <v>540</v>
      </c>
      <c r="Q50" s="73">
        <f t="shared" si="16"/>
        <v>702</v>
      </c>
      <c r="R50" s="73">
        <f t="shared" si="1"/>
        <v>301.86</v>
      </c>
      <c r="S50" s="58">
        <f t="shared" si="17"/>
        <v>71.566250541226992</v>
      </c>
      <c r="T50" s="122">
        <f t="shared" si="34"/>
        <v>943.71738635930365</v>
      </c>
      <c r="U50" s="80"/>
      <c r="V50" s="56">
        <v>45</v>
      </c>
      <c r="W50" s="70">
        <f>W49+(($W$53-$W$47)/($V$53-$V$47))</f>
        <v>258.50000000000006</v>
      </c>
      <c r="X50" s="73">
        <f t="shared" si="18"/>
        <v>336.05000000000007</v>
      </c>
      <c r="Y50" s="73">
        <f t="shared" si="3"/>
        <v>161.30400000000003</v>
      </c>
      <c r="Z50" s="58">
        <f t="shared" si="19"/>
        <v>41.136497157560399</v>
      </c>
      <c r="AA50" s="122">
        <f t="shared" si="35"/>
        <v>645.91719921608444</v>
      </c>
      <c r="AB50"/>
      <c r="AC50" s="56">
        <v>45</v>
      </c>
      <c r="AD50" s="70">
        <f>AD49+($AD$51-$AD$45)/($AC$51-$AC$45)</f>
        <v>283</v>
      </c>
      <c r="AE50" s="71">
        <f t="shared" si="21"/>
        <v>367.90000000000003</v>
      </c>
      <c r="AF50" s="72">
        <f t="shared" si="5"/>
        <v>132.44400000000002</v>
      </c>
      <c r="AG50" s="72">
        <f t="shared" si="22"/>
        <v>34.560482342975533</v>
      </c>
      <c r="AH50" s="128">
        <f t="shared" si="36"/>
        <v>584.19947341401576</v>
      </c>
      <c r="AI50"/>
      <c r="AJ50" s="56">
        <v>45</v>
      </c>
      <c r="AK50" s="70">
        <v>46</v>
      </c>
      <c r="AL50" s="73">
        <f t="shared" si="23"/>
        <v>71.760000000000005</v>
      </c>
      <c r="AM50" s="73">
        <f t="shared" si="7"/>
        <v>37.315200000000004</v>
      </c>
      <c r="AN50" s="58">
        <f t="shared" si="24"/>
        <v>11.284188555681865</v>
      </c>
      <c r="AO50" s="122">
        <f t="shared" si="8"/>
        <v>377.97726840114592</v>
      </c>
    </row>
    <row r="51" spans="1:41" x14ac:dyDescent="0.25">
      <c r="A51" s="56">
        <v>46</v>
      </c>
      <c r="B51" s="70">
        <f>B50+(($B$55-$B$50)/($A$55-$A$50))</f>
        <v>335</v>
      </c>
      <c r="C51" s="73">
        <f t="shared" si="9"/>
        <v>435.5</v>
      </c>
      <c r="D51" s="58">
        <f t="shared" si="10"/>
        <v>200.33</v>
      </c>
      <c r="E51" s="58">
        <f t="shared" si="11"/>
        <v>49.81668477706846</v>
      </c>
      <c r="F51" s="122">
        <f t="shared" si="32"/>
        <v>729.00547598672745</v>
      </c>
      <c r="G51" s="63"/>
      <c r="H51" s="56">
        <v>46</v>
      </c>
      <c r="I51" s="70">
        <f>I50+(($I$55-$I$50)/($H$55-$H$50))</f>
        <v>630</v>
      </c>
      <c r="J51" s="73">
        <f t="shared" si="13"/>
        <v>819</v>
      </c>
      <c r="K51" s="73">
        <f t="shared" si="0"/>
        <v>352.17</v>
      </c>
      <c r="L51" s="58">
        <f t="shared" si="14"/>
        <v>82.009175912878362</v>
      </c>
      <c r="M51" s="122">
        <f t="shared" si="33"/>
        <v>1049.5287313815963</v>
      </c>
      <c r="N51" s="63"/>
      <c r="O51" s="56">
        <v>46</v>
      </c>
      <c r="P51" s="70">
        <f>P50+(($P$55-$P$50)/($O$55-$O$50))</f>
        <v>548.20000000000005</v>
      </c>
      <c r="Q51" s="73">
        <f t="shared" si="16"/>
        <v>712.66000000000008</v>
      </c>
      <c r="R51" s="73">
        <f t="shared" si="1"/>
        <v>306.44380000000001</v>
      </c>
      <c r="S51" s="58">
        <f t="shared" si="17"/>
        <v>72.525656095312968</v>
      </c>
      <c r="T51" s="122">
        <f t="shared" si="34"/>
        <v>953.37180269933663</v>
      </c>
      <c r="U51" s="80"/>
      <c r="V51" s="56">
        <v>46</v>
      </c>
      <c r="W51" s="70">
        <f>W50+(($W$53-$W$47)/($V$53-$V$47))</f>
        <v>259.66666666666674</v>
      </c>
      <c r="X51" s="73">
        <f t="shared" si="18"/>
        <v>337.56666666666678</v>
      </c>
      <c r="Y51" s="73">
        <f t="shared" si="3"/>
        <v>162.03200000000004</v>
      </c>
      <c r="Z51" s="58">
        <f t="shared" si="19"/>
        <v>41.300501503983654</v>
      </c>
      <c r="AA51" s="122">
        <f t="shared" si="35"/>
        <v>647.47077345277148</v>
      </c>
      <c r="AB51"/>
      <c r="AC51" s="56">
        <v>46</v>
      </c>
      <c r="AD51" s="70">
        <v>300</v>
      </c>
      <c r="AE51" s="71">
        <f t="shared" si="21"/>
        <v>390</v>
      </c>
      <c r="AF51" s="72">
        <f t="shared" si="5"/>
        <v>140.4</v>
      </c>
      <c r="AG51" s="72">
        <f t="shared" si="22"/>
        <v>36.388624656711201</v>
      </c>
      <c r="AH51" s="128">
        <f t="shared" si="36"/>
        <v>601.24018794377196</v>
      </c>
      <c r="AI51"/>
      <c r="AJ51" s="56">
        <v>46</v>
      </c>
      <c r="AK51" s="70">
        <v>47</v>
      </c>
      <c r="AL51" s="73">
        <f t="shared" si="23"/>
        <v>73.320000000000007</v>
      </c>
      <c r="AM51" s="73">
        <f t="shared" si="7"/>
        <v>38.126400000000004</v>
      </c>
      <c r="AN51" s="58">
        <f t="shared" si="24"/>
        <v>11.500671051108634</v>
      </c>
      <c r="AO51" s="122">
        <f t="shared" si="8"/>
        <v>379.76714874734756</v>
      </c>
    </row>
    <row r="52" spans="1:41" x14ac:dyDescent="0.25">
      <c r="A52" s="56">
        <v>47</v>
      </c>
      <c r="B52" s="70">
        <f>B51+(($B$55-$B$50)/($A$55-$A$50))</f>
        <v>343</v>
      </c>
      <c r="C52" s="73">
        <f t="shared" si="9"/>
        <v>445.90000000000003</v>
      </c>
      <c r="D52" s="58">
        <f t="shared" si="10"/>
        <v>205.11400000000003</v>
      </c>
      <c r="E52" s="58">
        <f t="shared" si="11"/>
        <v>50.86641328088507</v>
      </c>
      <c r="F52" s="122">
        <f t="shared" si="32"/>
        <v>739.16588646420826</v>
      </c>
      <c r="G52" s="63"/>
      <c r="H52" s="56">
        <v>47</v>
      </c>
      <c r="I52" s="70">
        <f>I51+(($I$55-$I$50)/($H$55-$H$50))</f>
        <v>638</v>
      </c>
      <c r="J52" s="73">
        <f t="shared" si="13"/>
        <v>829.4</v>
      </c>
      <c r="K52" s="73">
        <f t="shared" si="0"/>
        <v>356.642</v>
      </c>
      <c r="L52" s="58">
        <f t="shared" si="14"/>
        <v>82.928668044730131</v>
      </c>
      <c r="M52" s="122">
        <f t="shared" si="33"/>
        <v>1058.9189135112383</v>
      </c>
      <c r="N52" s="63"/>
      <c r="O52" s="56">
        <v>47</v>
      </c>
      <c r="P52" s="70">
        <f>P51+(($P$55-$P$50)/($O$55-$O$50))</f>
        <v>556.40000000000009</v>
      </c>
      <c r="Q52" s="73">
        <f t="shared" si="16"/>
        <v>723.32000000000016</v>
      </c>
      <c r="R52" s="73">
        <f t="shared" si="1"/>
        <v>311.02760000000006</v>
      </c>
      <c r="S52" s="58">
        <f t="shared" si="17"/>
        <v>73.483392600233344</v>
      </c>
      <c r="T52" s="122">
        <f t="shared" si="34"/>
        <v>963.0233121120732</v>
      </c>
      <c r="U52" s="80"/>
      <c r="V52" s="56">
        <v>47</v>
      </c>
      <c r="W52" s="70">
        <f>W51+(($W$53-$W$47)/($V$53-$V$47))</f>
        <v>260.83333333333343</v>
      </c>
      <c r="X52" s="73">
        <f t="shared" si="18"/>
        <v>339.08333333333348</v>
      </c>
      <c r="Y52" s="73">
        <f t="shared" si="3"/>
        <v>162.76000000000008</v>
      </c>
      <c r="Z52" s="58">
        <f t="shared" si="19"/>
        <v>41.46442010183182</v>
      </c>
      <c r="AA52" s="122">
        <f t="shared" si="35"/>
        <v>649.02419834402394</v>
      </c>
      <c r="AB52"/>
      <c r="AC52" s="56">
        <v>47</v>
      </c>
      <c r="AD52" s="70">
        <f>AD51+($AD$61-$AD$51)/($AC$61-$AC$51)</f>
        <v>307.89999999999998</v>
      </c>
      <c r="AE52" s="71">
        <f t="shared" si="21"/>
        <v>400.27</v>
      </c>
      <c r="AF52" s="72">
        <f t="shared" si="5"/>
        <v>144.09719999999999</v>
      </c>
      <c r="AG52" s="72">
        <f t="shared" si="22"/>
        <v>37.234034923686174</v>
      </c>
      <c r="AH52" s="128">
        <f t="shared" si="36"/>
        <v>609.15190082542006</v>
      </c>
      <c r="AI52"/>
      <c r="AJ52" s="56">
        <v>47</v>
      </c>
      <c r="AK52" s="70">
        <v>48</v>
      </c>
      <c r="AL52" s="73">
        <f t="shared" si="23"/>
        <v>74.88</v>
      </c>
      <c r="AM52" s="73">
        <f t="shared" si="7"/>
        <v>38.937599999999996</v>
      </c>
      <c r="AN52" s="58">
        <f t="shared" si="24"/>
        <v>11.716618027553634</v>
      </c>
      <c r="AO52" s="122">
        <f t="shared" si="8"/>
        <v>381.55609639798922</v>
      </c>
    </row>
    <row r="53" spans="1:41" x14ac:dyDescent="0.25">
      <c r="A53" s="56">
        <v>48</v>
      </c>
      <c r="B53" s="70">
        <f>B52+(($B$55-$B$50)/($A$55-$A$50))</f>
        <v>351</v>
      </c>
      <c r="C53" s="73">
        <f t="shared" si="9"/>
        <v>456.3</v>
      </c>
      <c r="D53" s="58">
        <f t="shared" si="10"/>
        <v>209.89800000000002</v>
      </c>
      <c r="E53" s="58">
        <f t="shared" si="11"/>
        <v>51.913295501810218</v>
      </c>
      <c r="F53" s="122">
        <f t="shared" si="32"/>
        <v>749.32133966565289</v>
      </c>
      <c r="G53" s="63"/>
      <c r="H53" s="56">
        <v>48</v>
      </c>
      <c r="I53" s="70">
        <f>I52+(($I$55-$I$50)/($H$55-$H$50))</f>
        <v>646</v>
      </c>
      <c r="J53" s="73">
        <f t="shared" si="13"/>
        <v>839.80000000000007</v>
      </c>
      <c r="K53" s="73">
        <f t="shared" si="0"/>
        <v>361.11400000000003</v>
      </c>
      <c r="L53" s="58">
        <f t="shared" si="14"/>
        <v>83.846819063373744</v>
      </c>
      <c r="M53" s="122">
        <f t="shared" si="33"/>
        <v>1068.3067598687094</v>
      </c>
      <c r="N53" s="63"/>
      <c r="O53" s="56">
        <v>48</v>
      </c>
      <c r="P53" s="70">
        <f>P52+(($P$55-$P$50)/($O$55-$O$50))</f>
        <v>564.60000000000014</v>
      </c>
      <c r="Q53" s="73">
        <f t="shared" si="16"/>
        <v>733.98000000000025</v>
      </c>
      <c r="R53" s="73">
        <f t="shared" si="1"/>
        <v>315.61140000000012</v>
      </c>
      <c r="S53" s="58">
        <f t="shared" si="17"/>
        <v>74.43948749540553</v>
      </c>
      <c r="T53" s="122">
        <f t="shared" si="34"/>
        <v>972.6719623878314</v>
      </c>
      <c r="U53" s="80"/>
      <c r="V53" s="56">
        <v>48</v>
      </c>
      <c r="W53" s="70">
        <v>262</v>
      </c>
      <c r="X53" s="73">
        <f t="shared" si="18"/>
        <v>340.6</v>
      </c>
      <c r="Y53" s="73">
        <f t="shared" si="3"/>
        <v>163.488</v>
      </c>
      <c r="Z53" s="58">
        <f t="shared" si="19"/>
        <v>41.628253379180151</v>
      </c>
      <c r="AA53" s="122">
        <f t="shared" si="35"/>
        <v>650.57747463540545</v>
      </c>
      <c r="AB53"/>
      <c r="AC53" s="56">
        <v>48</v>
      </c>
      <c r="AD53" s="70">
        <f t="shared" ref="AD53:AD60" si="38">AD52+($AD$61-$AD$51)/($AC$61-$AC$51)</f>
        <v>315.79999999999995</v>
      </c>
      <c r="AE53" s="71">
        <f t="shared" si="21"/>
        <v>410.53999999999996</v>
      </c>
      <c r="AF53" s="72">
        <f t="shared" si="5"/>
        <v>147.79439999999997</v>
      </c>
      <c r="AG53" s="72">
        <f t="shared" si="22"/>
        <v>38.076923801396568</v>
      </c>
      <c r="AH53" s="128">
        <f t="shared" si="36"/>
        <v>617.05922228743214</v>
      </c>
      <c r="AI53"/>
      <c r="AJ53" s="56">
        <v>48</v>
      </c>
      <c r="AK53" s="70">
        <v>49</v>
      </c>
      <c r="AL53" s="73">
        <f t="shared" si="23"/>
        <v>76.44</v>
      </c>
      <c r="AM53" s="73">
        <f t="shared" si="7"/>
        <v>39.748800000000003</v>
      </c>
      <c r="AN53" s="58">
        <f t="shared" si="24"/>
        <v>11.932041927023215</v>
      </c>
      <c r="AO53" s="122">
        <f t="shared" si="8"/>
        <v>383.3441330228988</v>
      </c>
    </row>
    <row r="54" spans="1:41" x14ac:dyDescent="0.25">
      <c r="A54" s="56">
        <v>49</v>
      </c>
      <c r="B54" s="70">
        <f>B53+(($B$55-$B$50)/($A$55-$A$50))</f>
        <v>359</v>
      </c>
      <c r="C54" s="73">
        <f t="shared" si="9"/>
        <v>466.7</v>
      </c>
      <c r="D54" s="58">
        <f t="shared" si="10"/>
        <v>214.68200000000002</v>
      </c>
      <c r="E54" s="58">
        <f t="shared" si="11"/>
        <v>52.957403780225121</v>
      </c>
      <c r="F54" s="122">
        <f t="shared" si="32"/>
        <v>759.47196158389215</v>
      </c>
      <c r="G54" s="63"/>
      <c r="H54" s="56">
        <v>49</v>
      </c>
      <c r="I54" s="70">
        <f>I53+(($I$55-$I$50)/($H$55-$H$50))</f>
        <v>654</v>
      </c>
      <c r="J54" s="73">
        <f t="shared" si="13"/>
        <v>850.2</v>
      </c>
      <c r="K54" s="73">
        <f t="shared" si="0"/>
        <v>365.58600000000001</v>
      </c>
      <c r="L54" s="58">
        <f t="shared" si="14"/>
        <v>84.763647497813622</v>
      </c>
      <c r="M54" s="122">
        <f t="shared" si="33"/>
        <v>1077.6923027253588</v>
      </c>
      <c r="N54" s="63"/>
      <c r="O54" s="56">
        <v>49</v>
      </c>
      <c r="P54" s="70">
        <f>P53+(($P$55-$P$50)/($O$55-$O$50))</f>
        <v>572.80000000000018</v>
      </c>
      <c r="Q54" s="73">
        <f t="shared" si="16"/>
        <v>744.64000000000021</v>
      </c>
      <c r="R54" s="73">
        <f t="shared" si="1"/>
        <v>320.19520000000011</v>
      </c>
      <c r="S54" s="58">
        <f t="shared" si="17"/>
        <v>75.39396737744795</v>
      </c>
      <c r="T54" s="122">
        <f t="shared" si="34"/>
        <v>982.31779984905529</v>
      </c>
      <c r="U54" s="80"/>
      <c r="V54" s="56">
        <v>49</v>
      </c>
      <c r="W54" s="70">
        <f>W53+(($W$65-$W$53)/($V$65-$V$53))</f>
        <v>265.5</v>
      </c>
      <c r="X54" s="73">
        <f t="shared" si="18"/>
        <v>345.15000000000003</v>
      </c>
      <c r="Y54" s="73">
        <f t="shared" si="3"/>
        <v>165.672</v>
      </c>
      <c r="Z54" s="58">
        <f t="shared" si="19"/>
        <v>42.119245508815553</v>
      </c>
      <c r="AA54" s="122">
        <f t="shared" si="35"/>
        <v>655.23641926118705</v>
      </c>
      <c r="AB54"/>
      <c r="AC54" s="56">
        <v>49</v>
      </c>
      <c r="AD54" s="70">
        <f t="shared" si="38"/>
        <v>323.69999999999993</v>
      </c>
      <c r="AE54" s="71">
        <f t="shared" si="21"/>
        <v>420.80999999999995</v>
      </c>
      <c r="AF54" s="72">
        <f t="shared" si="5"/>
        <v>151.49159999999998</v>
      </c>
      <c r="AG54" s="72">
        <f t="shared" si="22"/>
        <v>38.917361618802104</v>
      </c>
      <c r="AH54" s="128">
        <f t="shared" si="36"/>
        <v>624.96227481941355</v>
      </c>
      <c r="AI54"/>
      <c r="AJ54" s="56">
        <v>49</v>
      </c>
      <c r="AK54" s="70">
        <v>50</v>
      </c>
      <c r="AL54" s="73">
        <f t="shared" si="23"/>
        <v>78</v>
      </c>
      <c r="AM54" s="73">
        <f t="shared" si="7"/>
        <v>40.56</v>
      </c>
      <c r="AN54" s="58">
        <f t="shared" si="24"/>
        <v>12.146954654656581</v>
      </c>
      <c r="AO54" s="122">
        <f t="shared" si="8"/>
        <v>385.1312793568602</v>
      </c>
    </row>
    <row r="55" spans="1:41" x14ac:dyDescent="0.25">
      <c r="A55" s="56">
        <v>50</v>
      </c>
      <c r="B55" s="70">
        <v>367</v>
      </c>
      <c r="C55" s="73">
        <f t="shared" si="9"/>
        <v>477.1</v>
      </c>
      <c r="D55" s="58">
        <f t="shared" si="10"/>
        <v>219.46600000000001</v>
      </c>
      <c r="E55" s="58">
        <f t="shared" si="11"/>
        <v>53.998807048358273</v>
      </c>
      <c r="F55" s="122">
        <f t="shared" si="32"/>
        <v>769.6178722758907</v>
      </c>
      <c r="G55" s="63"/>
      <c r="H55" s="56">
        <v>50</v>
      </c>
      <c r="I55" s="70">
        <v>662</v>
      </c>
      <c r="J55" s="73">
        <f t="shared" si="13"/>
        <v>860.6</v>
      </c>
      <c r="K55" s="73">
        <f t="shared" si="0"/>
        <v>370.05799999999999</v>
      </c>
      <c r="L55" s="58">
        <f t="shared" si="14"/>
        <v>85.679171397668398</v>
      </c>
      <c r="M55" s="122">
        <f t="shared" si="33"/>
        <v>1087.0755735176058</v>
      </c>
      <c r="N55" s="63"/>
      <c r="O55" s="56">
        <v>50</v>
      </c>
      <c r="P55" s="70">
        <v>581</v>
      </c>
      <c r="Q55" s="73">
        <f t="shared" si="16"/>
        <v>755.30000000000007</v>
      </c>
      <c r="R55" s="73">
        <f t="shared" si="1"/>
        <v>324.779</v>
      </c>
      <c r="S55" s="58">
        <f t="shared" si="17"/>
        <v>76.346858037753407</v>
      </c>
      <c r="T55" s="122">
        <f t="shared" si="34"/>
        <v>991.9608694157539</v>
      </c>
      <c r="U55" s="80"/>
      <c r="V55" s="56">
        <v>50</v>
      </c>
      <c r="W55" s="70">
        <f t="shared" ref="W55:W64" si="39">W54+(($W$65-$W$53)/($V$65-$V$53))</f>
        <v>269</v>
      </c>
      <c r="X55" s="73">
        <f t="shared" si="18"/>
        <v>349.7</v>
      </c>
      <c r="Y55" s="73">
        <f t="shared" si="3"/>
        <v>167.85599999999999</v>
      </c>
      <c r="Z55" s="58">
        <f t="shared" si="19"/>
        <v>42.609484783744854</v>
      </c>
      <c r="AA55" s="122">
        <f t="shared" si="35"/>
        <v>659.89405266502229</v>
      </c>
      <c r="AB55"/>
      <c r="AC55" s="56">
        <v>50</v>
      </c>
      <c r="AD55" s="70">
        <f t="shared" si="38"/>
        <v>331.59999999999991</v>
      </c>
      <c r="AE55" s="71">
        <f t="shared" si="21"/>
        <v>431.07999999999987</v>
      </c>
      <c r="AF55" s="72">
        <f t="shared" si="5"/>
        <v>155.18879999999996</v>
      </c>
      <c r="AG55" s="72">
        <f t="shared" si="22"/>
        <v>39.755415076342317</v>
      </c>
      <c r="AH55" s="128">
        <f t="shared" si="36"/>
        <v>632.86117459129616</v>
      </c>
      <c r="AI55"/>
      <c r="AJ55" s="56">
        <v>50</v>
      </c>
      <c r="AK55" s="70">
        <v>51</v>
      </c>
      <c r="AL55" s="73">
        <f t="shared" si="23"/>
        <v>79.56</v>
      </c>
      <c r="AM55" s="73">
        <f t="shared" si="7"/>
        <v>41.371200000000002</v>
      </c>
      <c r="AN55" s="58">
        <f t="shared" si="24"/>
        <v>12.361367612157643</v>
      </c>
      <c r="AO55" s="122">
        <f t="shared" si="8"/>
        <v>386.91755525784123</v>
      </c>
    </row>
    <row r="56" spans="1:41" x14ac:dyDescent="0.25">
      <c r="A56" s="56">
        <v>51</v>
      </c>
      <c r="B56" s="70">
        <f>B55+(($B$60-$B$55)/($A$60-$A$55))</f>
        <v>376.6</v>
      </c>
      <c r="C56" s="73">
        <f t="shared" si="9"/>
        <v>489.58000000000004</v>
      </c>
      <c r="D56" s="58">
        <f t="shared" si="10"/>
        <v>225.20680000000002</v>
      </c>
      <c r="E56" s="58">
        <f t="shared" si="11"/>
        <v>55.245012729096509</v>
      </c>
      <c r="F56" s="122">
        <f t="shared" si="32"/>
        <v>781.78690716984306</v>
      </c>
      <c r="G56" s="63"/>
      <c r="H56" s="56">
        <v>51</v>
      </c>
      <c r="I56" s="70">
        <f>I55+(($I$60-$I$55)/($H$60-$H$55))</f>
        <v>668.2</v>
      </c>
      <c r="J56" s="73">
        <f t="shared" si="13"/>
        <v>868.66000000000008</v>
      </c>
      <c r="K56" s="73">
        <f t="shared" si="0"/>
        <v>373.52380000000005</v>
      </c>
      <c r="L56" s="58">
        <f t="shared" si="14"/>
        <v>86.387816351031958</v>
      </c>
      <c r="M56" s="122">
        <f t="shared" si="33"/>
        <v>1094.3460651447142</v>
      </c>
      <c r="N56" s="63"/>
      <c r="O56" s="56">
        <v>51</v>
      </c>
      <c r="P56" s="70">
        <f>P55+(($P$60-$P$55)/($O$60-$O$55))</f>
        <v>587.79999999999995</v>
      </c>
      <c r="Q56" s="73">
        <f t="shared" si="16"/>
        <v>764.14</v>
      </c>
      <c r="R56" s="73">
        <f t="shared" si="1"/>
        <v>328.58019999999999</v>
      </c>
      <c r="S56" s="58">
        <f t="shared" si="17"/>
        <v>77.135872581379729</v>
      </c>
      <c r="T56" s="122">
        <f t="shared" si="34"/>
        <v>999.95549307923625</v>
      </c>
      <c r="U56" s="80"/>
      <c r="V56" s="56">
        <v>51</v>
      </c>
      <c r="W56" s="70">
        <f t="shared" si="39"/>
        <v>272.5</v>
      </c>
      <c r="X56" s="73">
        <f t="shared" si="18"/>
        <v>354.25</v>
      </c>
      <c r="Y56" s="73">
        <f t="shared" si="3"/>
        <v>170.04</v>
      </c>
      <c r="Z56" s="58">
        <f t="shared" si="19"/>
        <v>43.098982132015927</v>
      </c>
      <c r="AA56" s="122">
        <f t="shared" si="35"/>
        <v>664.5503938799277</v>
      </c>
      <c r="AB56"/>
      <c r="AC56" s="56">
        <v>51</v>
      </c>
      <c r="AD56" s="70">
        <f t="shared" si="38"/>
        <v>339.49999999999989</v>
      </c>
      <c r="AE56" s="71">
        <f t="shared" si="21"/>
        <v>441.34999999999985</v>
      </c>
      <c r="AF56" s="72">
        <f t="shared" si="5"/>
        <v>158.88599999999994</v>
      </c>
      <c r="AG56" s="72">
        <f t="shared" si="22"/>
        <v>40.591147515064669</v>
      </c>
      <c r="AH56" s="128">
        <f t="shared" si="36"/>
        <v>640.75603192207086</v>
      </c>
      <c r="AI56"/>
      <c r="AJ56" s="56">
        <v>51</v>
      </c>
      <c r="AK56" s="70">
        <v>52</v>
      </c>
      <c r="AL56" s="73">
        <f t="shared" si="23"/>
        <v>81.12</v>
      </c>
      <c r="AM56" s="73">
        <f t="shared" si="7"/>
        <v>42.182400000000001</v>
      </c>
      <c r="AN56" s="58">
        <f t="shared" si="24"/>
        <v>12.57529172853067</v>
      </c>
      <c r="AO56" s="122">
        <f t="shared" si="8"/>
        <v>388.70297976052422</v>
      </c>
    </row>
    <row r="57" spans="1:41" x14ac:dyDescent="0.25">
      <c r="A57" s="56">
        <v>52</v>
      </c>
      <c r="B57" s="70">
        <f>B56+(($B$60-$B$55)/($A$60-$A$55))</f>
        <v>386.20000000000005</v>
      </c>
      <c r="C57" s="73">
        <f t="shared" si="9"/>
        <v>502.06000000000006</v>
      </c>
      <c r="D57" s="58">
        <f t="shared" si="10"/>
        <v>230.94760000000005</v>
      </c>
      <c r="E57" s="58">
        <f t="shared" si="11"/>
        <v>56.487525751065782</v>
      </c>
      <c r="F57" s="122">
        <f t="shared" si="32"/>
        <v>793.94951068310627</v>
      </c>
      <c r="G57" s="63"/>
      <c r="H57" s="56">
        <v>52</v>
      </c>
      <c r="I57" s="70">
        <f>I56+(($I$60-$I$55)/($H$60-$H$55))</f>
        <v>674.40000000000009</v>
      </c>
      <c r="J57" s="73">
        <f t="shared" si="13"/>
        <v>876.72000000000014</v>
      </c>
      <c r="K57" s="73">
        <f t="shared" si="0"/>
        <v>376.98960000000005</v>
      </c>
      <c r="L57" s="58">
        <f t="shared" si="14"/>
        <v>87.095696343944553</v>
      </c>
      <c r="M57" s="122">
        <f t="shared" si="33"/>
        <v>1101.6152244657035</v>
      </c>
      <c r="N57" s="63"/>
      <c r="O57" s="56">
        <v>52</v>
      </c>
      <c r="P57" s="70">
        <f>P56+(($P$60-$P$55)/($O$60-$O$55))</f>
        <v>594.59999999999991</v>
      </c>
      <c r="Q57" s="73">
        <f t="shared" si="16"/>
        <v>772.9799999999999</v>
      </c>
      <c r="R57" s="73">
        <f t="shared" si="1"/>
        <v>332.38139999999993</v>
      </c>
      <c r="S57" s="58">
        <f t="shared" si="17"/>
        <v>77.923825343416453</v>
      </c>
      <c r="T57" s="122">
        <f t="shared" si="34"/>
        <v>1007.9482674731167</v>
      </c>
      <c r="U57" s="80"/>
      <c r="V57" s="56">
        <v>52</v>
      </c>
      <c r="W57" s="70">
        <f t="shared" si="39"/>
        <v>276</v>
      </c>
      <c r="X57" s="73">
        <f t="shared" si="18"/>
        <v>358.8</v>
      </c>
      <c r="Y57" s="73">
        <f t="shared" si="3"/>
        <v>172.22399999999999</v>
      </c>
      <c r="Z57" s="58">
        <f t="shared" si="19"/>
        <v>43.587748184815709</v>
      </c>
      <c r="AA57" s="122">
        <f t="shared" si="35"/>
        <v>669.20546142188732</v>
      </c>
      <c r="AB57"/>
      <c r="AC57" s="56">
        <v>52</v>
      </c>
      <c r="AD57" s="70">
        <f t="shared" si="38"/>
        <v>347.39999999999986</v>
      </c>
      <c r="AE57" s="71">
        <f t="shared" si="21"/>
        <v>451.61999999999983</v>
      </c>
      <c r="AF57" s="72">
        <f t="shared" si="5"/>
        <v>162.58319999999995</v>
      </c>
      <c r="AG57" s="72">
        <f t="shared" si="22"/>
        <v>41.424619159996503</v>
      </c>
      <c r="AH57" s="128">
        <f t="shared" si="36"/>
        <v>648.64695170366031</v>
      </c>
      <c r="AI57"/>
      <c r="AJ57" s="56">
        <v>52</v>
      </c>
      <c r="AK57" s="70">
        <v>53</v>
      </c>
      <c r="AL57" s="73">
        <f t="shared" si="23"/>
        <v>82.68</v>
      </c>
      <c r="AM57" s="73">
        <f t="shared" si="7"/>
        <v>42.993600000000008</v>
      </c>
      <c r="AN57" s="58">
        <f t="shared" si="24"/>
        <v>12.788737488384852</v>
      </c>
      <c r="AO57" s="122">
        <f t="shared" si="8"/>
        <v>390.48757112560361</v>
      </c>
    </row>
    <row r="58" spans="1:41" x14ac:dyDescent="0.25">
      <c r="A58" s="56">
        <v>53</v>
      </c>
      <c r="B58" s="70">
        <f>B57+(($B$60-$B$55)/($A$60-$A$55))</f>
        <v>395.80000000000007</v>
      </c>
      <c r="C58" s="73">
        <f t="shared" si="9"/>
        <v>514.54000000000008</v>
      </c>
      <c r="D58" s="58">
        <f t="shared" si="10"/>
        <v>236.68840000000006</v>
      </c>
      <c r="E58" s="58">
        <f t="shared" si="11"/>
        <v>57.726448462488456</v>
      </c>
      <c r="F58" s="122">
        <f t="shared" si="32"/>
        <v>806.1058610721675</v>
      </c>
      <c r="G58" s="63"/>
      <c r="H58" s="56">
        <v>53</v>
      </c>
      <c r="I58" s="70">
        <f>I57+(($I$60-$I$55)/($H$60-$H$55))</f>
        <v>680.60000000000014</v>
      </c>
      <c r="J58" s="73">
        <f t="shared" si="13"/>
        <v>884.7800000000002</v>
      </c>
      <c r="K58" s="73">
        <f t="shared" si="0"/>
        <v>380.45540000000005</v>
      </c>
      <c r="L58" s="58">
        <f t="shared" si="14"/>
        <v>87.802819223572826</v>
      </c>
      <c r="M58" s="122">
        <f t="shared" si="33"/>
        <v>1108.8830651477226</v>
      </c>
      <c r="N58" s="63"/>
      <c r="O58" s="56">
        <v>53</v>
      </c>
      <c r="P58" s="70">
        <f>P57+(($P$60-$P$55)/($O$60-$O$55))</f>
        <v>601.39999999999986</v>
      </c>
      <c r="Q58" s="73">
        <f t="shared" si="16"/>
        <v>781.81999999999982</v>
      </c>
      <c r="R58" s="73">
        <f t="shared" si="1"/>
        <v>336.18259999999992</v>
      </c>
      <c r="S58" s="58">
        <f t="shared" si="17"/>
        <v>78.710729871671518</v>
      </c>
      <c r="T58" s="122">
        <f t="shared" si="34"/>
        <v>1015.939216193161</v>
      </c>
      <c r="U58" s="80"/>
      <c r="V58" s="56">
        <v>53</v>
      </c>
      <c r="W58" s="70">
        <f t="shared" si="39"/>
        <v>279.5</v>
      </c>
      <c r="X58" s="73">
        <f t="shared" si="18"/>
        <v>363.35</v>
      </c>
      <c r="Y58" s="73">
        <f t="shared" si="3"/>
        <v>174.40800000000002</v>
      </c>
      <c r="Z58" s="58">
        <f t="shared" si="19"/>
        <v>44.075793288194824</v>
      </c>
      <c r="AA58" s="122">
        <f t="shared" si="35"/>
        <v>673.85927331027267</v>
      </c>
      <c r="AB58"/>
      <c r="AC58" s="56">
        <v>53</v>
      </c>
      <c r="AD58" s="70">
        <f t="shared" si="38"/>
        <v>355.29999999999984</v>
      </c>
      <c r="AE58" s="71">
        <f t="shared" si="21"/>
        <v>461.88999999999982</v>
      </c>
      <c r="AF58" s="72">
        <f t="shared" si="5"/>
        <v>166.28039999999993</v>
      </c>
      <c r="AG58" s="72">
        <f t="shared" si="22"/>
        <v>42.255887340755869</v>
      </c>
      <c r="AH58" s="128">
        <f t="shared" si="36"/>
        <v>656.53403378514963</v>
      </c>
      <c r="AI58"/>
      <c r="AJ58" s="56">
        <v>53</v>
      </c>
      <c r="AK58" s="70">
        <v>54</v>
      </c>
      <c r="AL58" s="73">
        <f t="shared" si="23"/>
        <v>84.240000000000009</v>
      </c>
      <c r="AM58" s="73">
        <f t="shared" si="7"/>
        <v>43.804800000000007</v>
      </c>
      <c r="AN58" s="58">
        <f t="shared" si="24"/>
        <v>13.001714958042195</v>
      </c>
      <c r="AO58" s="122">
        <f t="shared" si="8"/>
        <v>392.27134688525683</v>
      </c>
    </row>
    <row r="59" spans="1:41" x14ac:dyDescent="0.25">
      <c r="A59" s="56">
        <v>54</v>
      </c>
      <c r="B59" s="70">
        <f>B58+(($B$60-$B$55)/($A$60-$A$55))</f>
        <v>405.40000000000009</v>
      </c>
      <c r="C59" s="73">
        <f t="shared" si="9"/>
        <v>527.0200000000001</v>
      </c>
      <c r="D59" s="58">
        <f t="shared" si="10"/>
        <v>242.42920000000007</v>
      </c>
      <c r="E59" s="58">
        <f t="shared" si="11"/>
        <v>58.961877963646693</v>
      </c>
      <c r="F59" s="122">
        <f t="shared" si="32"/>
        <v>818.25612745335138</v>
      </c>
      <c r="G59" s="63"/>
      <c r="H59" s="56">
        <v>54</v>
      </c>
      <c r="I59" s="70">
        <f>I58+(($I$60-$I$55)/($H$60-$H$55))</f>
        <v>686.80000000000018</v>
      </c>
      <c r="J59" s="73">
        <f t="shared" si="13"/>
        <v>892.84000000000026</v>
      </c>
      <c r="K59" s="73">
        <f t="shared" si="0"/>
        <v>383.92120000000011</v>
      </c>
      <c r="L59" s="58">
        <f t="shared" si="14"/>
        <v>88.509192685867177</v>
      </c>
      <c r="M59" s="122">
        <f t="shared" si="33"/>
        <v>1116.1496005945521</v>
      </c>
      <c r="N59" s="63"/>
      <c r="O59" s="56">
        <v>54</v>
      </c>
      <c r="P59" s="70">
        <f>P58+(($P$60-$P$55)/($O$60-$O$55))</f>
        <v>608.19999999999982</v>
      </c>
      <c r="Q59" s="73">
        <f t="shared" si="16"/>
        <v>790.65999999999974</v>
      </c>
      <c r="R59" s="73">
        <f t="shared" si="1"/>
        <v>339.98379999999986</v>
      </c>
      <c r="S59" s="58">
        <f t="shared" si="17"/>
        <v>79.496599389945928</v>
      </c>
      <c r="T59" s="122">
        <f t="shared" si="34"/>
        <v>1023.928362270822</v>
      </c>
      <c r="U59" s="80"/>
      <c r="V59" s="56">
        <v>54</v>
      </c>
      <c r="W59" s="70">
        <f t="shared" si="39"/>
        <v>283</v>
      </c>
      <c r="X59" s="73">
        <f t="shared" si="18"/>
        <v>367.90000000000003</v>
      </c>
      <c r="Y59" s="73">
        <f t="shared" si="3"/>
        <v>176.59200000000001</v>
      </c>
      <c r="Z59" s="58">
        <f t="shared" si="19"/>
        <v>44.563127514187897</v>
      </c>
      <c r="AA59" s="122">
        <f t="shared" si="35"/>
        <v>678.51184708721053</v>
      </c>
      <c r="AB59"/>
      <c r="AC59" s="56">
        <v>54</v>
      </c>
      <c r="AD59" s="70">
        <f t="shared" si="38"/>
        <v>363.19999999999982</v>
      </c>
      <c r="AE59" s="71">
        <f t="shared" si="21"/>
        <v>472.1599999999998</v>
      </c>
      <c r="AF59" s="72">
        <f t="shared" si="5"/>
        <v>169.97759999999991</v>
      </c>
      <c r="AG59" s="72">
        <f t="shared" si="22"/>
        <v>43.085006691987914</v>
      </c>
      <c r="AH59" s="128">
        <f t="shared" si="36"/>
        <v>664.4173733218787</v>
      </c>
      <c r="AI59"/>
      <c r="AJ59" s="56">
        <v>54</v>
      </c>
      <c r="AK59" s="70">
        <v>55</v>
      </c>
      <c r="AL59" s="73">
        <f t="shared" si="23"/>
        <v>85.8</v>
      </c>
      <c r="AM59" s="73">
        <f t="shared" si="7"/>
        <v>44.616</v>
      </c>
      <c r="AN59" s="58">
        <f t="shared" si="24"/>
        <v>13.214233809656909</v>
      </c>
      <c r="AO59" s="122">
        <f t="shared" si="8"/>
        <v>394.05432388515243</v>
      </c>
    </row>
    <row r="60" spans="1:41" x14ac:dyDescent="0.25">
      <c r="A60" s="56">
        <v>55</v>
      </c>
      <c r="B60" s="70">
        <v>415</v>
      </c>
      <c r="C60" s="73">
        <f t="shared" si="9"/>
        <v>539.5</v>
      </c>
      <c r="D60" s="58">
        <f t="shared" si="10"/>
        <v>248.17000000000002</v>
      </c>
      <c r="E60" s="58">
        <f t="shared" si="11"/>
        <v>60.193906493778854</v>
      </c>
      <c r="F60" s="122">
        <f t="shared" si="32"/>
        <v>830.40047047666485</v>
      </c>
      <c r="G60" s="63"/>
      <c r="H60" s="56">
        <v>55</v>
      </c>
      <c r="I60" s="70">
        <v>693</v>
      </c>
      <c r="J60" s="73">
        <f t="shared" si="13"/>
        <v>900.9</v>
      </c>
      <c r="K60" s="73">
        <f t="shared" si="0"/>
        <v>387.387</v>
      </c>
      <c r="L60" s="58">
        <f t="shared" si="14"/>
        <v>89.214824279814223</v>
      </c>
      <c r="M60" s="122">
        <f t="shared" si="33"/>
        <v>1123.4148439540097</v>
      </c>
      <c r="N60" s="63"/>
      <c r="O60" s="56">
        <v>55</v>
      </c>
      <c r="P60" s="70">
        <v>615</v>
      </c>
      <c r="Q60" s="73">
        <f t="shared" si="16"/>
        <v>799.5</v>
      </c>
      <c r="R60" s="73">
        <f t="shared" si="1"/>
        <v>343.78499999999997</v>
      </c>
      <c r="S60" s="58">
        <f t="shared" si="17"/>
        <v>80.281446809317075</v>
      </c>
      <c r="T60" s="122">
        <f t="shared" si="34"/>
        <v>1031.9157281928935</v>
      </c>
      <c r="U60" s="80"/>
      <c r="V60" s="56">
        <v>55</v>
      </c>
      <c r="W60" s="70">
        <f t="shared" si="39"/>
        <v>286.5</v>
      </c>
      <c r="X60" s="73">
        <f t="shared" si="18"/>
        <v>372.45</v>
      </c>
      <c r="Y60" s="73">
        <f t="shared" si="3"/>
        <v>178.77599999999998</v>
      </c>
      <c r="Z60" s="58">
        <f t="shared" si="19"/>
        <v>45.049760671368226</v>
      </c>
      <c r="AA60" s="122">
        <f t="shared" si="35"/>
        <v>683.16319983596634</v>
      </c>
      <c r="AB60"/>
      <c r="AC60" s="56">
        <v>55</v>
      </c>
      <c r="AD60" s="70">
        <f t="shared" si="38"/>
        <v>371.0999999999998</v>
      </c>
      <c r="AE60" s="71">
        <f t="shared" si="21"/>
        <v>482.42999999999972</v>
      </c>
      <c r="AF60" s="72">
        <f t="shared" si="5"/>
        <v>173.67479999999989</v>
      </c>
      <c r="AG60" s="72">
        <f t="shared" si="22"/>
        <v>43.912029335870741</v>
      </c>
      <c r="AH60" s="128">
        <f t="shared" si="36"/>
        <v>672.297061093308</v>
      </c>
      <c r="AI60"/>
      <c r="AJ60" s="56">
        <v>55</v>
      </c>
      <c r="AK60" s="70">
        <v>56</v>
      </c>
      <c r="AL60" s="73">
        <f t="shared" si="23"/>
        <v>87.36</v>
      </c>
      <c r="AM60" s="73">
        <f t="shared" si="7"/>
        <v>45.427199999999999</v>
      </c>
      <c r="AN60" s="58">
        <f t="shared" si="24"/>
        <v>13.426303343530922</v>
      </c>
      <c r="AO60" s="122">
        <f t="shared" si="8"/>
        <v>395.83651832331628</v>
      </c>
    </row>
    <row r="61" spans="1:41" x14ac:dyDescent="0.25">
      <c r="A61" s="56">
        <v>56</v>
      </c>
      <c r="B61" s="70">
        <f>B60+(($B$65-$B$60)/($A$65-$A$60))</f>
        <v>425.6</v>
      </c>
      <c r="C61" s="73">
        <f t="shared" si="9"/>
        <v>553.28000000000009</v>
      </c>
      <c r="D61" s="58">
        <f t="shared" si="10"/>
        <v>254.50880000000006</v>
      </c>
      <c r="E61" s="58">
        <f t="shared" si="11"/>
        <v>61.550425822391155</v>
      </c>
      <c r="F61" s="122">
        <f t="shared" si="32"/>
        <v>843.80315164066462</v>
      </c>
      <c r="G61" s="63"/>
      <c r="H61" s="56">
        <v>56</v>
      </c>
      <c r="I61" s="70">
        <f>I60+(($I$65-$I$60)/($H$65-$H$60))</f>
        <v>698.2</v>
      </c>
      <c r="J61" s="73">
        <f t="shared" si="13"/>
        <v>907.66000000000008</v>
      </c>
      <c r="K61" s="73">
        <f t="shared" si="0"/>
        <v>390.29380000000003</v>
      </c>
      <c r="L61" s="58">
        <f t="shared" si="14"/>
        <v>89.806077700326711</v>
      </c>
      <c r="M61" s="122">
        <f t="shared" si="33"/>
        <v>1129.5072869947355</v>
      </c>
      <c r="N61" s="63"/>
      <c r="O61" s="56">
        <v>56</v>
      </c>
      <c r="P61" s="70">
        <f>P60+(($P$65-$P$60)/($O$65-$O$60))</f>
        <v>619.4</v>
      </c>
      <c r="Q61" s="73">
        <f t="shared" si="16"/>
        <v>805.22</v>
      </c>
      <c r="R61" s="73">
        <f t="shared" si="1"/>
        <v>346.24459999999999</v>
      </c>
      <c r="S61" s="58">
        <f t="shared" si="17"/>
        <v>80.788750550071725</v>
      </c>
      <c r="T61" s="122">
        <f t="shared" si="34"/>
        <v>1037.0830855413749</v>
      </c>
      <c r="U61" s="80"/>
      <c r="V61" s="56">
        <v>56</v>
      </c>
      <c r="W61" s="70">
        <f t="shared" si="39"/>
        <v>290</v>
      </c>
      <c r="X61" s="73">
        <f t="shared" si="18"/>
        <v>377</v>
      </c>
      <c r="Y61" s="73">
        <f t="shared" si="3"/>
        <v>180.95999999999998</v>
      </c>
      <c r="Z61" s="58">
        <f t="shared" si="19"/>
        <v>45.53570231487172</v>
      </c>
      <c r="AA61" s="122">
        <f t="shared" si="35"/>
        <v>687.81334819840151</v>
      </c>
      <c r="AB61"/>
      <c r="AC61" s="56">
        <v>56</v>
      </c>
      <c r="AD61" s="70">
        <v>379</v>
      </c>
      <c r="AE61" s="71">
        <f t="shared" si="21"/>
        <v>492.7</v>
      </c>
      <c r="AF61" s="72">
        <f t="shared" si="5"/>
        <v>177.37199999999999</v>
      </c>
      <c r="AG61" s="72">
        <f t="shared" si="22"/>
        <v>44.737005048641883</v>
      </c>
      <c r="AH61" s="128">
        <f t="shared" si="36"/>
        <v>680.17318379305118</v>
      </c>
      <c r="AI61"/>
      <c r="AJ61" s="56">
        <v>56</v>
      </c>
      <c r="AK61" s="70">
        <v>57</v>
      </c>
      <c r="AL61" s="73">
        <f t="shared" si="23"/>
        <v>88.92</v>
      </c>
      <c r="AM61" s="73">
        <f t="shared" si="7"/>
        <v>46.238400000000006</v>
      </c>
      <c r="AN61" s="58">
        <f t="shared" si="24"/>
        <v>13.637932508790355</v>
      </c>
      <c r="AO61" s="122">
        <f t="shared" si="8"/>
        <v>397.6179457861432</v>
      </c>
    </row>
    <row r="62" spans="1:41" x14ac:dyDescent="0.25">
      <c r="A62" s="56">
        <v>57</v>
      </c>
      <c r="B62" s="70">
        <f>B61+(($B$65-$B$60)/($A$65-$A$60))</f>
        <v>436.20000000000005</v>
      </c>
      <c r="C62" s="73">
        <f t="shared" si="9"/>
        <v>567.06000000000006</v>
      </c>
      <c r="D62" s="58">
        <f t="shared" si="10"/>
        <v>260.84760000000006</v>
      </c>
      <c r="E62" s="58">
        <f t="shared" si="11"/>
        <v>62.903017785733759</v>
      </c>
      <c r="F62" s="122">
        <f t="shared" si="32"/>
        <v>857.19899264348635</v>
      </c>
      <c r="G62" s="63"/>
      <c r="H62" s="56">
        <v>57</v>
      </c>
      <c r="I62" s="70">
        <f>I61+(($I$65-$I$60)/($H$65-$H$60))</f>
        <v>703.40000000000009</v>
      </c>
      <c r="J62" s="73">
        <f t="shared" si="13"/>
        <v>914.42000000000019</v>
      </c>
      <c r="K62" s="73">
        <f t="shared" si="0"/>
        <v>393.20060000000007</v>
      </c>
      <c r="L62" s="58">
        <f t="shared" si="14"/>
        <v>90.39681877152654</v>
      </c>
      <c r="M62" s="122">
        <f t="shared" si="33"/>
        <v>1135.5988376937421</v>
      </c>
      <c r="N62" s="63"/>
      <c r="O62" s="56">
        <v>57</v>
      </c>
      <c r="P62" s="70">
        <f>P61+(($P$65-$P$60)/($O$65-$O$60))</f>
        <v>623.79999999999995</v>
      </c>
      <c r="Q62" s="73">
        <f t="shared" si="16"/>
        <v>810.93999999999994</v>
      </c>
      <c r="R62" s="73">
        <f t="shared" si="1"/>
        <v>348.70419999999996</v>
      </c>
      <c r="S62" s="58">
        <f t="shared" si="17"/>
        <v>81.295634988912099</v>
      </c>
      <c r="T62" s="122">
        <f t="shared" si="34"/>
        <v>1042.2497126056885</v>
      </c>
      <c r="U62" s="80"/>
      <c r="V62" s="56">
        <v>57</v>
      </c>
      <c r="W62" s="70">
        <f t="shared" si="39"/>
        <v>293.5</v>
      </c>
      <c r="X62" s="73">
        <f t="shared" si="18"/>
        <v>381.55</v>
      </c>
      <c r="Y62" s="73">
        <f t="shared" si="3"/>
        <v>183.14400000000001</v>
      </c>
      <c r="Z62" s="58">
        <f t="shared" si="19"/>
        <v>46.020961755923707</v>
      </c>
      <c r="AA62" s="122">
        <f t="shared" si="35"/>
        <v>692.46230839156715</v>
      </c>
      <c r="AB62"/>
      <c r="AC62" s="56">
        <v>57</v>
      </c>
      <c r="AD62" s="70">
        <f>AD61+($AD$71-$AD$61)/($AC$71-$AC$61)</f>
        <v>387.6</v>
      </c>
      <c r="AE62" s="71">
        <f t="shared" si="21"/>
        <v>503.88000000000005</v>
      </c>
      <c r="AF62" s="72">
        <f t="shared" si="5"/>
        <v>181.39680000000001</v>
      </c>
      <c r="AG62" s="72">
        <f t="shared" si="22"/>
        <v>45.63280848550832</v>
      </c>
      <c r="AH62" s="128">
        <f t="shared" si="36"/>
        <v>688.74323477892688</v>
      </c>
      <c r="AI62"/>
      <c r="AJ62" s="56">
        <v>57</v>
      </c>
      <c r="AK62" s="70">
        <v>58</v>
      </c>
      <c r="AL62" s="73">
        <f t="shared" si="23"/>
        <v>90.48</v>
      </c>
      <c r="AM62" s="73">
        <f t="shared" si="7"/>
        <v>47.049600000000005</v>
      </c>
      <c r="AN62" s="58">
        <f t="shared" si="24"/>
        <v>13.849129922569936</v>
      </c>
      <c r="AO62" s="122">
        <f t="shared" si="8"/>
        <v>399.39862128180926</v>
      </c>
    </row>
    <row r="63" spans="1:41" x14ac:dyDescent="0.25">
      <c r="A63" s="56">
        <v>58</v>
      </c>
      <c r="B63" s="70">
        <f>B62+(($B$65-$B$60)/($A$65-$A$60))</f>
        <v>446.80000000000007</v>
      </c>
      <c r="C63" s="73">
        <f t="shared" si="9"/>
        <v>580.84000000000015</v>
      </c>
      <c r="D63" s="58">
        <f t="shared" si="10"/>
        <v>267.18640000000011</v>
      </c>
      <c r="E63" s="58">
        <f t="shared" si="11"/>
        <v>64.251788801464912</v>
      </c>
      <c r="F63" s="122">
        <f t="shared" si="32"/>
        <v>870.58817882921812</v>
      </c>
      <c r="G63" s="63"/>
      <c r="H63" s="56">
        <v>58</v>
      </c>
      <c r="I63" s="70">
        <f>I62+(($I$65-$I$60)/($H$65-$H$60))</f>
        <v>708.60000000000014</v>
      </c>
      <c r="J63" s="73">
        <f t="shared" si="13"/>
        <v>921.18000000000018</v>
      </c>
      <c r="K63" s="73">
        <f t="shared" si="0"/>
        <v>396.1074000000001</v>
      </c>
      <c r="L63" s="58">
        <f t="shared" si="14"/>
        <v>90.987051720178258</v>
      </c>
      <c r="M63" s="122">
        <f t="shared" si="33"/>
        <v>1141.6895034126439</v>
      </c>
      <c r="N63" s="63"/>
      <c r="O63" s="56">
        <v>58</v>
      </c>
      <c r="P63" s="70">
        <f>P62+(($P$65-$P$60)/($O$65-$O$60))</f>
        <v>628.19999999999993</v>
      </c>
      <c r="Q63" s="73">
        <f t="shared" si="16"/>
        <v>816.66</v>
      </c>
      <c r="R63" s="73">
        <f t="shared" si="1"/>
        <v>351.16379999999998</v>
      </c>
      <c r="S63" s="58">
        <f t="shared" si="17"/>
        <v>81.802103426362507</v>
      </c>
      <c r="T63" s="122">
        <f t="shared" si="34"/>
        <v>1047.4156151342481</v>
      </c>
      <c r="U63" s="80"/>
      <c r="V63" s="56">
        <v>58</v>
      </c>
      <c r="W63" s="70">
        <f t="shared" si="39"/>
        <v>297</v>
      </c>
      <c r="X63" s="73">
        <f t="shared" si="18"/>
        <v>386.1</v>
      </c>
      <c r="Y63" s="73">
        <f t="shared" si="3"/>
        <v>185.328</v>
      </c>
      <c r="Z63" s="58">
        <f t="shared" si="19"/>
        <v>46.505548070897582</v>
      </c>
      <c r="AA63" s="122">
        <f t="shared" si="35"/>
        <v>697.1100962234799</v>
      </c>
      <c r="AB63"/>
      <c r="AC63" s="56">
        <v>58</v>
      </c>
      <c r="AD63" s="70">
        <f t="shared" ref="AD63:AD70" si="40">AD62+($AD$71-$AD$61)/($AC$71-$AC$61)</f>
        <v>396.20000000000005</v>
      </c>
      <c r="AE63" s="71">
        <f t="shared" si="21"/>
        <v>515.06000000000006</v>
      </c>
      <c r="AF63" s="72">
        <f t="shared" si="5"/>
        <v>185.42160000000001</v>
      </c>
      <c r="AG63" s="72">
        <f t="shared" si="22"/>
        <v>46.526301148997497</v>
      </c>
      <c r="AH63" s="128">
        <f t="shared" si="36"/>
        <v>697.30926116783735</v>
      </c>
      <c r="AI63"/>
      <c r="AJ63" s="56">
        <v>58</v>
      </c>
      <c r="AK63" s="70">
        <v>59</v>
      </c>
      <c r="AL63" s="73">
        <f t="shared" si="23"/>
        <v>92.04</v>
      </c>
      <c r="AM63" s="73">
        <f t="shared" si="7"/>
        <v>47.860800000000005</v>
      </c>
      <c r="AN63" s="58">
        <f t="shared" si="24"/>
        <v>14.059903887836867</v>
      </c>
      <c r="AO63" s="122">
        <f t="shared" si="8"/>
        <v>401.17855927131586</v>
      </c>
    </row>
    <row r="64" spans="1:41" x14ac:dyDescent="0.25">
      <c r="A64" s="56">
        <v>59</v>
      </c>
      <c r="B64" s="70">
        <f>B63+(($B$65-$B$60)/($A$65-$A$60))</f>
        <v>457.40000000000009</v>
      </c>
      <c r="C64" s="73">
        <f t="shared" si="9"/>
        <v>594.62000000000012</v>
      </c>
      <c r="D64" s="58">
        <f t="shared" si="10"/>
        <v>273.52520000000004</v>
      </c>
      <c r="E64" s="58">
        <f t="shared" si="11"/>
        <v>65.596839949872972</v>
      </c>
      <c r="F64" s="122">
        <f t="shared" si="32"/>
        <v>883.97088624602873</v>
      </c>
      <c r="G64" s="63"/>
      <c r="H64" s="56">
        <v>59</v>
      </c>
      <c r="I64" s="70">
        <f>I63+(($I$65-$I$60)/($H$65-$H$60))</f>
        <v>713.80000000000018</v>
      </c>
      <c r="J64" s="73">
        <f t="shared" si="13"/>
        <v>927.94000000000028</v>
      </c>
      <c r="K64" s="73">
        <f t="shared" si="0"/>
        <v>399.01420000000013</v>
      </c>
      <c r="L64" s="58">
        <f t="shared" si="14"/>
        <v>91.576780707426607</v>
      </c>
      <c r="M64" s="122">
        <f t="shared" si="33"/>
        <v>1147.7792913987682</v>
      </c>
      <c r="N64" s="63"/>
      <c r="O64" s="56">
        <v>59</v>
      </c>
      <c r="P64" s="70">
        <f>P63+(($P$65-$P$60)/($O$65-$O$60))</f>
        <v>632.59999999999991</v>
      </c>
      <c r="Q64" s="73">
        <f t="shared" si="16"/>
        <v>822.37999999999988</v>
      </c>
      <c r="R64" s="73">
        <f t="shared" si="1"/>
        <v>353.62339999999995</v>
      </c>
      <c r="S64" s="58">
        <f t="shared" si="17"/>
        <v>82.308159114040492</v>
      </c>
      <c r="T64" s="122">
        <f t="shared" si="34"/>
        <v>1052.580798790287</v>
      </c>
      <c r="U64" s="80"/>
      <c r="V64" s="56">
        <v>59</v>
      </c>
      <c r="W64" s="70">
        <f t="shared" si="39"/>
        <v>300.5</v>
      </c>
      <c r="X64" s="73">
        <f t="shared" si="18"/>
        <v>390.65000000000003</v>
      </c>
      <c r="Y64" s="73">
        <f t="shared" si="3"/>
        <v>187.512</v>
      </c>
      <c r="Z64" s="58">
        <f t="shared" si="19"/>
        <v>46.989470109935006</v>
      </c>
      <c r="AA64" s="122">
        <f t="shared" si="35"/>
        <v>701.75672710813672</v>
      </c>
      <c r="AB64"/>
      <c r="AC64" s="56">
        <v>59</v>
      </c>
      <c r="AD64" s="70">
        <f t="shared" si="40"/>
        <v>404.80000000000007</v>
      </c>
      <c r="AE64" s="71">
        <f t="shared" si="21"/>
        <v>526.24000000000012</v>
      </c>
      <c r="AF64" s="72">
        <f t="shared" si="5"/>
        <v>189.44640000000004</v>
      </c>
      <c r="AG64" s="72">
        <f t="shared" si="22"/>
        <v>47.417538973836514</v>
      </c>
      <c r="AH64" s="128">
        <f t="shared" si="36"/>
        <v>705.87136037943196</v>
      </c>
      <c r="AI64"/>
      <c r="AJ64" s="56">
        <v>59</v>
      </c>
      <c r="AK64" s="70">
        <v>60</v>
      </c>
      <c r="AL64" s="73">
        <f t="shared" si="23"/>
        <v>93.600000000000009</v>
      </c>
      <c r="AM64" s="73">
        <f t="shared" si="7"/>
        <v>48.672000000000004</v>
      </c>
      <c r="AN64" s="58">
        <f t="shared" si="24"/>
        <v>14.270262409972053</v>
      </c>
      <c r="AO64" s="122">
        <f t="shared" si="8"/>
        <v>402.95777369736794</v>
      </c>
    </row>
    <row r="65" spans="1:41" x14ac:dyDescent="0.25">
      <c r="A65" s="56">
        <v>60</v>
      </c>
      <c r="B65" s="70">
        <v>468</v>
      </c>
      <c r="C65" s="73">
        <f t="shared" si="9"/>
        <v>608.4</v>
      </c>
      <c r="D65" s="58">
        <f t="shared" si="10"/>
        <v>279.86399999999998</v>
      </c>
      <c r="E65" s="58">
        <f t="shared" si="11"/>
        <v>66.938267358965064</v>
      </c>
      <c r="F65" s="122">
        <f t="shared" si="32"/>
        <v>897.34728231686404</v>
      </c>
      <c r="G65" s="63"/>
      <c r="H65" s="56">
        <v>60</v>
      </c>
      <c r="I65" s="70">
        <v>719</v>
      </c>
      <c r="J65" s="73">
        <f t="shared" si="13"/>
        <v>934.7</v>
      </c>
      <c r="K65" s="73">
        <f t="shared" si="0"/>
        <v>401.92099999999999</v>
      </c>
      <c r="L65" s="58">
        <f t="shared" si="14"/>
        <v>92.166009830286228</v>
      </c>
      <c r="M65" s="122">
        <f t="shared" si="33"/>
        <v>1153.8682087877485</v>
      </c>
      <c r="N65" s="63"/>
      <c r="O65" s="56">
        <v>60</v>
      </c>
      <c r="P65" s="70">
        <v>637</v>
      </c>
      <c r="Q65" s="73">
        <f t="shared" si="16"/>
        <v>828.1</v>
      </c>
      <c r="R65" s="73">
        <f t="shared" si="1"/>
        <v>356.08300000000003</v>
      </c>
      <c r="S65" s="58">
        <f t="shared" si="17"/>
        <v>82.813805255716545</v>
      </c>
      <c r="T65" s="122">
        <f t="shared" si="34"/>
        <v>1057.7452691537062</v>
      </c>
      <c r="U65" s="80"/>
      <c r="V65" s="56">
        <v>60</v>
      </c>
      <c r="W65" s="70">
        <v>304</v>
      </c>
      <c r="X65" s="73">
        <f t="shared" si="18"/>
        <v>395.2</v>
      </c>
      <c r="Y65" s="73">
        <f t="shared" si="3"/>
        <v>189.696</v>
      </c>
      <c r="Z65" s="58">
        <f t="shared" si="19"/>
        <v>47.472736505152469</v>
      </c>
      <c r="AA65" s="122">
        <f t="shared" si="35"/>
        <v>706.4022160798072</v>
      </c>
      <c r="AB65"/>
      <c r="AC65" s="56">
        <v>60</v>
      </c>
      <c r="AD65" s="70">
        <f t="shared" si="40"/>
        <v>413.40000000000009</v>
      </c>
      <c r="AE65" s="71">
        <f t="shared" si="21"/>
        <v>537.42000000000019</v>
      </c>
      <c r="AF65" s="72">
        <f t="shared" si="5"/>
        <v>193.47120000000007</v>
      </c>
      <c r="AG65" s="72">
        <f t="shared" si="22"/>
        <v>48.306575382296536</v>
      </c>
      <c r="AH65" s="128">
        <f t="shared" si="36"/>
        <v>714.42962545749981</v>
      </c>
      <c r="AI65"/>
      <c r="AJ65" s="56">
        <v>60</v>
      </c>
      <c r="AK65" s="70">
        <v>61</v>
      </c>
      <c r="AL65" s="73">
        <f t="shared" si="23"/>
        <v>95.16</v>
      </c>
      <c r="AM65" s="73">
        <f t="shared" si="7"/>
        <v>49.483199999999997</v>
      </c>
      <c r="AN65" s="58">
        <f t="shared" si="24"/>
        <v>14.480213212214636</v>
      </c>
      <c r="AO65" s="122">
        <f t="shared" si="8"/>
        <v>404.73627801127378</v>
      </c>
    </row>
    <row r="66" spans="1:41" x14ac:dyDescent="0.25">
      <c r="A66" s="56">
        <v>61</v>
      </c>
      <c r="B66" s="70">
        <f>B65+(($B$70-$B$65)/($A$70-$A$65))</f>
        <v>479.8</v>
      </c>
      <c r="C66" s="73">
        <f t="shared" si="9"/>
        <v>623.74</v>
      </c>
      <c r="D66" s="58">
        <f t="shared" si="10"/>
        <v>286.92040000000003</v>
      </c>
      <c r="E66" s="58">
        <f t="shared" si="11"/>
        <v>68.427403728567214</v>
      </c>
      <c r="F66" s="122">
        <f t="shared" si="32"/>
        <v>912.23075816058781</v>
      </c>
      <c r="G66" s="63"/>
      <c r="H66" s="56">
        <v>61</v>
      </c>
      <c r="I66" s="70">
        <f>I65+(($I$70-$I$65)/($H$70-$H$65))</f>
        <v>723.2</v>
      </c>
      <c r="J66" s="73">
        <f t="shared" si="13"/>
        <v>940.16000000000008</v>
      </c>
      <c r="K66" s="73">
        <f t="shared" si="0"/>
        <v>404.26880000000006</v>
      </c>
      <c r="L66" s="58">
        <f t="shared" si="14"/>
        <v>92.641563502905143</v>
      </c>
      <c r="M66" s="122">
        <f t="shared" si="33"/>
        <v>1158.7855497675598</v>
      </c>
      <c r="N66" s="63"/>
      <c r="O66" s="56"/>
      <c r="P66" s="70"/>
      <c r="Q66" s="73"/>
      <c r="R66" s="73"/>
      <c r="S66" s="58"/>
      <c r="T66" s="122"/>
      <c r="U66" s="80"/>
      <c r="V66" s="56"/>
      <c r="W66" s="70"/>
      <c r="X66" s="73"/>
      <c r="Y66" s="73"/>
      <c r="Z66" s="58"/>
      <c r="AA66" s="122"/>
      <c r="AB66"/>
      <c r="AC66" s="56">
        <v>61</v>
      </c>
      <c r="AD66" s="70">
        <f t="shared" si="40"/>
        <v>422.00000000000011</v>
      </c>
      <c r="AE66" s="71">
        <f t="shared" si="21"/>
        <v>548.60000000000014</v>
      </c>
      <c r="AF66" s="72">
        <f t="shared" si="5"/>
        <v>197.49600000000004</v>
      </c>
      <c r="AG66" s="72">
        <f t="shared" si="22"/>
        <v>49.193461446927081</v>
      </c>
      <c r="AH66" s="128">
        <f t="shared" si="36"/>
        <v>722.98414535339805</v>
      </c>
      <c r="AI66"/>
      <c r="AJ66" s="56">
        <v>61</v>
      </c>
      <c r="AK66" s="70">
        <v>62</v>
      </c>
      <c r="AL66" s="73">
        <f t="shared" si="23"/>
        <v>96.72</v>
      </c>
      <c r="AM66" s="73">
        <f t="shared" si="7"/>
        <v>50.294400000000003</v>
      </c>
      <c r="AN66" s="58">
        <f t="shared" si="24"/>
        <v>14.689763750064973</v>
      </c>
      <c r="AO66" s="122">
        <f t="shared" si="8"/>
        <v>406.51408519802982</v>
      </c>
    </row>
    <row r="67" spans="1:41" x14ac:dyDescent="0.25">
      <c r="A67" s="56">
        <v>62</v>
      </c>
      <c r="B67" s="70">
        <f>B66+(($B$70-$B$65)/($A$70-$A$65))</f>
        <v>491.6</v>
      </c>
      <c r="C67" s="73">
        <f t="shared" si="9"/>
        <v>639.08000000000004</v>
      </c>
      <c r="D67" s="58">
        <f t="shared" si="10"/>
        <v>293.97680000000003</v>
      </c>
      <c r="E67" s="58">
        <f t="shared" si="11"/>
        <v>69.912282800586965</v>
      </c>
      <c r="F67" s="122">
        <f t="shared" si="32"/>
        <v>927.1068192110223</v>
      </c>
      <c r="G67" s="63"/>
      <c r="H67" s="56">
        <v>62</v>
      </c>
      <c r="I67" s="70">
        <f>I66+(($I$70-$I$65)/($H$70-$H$65))</f>
        <v>727.40000000000009</v>
      </c>
      <c r="J67" s="73">
        <f t="shared" si="13"/>
        <v>945.62000000000012</v>
      </c>
      <c r="K67" s="73">
        <f t="shared" si="0"/>
        <v>406.61660000000006</v>
      </c>
      <c r="L67" s="58">
        <f t="shared" si="14"/>
        <v>93.116795810066932</v>
      </c>
      <c r="M67" s="122">
        <f t="shared" si="33"/>
        <v>1163.7023310358666</v>
      </c>
      <c r="N67" s="63"/>
      <c r="O67" s="56"/>
      <c r="P67" s="70"/>
      <c r="Q67" s="73"/>
      <c r="R67" s="73"/>
      <c r="S67" s="58"/>
      <c r="T67" s="122"/>
      <c r="U67" s="80"/>
      <c r="V67" s="56"/>
      <c r="W67" s="70"/>
      <c r="X67" s="73"/>
      <c r="Y67" s="73"/>
      <c r="Z67" s="58"/>
      <c r="AA67" s="122"/>
      <c r="AB67"/>
      <c r="AC67" s="56">
        <v>62</v>
      </c>
      <c r="AD67" s="70">
        <f t="shared" si="40"/>
        <v>430.60000000000014</v>
      </c>
      <c r="AE67" s="71">
        <f t="shared" si="21"/>
        <v>559.7800000000002</v>
      </c>
      <c r="AF67" s="72">
        <f t="shared" si="5"/>
        <v>201.52080000000007</v>
      </c>
      <c r="AG67" s="72">
        <f t="shared" si="22"/>
        <v>50.078246039650359</v>
      </c>
      <c r="AH67" s="128">
        <f t="shared" si="36"/>
        <v>731.53500518572446</v>
      </c>
      <c r="AI67"/>
      <c r="AJ67" s="56">
        <v>62</v>
      </c>
      <c r="AK67" s="70">
        <v>63</v>
      </c>
      <c r="AL67" s="73">
        <f t="shared" si="23"/>
        <v>98.28</v>
      </c>
      <c r="AM67" s="73">
        <f t="shared" si="7"/>
        <v>51.105600000000003</v>
      </c>
      <c r="AN67" s="58">
        <f t="shared" si="24"/>
        <v>14.898921224732128</v>
      </c>
      <c r="AO67" s="122">
        <f t="shared" si="8"/>
        <v>408.29120779974176</v>
      </c>
    </row>
    <row r="68" spans="1:41" x14ac:dyDescent="0.25">
      <c r="A68" s="56">
        <v>63</v>
      </c>
      <c r="B68" s="70">
        <f>B67+(($B$70-$B$65)/($A$70-$A$65))</f>
        <v>503.40000000000003</v>
      </c>
      <c r="C68" s="73">
        <f t="shared" si="9"/>
        <v>654.42000000000007</v>
      </c>
      <c r="D68" s="58">
        <f t="shared" si="10"/>
        <v>301.03320000000002</v>
      </c>
      <c r="E68" s="58">
        <f t="shared" si="11"/>
        <v>71.393018521721203</v>
      </c>
      <c r="F68" s="122">
        <f t="shared" si="32"/>
        <v>941.97566392533099</v>
      </c>
      <c r="G68" s="63"/>
      <c r="H68" s="56">
        <v>63</v>
      </c>
      <c r="I68" s="70">
        <f>I67+(($I$70-$I$65)/($H$70-$H$65))</f>
        <v>731.60000000000014</v>
      </c>
      <c r="J68" s="73">
        <f t="shared" si="13"/>
        <v>951.08000000000015</v>
      </c>
      <c r="K68" s="73">
        <f t="shared" si="0"/>
        <v>408.96440000000007</v>
      </c>
      <c r="L68" s="58">
        <f t="shared" si="14"/>
        <v>93.591708822646964</v>
      </c>
      <c r="M68" s="122">
        <f t="shared" si="33"/>
        <v>1168.6185561994437</v>
      </c>
      <c r="N68" s="63"/>
      <c r="O68" s="56"/>
      <c r="P68" s="70"/>
      <c r="Q68" s="73"/>
      <c r="R68" s="73"/>
      <c r="S68" s="58"/>
      <c r="T68" s="122"/>
      <c r="U68" s="80"/>
      <c r="V68" s="56"/>
      <c r="W68" s="70"/>
      <c r="X68" s="73"/>
      <c r="Y68" s="73"/>
      <c r="Z68" s="58"/>
      <c r="AA68" s="122"/>
      <c r="AB68"/>
      <c r="AC68" s="56">
        <v>63</v>
      </c>
      <c r="AD68" s="70">
        <f t="shared" si="40"/>
        <v>439.20000000000016</v>
      </c>
      <c r="AE68" s="71">
        <f t="shared" si="21"/>
        <v>570.96000000000026</v>
      </c>
      <c r="AF68" s="72">
        <f t="shared" si="5"/>
        <v>205.54560000000009</v>
      </c>
      <c r="AG68" s="72">
        <f t="shared" si="22"/>
        <v>50.960975968608146</v>
      </c>
      <c r="AH68" s="128">
        <f t="shared" si="36"/>
        <v>740.08228647865928</v>
      </c>
      <c r="AI68"/>
      <c r="AJ68" s="56">
        <v>63</v>
      </c>
      <c r="AK68" s="70">
        <v>64</v>
      </c>
      <c r="AL68" s="73">
        <f t="shared" si="23"/>
        <v>99.84</v>
      </c>
      <c r="AM68" s="73">
        <f t="shared" si="7"/>
        <v>51.916800000000002</v>
      </c>
      <c r="AN68" s="58">
        <f t="shared" si="24"/>
        <v>15.107692595703275</v>
      </c>
      <c r="AO68" s="122">
        <f t="shared" si="8"/>
        <v>410.06765793751651</v>
      </c>
    </row>
    <row r="69" spans="1:41" x14ac:dyDescent="0.25">
      <c r="A69" s="56">
        <v>64</v>
      </c>
      <c r="B69" s="70">
        <f>B68+(($B$70-$B$65)/($A$70-$A$65))</f>
        <v>515.20000000000005</v>
      </c>
      <c r="C69" s="73">
        <f t="shared" si="9"/>
        <v>669.7600000000001</v>
      </c>
      <c r="D69" s="58">
        <f>C69*InfraPinL</f>
        <v>308.08960000000008</v>
      </c>
      <c r="E69" s="58">
        <f t="shared" si="11"/>
        <v>72.869719191954857</v>
      </c>
      <c r="F69" s="122">
        <f>((D69+E69)* TauxC + Csol + Clitiere)*MasseMol</f>
        <v>956.83748092598819</v>
      </c>
      <c r="G69" s="63"/>
      <c r="H69" s="56">
        <v>64</v>
      </c>
      <c r="I69" s="70">
        <f>I68+(($I$70-$I$65)/($H$70-$H$65))</f>
        <v>735.80000000000018</v>
      </c>
      <c r="J69" s="73">
        <f t="shared" si="13"/>
        <v>956.5400000000003</v>
      </c>
      <c r="K69" s="73">
        <f>J69*InfraDg</f>
        <v>411.31220000000013</v>
      </c>
      <c r="L69" s="58">
        <f t="shared" si="14"/>
        <v>94.06630458636721</v>
      </c>
      <c r="M69" s="122">
        <f>((K69+L69)* TauxC + Csol + Clitiere)* MasseMol</f>
        <v>1173.5342288212562</v>
      </c>
      <c r="N69" s="63"/>
      <c r="O69" s="56"/>
      <c r="P69" s="70"/>
      <c r="Q69" s="73"/>
      <c r="R69" s="73"/>
      <c r="S69" s="58"/>
      <c r="T69" s="122"/>
      <c r="U69" s="80"/>
      <c r="V69" s="56"/>
      <c r="W69" s="70"/>
      <c r="X69" s="73"/>
      <c r="Y69" s="73"/>
      <c r="Z69" s="58"/>
      <c r="AA69" s="122"/>
      <c r="AB69"/>
      <c r="AC69" s="56">
        <v>64</v>
      </c>
      <c r="AD69" s="70">
        <f t="shared" si="40"/>
        <v>447.80000000000018</v>
      </c>
      <c r="AE69" s="71">
        <f t="shared" si="21"/>
        <v>582.14000000000021</v>
      </c>
      <c r="AF69" s="72">
        <f t="shared" ref="AF69:AF83" si="41">AE69*InfraCed</f>
        <v>209.57040000000006</v>
      </c>
      <c r="AG69" s="72">
        <f t="shared" si="22"/>
        <v>51.841696103987289</v>
      </c>
      <c r="AH69" s="128">
        <f t="shared" ref="AH69:AH83" si="42">((AF69+AG69)*TauxC + Csol + Clitiere)*MasseMol</f>
        <v>748.62606738111117</v>
      </c>
      <c r="AI69"/>
      <c r="AJ69" s="56">
        <v>64</v>
      </c>
      <c r="AK69" s="70">
        <v>65</v>
      </c>
      <c r="AL69" s="73">
        <f t="shared" si="23"/>
        <v>101.4</v>
      </c>
      <c r="AM69" s="73">
        <f>AL69*InfraBoul</f>
        <v>52.728000000000002</v>
      </c>
      <c r="AN69" s="58">
        <f t="shared" si="24"/>
        <v>15.316084592505279</v>
      </c>
      <c r="AO69" s="122">
        <f>((AM69+AN69)* TauxC + Csol + Clitiere )* MasseMol</f>
        <v>411.84344733194666</v>
      </c>
    </row>
    <row r="70" spans="1:41" ht="16.5" thickBot="1" x14ac:dyDescent="0.3">
      <c r="A70" s="60">
        <v>65</v>
      </c>
      <c r="B70" s="75">
        <v>527</v>
      </c>
      <c r="C70" s="74">
        <f>B70*1.3</f>
        <v>685.1</v>
      </c>
      <c r="D70" s="61">
        <f>C70*InfraPinL</f>
        <v>315.14600000000002</v>
      </c>
      <c r="E70" s="61">
        <f>EXP(-1.0587  + 0.8836*LN(D70) + 0.284)</f>
        <v>74.342487867211162</v>
      </c>
      <c r="F70" s="124">
        <f>((D70+E70)* TauxC + Csol + Clitiere)*MasseMol</f>
        <v>971.69244970205955</v>
      </c>
      <c r="G70" s="63"/>
      <c r="H70" s="60">
        <v>65</v>
      </c>
      <c r="I70" s="75">
        <v>740</v>
      </c>
      <c r="J70" s="74">
        <f>I70*1.3</f>
        <v>962</v>
      </c>
      <c r="K70" s="74">
        <f>J70*InfraDg</f>
        <v>413.65999999999997</v>
      </c>
      <c r="L70" s="61">
        <f>EXP(-1.0587  + 0.8836*LN(K70) + 0.284)</f>
        <v>94.540585122244352</v>
      </c>
      <c r="M70" s="124">
        <f>((K70+L70)* TauxC + Csol + Clitiere)* MasseMol</f>
        <v>1178.4493524212421</v>
      </c>
      <c r="N70" s="63"/>
      <c r="O70" s="60"/>
      <c r="P70" s="75"/>
      <c r="Q70" s="74"/>
      <c r="R70" s="74"/>
      <c r="S70" s="61"/>
      <c r="T70" s="124"/>
      <c r="U70" s="80"/>
      <c r="V70" s="60"/>
      <c r="W70" s="75"/>
      <c r="X70" s="74"/>
      <c r="Y70" s="74"/>
      <c r="Z70" s="61"/>
      <c r="AA70" s="124"/>
      <c r="AB70"/>
      <c r="AC70" s="56">
        <v>65</v>
      </c>
      <c r="AD70" s="70">
        <f t="shared" si="40"/>
        <v>456.4000000000002</v>
      </c>
      <c r="AE70" s="71">
        <f t="shared" ref="AE70:AE83" si="43">AD70*1.3</f>
        <v>593.32000000000028</v>
      </c>
      <c r="AF70" s="72">
        <f t="shared" si="41"/>
        <v>213.59520000000009</v>
      </c>
      <c r="AG70" s="72">
        <f t="shared" ref="AG70:AG83" si="44">EXP(-1.0587  + 0.8836*LN(AF70) + 0.284)</f>
        <v>52.720449493906315</v>
      </c>
      <c r="AH70" s="128">
        <f t="shared" si="42"/>
        <v>757.16642286855347</v>
      </c>
      <c r="AI70"/>
      <c r="AJ70" s="60">
        <v>65</v>
      </c>
      <c r="AK70" s="75">
        <v>66</v>
      </c>
      <c r="AL70" s="74">
        <f t="shared" si="23"/>
        <v>102.96000000000001</v>
      </c>
      <c r="AM70" s="74">
        <f>AL70*InfraBoul</f>
        <v>53.539200000000008</v>
      </c>
      <c r="AN70" s="61">
        <f>EXP(-1.0587  + 0.8836*LN(AM70) + 0.284)</f>
        <v>15.524103725721874</v>
      </c>
      <c r="AO70" s="124">
        <f>((AM70+AN70)* TauxC + Csol + Clitiere )* MasseMol</f>
        <v>413.61858732229894</v>
      </c>
    </row>
    <row r="71" spans="1:41" x14ac:dyDescent="0.25">
      <c r="A71" s="62"/>
      <c r="B71" s="62"/>
      <c r="C71" s="62"/>
      <c r="D71" s="62"/>
      <c r="E71" s="62"/>
      <c r="F71" s="62"/>
      <c r="G71" s="62"/>
      <c r="H71" s="62"/>
      <c r="I71" s="62"/>
      <c r="J71" s="62"/>
      <c r="K71" s="62"/>
      <c r="L71" s="62"/>
      <c r="M71" s="62"/>
      <c r="N71" s="63"/>
      <c r="O71" s="63"/>
      <c r="P71" s="62"/>
      <c r="Q71" s="62"/>
      <c r="R71" s="62"/>
      <c r="S71" s="62"/>
      <c r="T71" s="62"/>
      <c r="U71" s="80"/>
      <c r="V71" s="63"/>
      <c r="W71" s="62"/>
      <c r="X71" s="62"/>
      <c r="Y71" s="62"/>
      <c r="Z71" s="62"/>
      <c r="AA71" s="79"/>
      <c r="AB71"/>
      <c r="AC71" s="56">
        <v>66</v>
      </c>
      <c r="AD71" s="70">
        <v>465</v>
      </c>
      <c r="AE71" s="71">
        <f t="shared" si="43"/>
        <v>604.5</v>
      </c>
      <c r="AF71" s="72">
        <f t="shared" si="41"/>
        <v>217.62</v>
      </c>
      <c r="AG71" s="72">
        <f t="shared" si="44"/>
        <v>53.597277471320098</v>
      </c>
      <c r="AH71" s="128">
        <f t="shared" si="42"/>
        <v>765.70342492921588</v>
      </c>
      <c r="AI71"/>
      <c r="AJ71" s="62"/>
      <c r="AK71" s="62"/>
      <c r="AL71" s="62"/>
      <c r="AM71" s="62"/>
      <c r="AN71" s="62"/>
      <c r="AO71" s="79"/>
    </row>
    <row r="72" spans="1:41" x14ac:dyDescent="0.25">
      <c r="A72" s="62"/>
      <c r="B72" s="62"/>
      <c r="C72" s="62"/>
      <c r="D72" s="62"/>
      <c r="E72" s="62"/>
      <c r="F72" s="62"/>
      <c r="G72" s="62"/>
      <c r="H72" s="62"/>
      <c r="I72" s="62"/>
      <c r="J72" s="62"/>
      <c r="K72" s="62"/>
      <c r="L72" s="62"/>
      <c r="M72" s="62"/>
      <c r="N72" s="63"/>
      <c r="O72" s="63"/>
      <c r="P72" s="62"/>
      <c r="Q72" s="62"/>
      <c r="R72" s="62"/>
      <c r="S72" s="62"/>
      <c r="T72" s="62"/>
      <c r="U72" s="80"/>
      <c r="V72" s="63"/>
      <c r="W72" s="62"/>
      <c r="X72" s="62"/>
      <c r="Y72" s="62"/>
      <c r="Z72" s="62"/>
      <c r="AA72" s="79"/>
      <c r="AB72"/>
      <c r="AC72" s="56">
        <v>67</v>
      </c>
      <c r="AD72" s="70">
        <f>AD71+($AD$81-$AD$71)/($AC$81-$AC$71)</f>
        <v>471.6</v>
      </c>
      <c r="AE72" s="71">
        <f t="shared" si="43"/>
        <v>613.08000000000004</v>
      </c>
      <c r="AF72" s="72">
        <f t="shared" si="41"/>
        <v>220.7088</v>
      </c>
      <c r="AG72" s="72">
        <f t="shared" si="44"/>
        <v>54.268911046456566</v>
      </c>
      <c r="AH72" s="128">
        <f t="shared" si="42"/>
        <v>772.252846739245</v>
      </c>
      <c r="AI72"/>
      <c r="AJ72" s="62"/>
      <c r="AK72" s="62"/>
      <c r="AL72" s="62"/>
      <c r="AM72" s="62"/>
      <c r="AN72" s="62"/>
      <c r="AO72" s="79"/>
    </row>
    <row r="73" spans="1:41" x14ac:dyDescent="0.25">
      <c r="A73" s="150" t="s">
        <v>87</v>
      </c>
      <c r="B73" s="62"/>
      <c r="C73" s="62"/>
      <c r="D73" s="62"/>
      <c r="E73" s="62"/>
      <c r="F73" s="62"/>
      <c r="G73" s="62"/>
      <c r="H73" s="62"/>
      <c r="I73" s="62"/>
      <c r="J73" s="62"/>
      <c r="K73" s="62"/>
      <c r="L73" s="62"/>
      <c r="M73" s="62"/>
      <c r="N73" s="63"/>
      <c r="O73" s="63"/>
      <c r="P73" s="62"/>
      <c r="Q73" s="62"/>
      <c r="R73" s="62"/>
      <c r="S73" s="62"/>
      <c r="T73" s="62"/>
      <c r="U73" s="80"/>
      <c r="V73" s="63"/>
      <c r="W73" s="62"/>
      <c r="X73" s="62"/>
      <c r="Y73" s="62"/>
      <c r="Z73" s="62"/>
      <c r="AA73" s="79"/>
      <c r="AB73"/>
      <c r="AC73" s="56">
        <v>68</v>
      </c>
      <c r="AD73" s="70">
        <f t="shared" ref="AD73:AD80" si="45">AD72+($AD$81-$AD$71)/($AC$81-$AC$71)</f>
        <v>478.20000000000005</v>
      </c>
      <c r="AE73" s="71">
        <f t="shared" si="43"/>
        <v>621.66000000000008</v>
      </c>
      <c r="AF73" s="72">
        <f t="shared" si="41"/>
        <v>223.79760000000002</v>
      </c>
      <c r="AG73" s="72">
        <f t="shared" si="44"/>
        <v>54.939451378299395</v>
      </c>
      <c r="AH73" s="128">
        <f t="shared" si="42"/>
        <v>778.80036448387136</v>
      </c>
      <c r="AI73"/>
      <c r="AJ73" s="62"/>
      <c r="AK73" s="62"/>
      <c r="AL73" s="62"/>
      <c r="AM73" s="62"/>
      <c r="AN73" s="62"/>
      <c r="AO73" s="79"/>
    </row>
    <row r="74" spans="1:41" x14ac:dyDescent="0.25">
      <c r="A74" s="62"/>
      <c r="B74" s="62"/>
      <c r="C74" s="62"/>
      <c r="D74" s="62"/>
      <c r="E74" s="62"/>
      <c r="F74" s="62"/>
      <c r="G74" s="62"/>
      <c r="H74" s="62"/>
      <c r="I74" s="62"/>
      <c r="J74" s="62"/>
      <c r="K74" s="62"/>
      <c r="L74" s="62"/>
      <c r="M74" s="62"/>
      <c r="N74" s="63"/>
      <c r="O74" s="63"/>
      <c r="P74" s="62"/>
      <c r="Q74" s="62"/>
      <c r="R74" s="62"/>
      <c r="S74" s="62"/>
      <c r="T74" s="62"/>
      <c r="U74" s="80"/>
      <c r="V74" s="62"/>
      <c r="W74" s="62"/>
      <c r="X74" s="62"/>
      <c r="Y74" s="62"/>
      <c r="Z74" s="62"/>
      <c r="AA74" s="79"/>
      <c r="AB74"/>
      <c r="AC74" s="56">
        <v>69</v>
      </c>
      <c r="AD74" s="70">
        <f t="shared" si="45"/>
        <v>484.80000000000007</v>
      </c>
      <c r="AE74" s="71">
        <f t="shared" si="43"/>
        <v>630.24000000000012</v>
      </c>
      <c r="AF74" s="72">
        <f t="shared" si="41"/>
        <v>226.88640000000004</v>
      </c>
      <c r="AG74" s="72">
        <f t="shared" si="44"/>
        <v>55.608915299400238</v>
      </c>
      <c r="AH74" s="128">
        <f t="shared" si="42"/>
        <v>785.34600747978868</v>
      </c>
      <c r="AI74"/>
      <c r="AJ74" s="62"/>
      <c r="AK74" s="62"/>
      <c r="AL74" s="62"/>
      <c r="AM74" s="62"/>
      <c r="AN74" s="62"/>
      <c r="AO74" s="79"/>
    </row>
    <row r="75" spans="1:41" x14ac:dyDescent="0.25">
      <c r="A75" s="158" t="s">
        <v>90</v>
      </c>
      <c r="B75" s="62"/>
      <c r="C75" s="62"/>
      <c r="D75" s="62"/>
      <c r="E75" s="62"/>
      <c r="F75" s="62"/>
      <c r="G75" s="62"/>
      <c r="H75" s="62"/>
      <c r="I75" s="62"/>
      <c r="J75" s="62"/>
      <c r="K75" s="62"/>
      <c r="L75" s="62"/>
      <c r="M75" s="62"/>
      <c r="N75" s="63"/>
      <c r="O75" s="63"/>
      <c r="P75" s="62"/>
      <c r="Q75" s="62"/>
      <c r="R75" s="62"/>
      <c r="S75" s="62"/>
      <c r="T75" s="62"/>
      <c r="U75" s="80"/>
      <c r="V75" s="62"/>
      <c r="W75" s="62"/>
      <c r="X75" s="62"/>
      <c r="Y75" s="62"/>
      <c r="Z75" s="62"/>
      <c r="AA75" s="79"/>
      <c r="AB75"/>
      <c r="AC75" s="56">
        <v>70</v>
      </c>
      <c r="AD75" s="70">
        <f t="shared" si="45"/>
        <v>491.40000000000009</v>
      </c>
      <c r="AE75" s="71">
        <f t="shared" si="43"/>
        <v>638.82000000000016</v>
      </c>
      <c r="AF75" s="72">
        <f t="shared" si="41"/>
        <v>229.97520000000006</v>
      </c>
      <c r="AG75" s="72">
        <f t="shared" si="44"/>
        <v>56.277319157664316</v>
      </c>
      <c r="AH75" s="128">
        <f t="shared" si="42"/>
        <v>791.88980419959864</v>
      </c>
      <c r="AI75"/>
      <c r="AJ75" s="62"/>
      <c r="AK75" s="62"/>
      <c r="AL75" s="62"/>
      <c r="AM75" s="62"/>
      <c r="AN75" s="62"/>
      <c r="AO75" s="79"/>
    </row>
    <row r="76" spans="1:41" x14ac:dyDescent="0.25">
      <c r="A76" s="159" t="s">
        <v>91</v>
      </c>
      <c r="B76" s="62"/>
      <c r="C76" s="62"/>
      <c r="D76" s="62"/>
      <c r="E76" s="62"/>
      <c r="F76" s="62"/>
      <c r="G76" s="62"/>
      <c r="H76" s="62"/>
      <c r="I76" s="62"/>
      <c r="J76" s="62"/>
      <c r="K76" s="62"/>
      <c r="L76" s="62"/>
      <c r="M76" s="62"/>
      <c r="N76" s="63"/>
      <c r="O76" s="63"/>
      <c r="P76" s="62"/>
      <c r="Q76" s="62"/>
      <c r="R76" s="62"/>
      <c r="S76" s="62"/>
      <c r="T76" s="62"/>
      <c r="U76" s="80"/>
      <c r="V76" s="62"/>
      <c r="W76" s="62"/>
      <c r="X76" s="62"/>
      <c r="Y76" s="62"/>
      <c r="Z76" s="62"/>
      <c r="AA76" s="79"/>
      <c r="AB76"/>
      <c r="AC76" s="56">
        <v>71</v>
      </c>
      <c r="AD76" s="70">
        <f t="shared" si="45"/>
        <v>498.00000000000011</v>
      </c>
      <c r="AE76" s="71">
        <f t="shared" si="43"/>
        <v>647.4000000000002</v>
      </c>
      <c r="AF76" s="72">
        <f t="shared" si="41"/>
        <v>233.06400000000008</v>
      </c>
      <c r="AG76" s="72">
        <f t="shared" si="44"/>
        <v>56.944678836622806</v>
      </c>
      <c r="AH76" s="128">
        <f t="shared" si="42"/>
        <v>798.43178230711817</v>
      </c>
      <c r="AI76"/>
      <c r="AJ76" s="62"/>
      <c r="AK76" s="62"/>
      <c r="AL76" s="62"/>
      <c r="AM76" s="62"/>
      <c r="AN76" s="62"/>
      <c r="AO76" s="79"/>
    </row>
    <row r="77" spans="1:41" x14ac:dyDescent="0.25">
      <c r="B77" s="6"/>
      <c r="C77" s="6"/>
      <c r="D77" s="6"/>
      <c r="E77" s="6"/>
      <c r="F77" s="6"/>
      <c r="G77" s="62"/>
      <c r="H77" s="62"/>
      <c r="I77" s="62"/>
      <c r="J77" s="62"/>
      <c r="K77" s="62"/>
      <c r="L77" s="62"/>
      <c r="M77" s="62"/>
      <c r="N77" s="63"/>
      <c r="O77" s="63"/>
      <c r="P77" s="62"/>
      <c r="Q77" s="62"/>
      <c r="R77" s="62"/>
      <c r="S77" s="62"/>
      <c r="T77" s="62"/>
      <c r="U77" s="80"/>
      <c r="V77" s="62"/>
      <c r="W77" s="62"/>
      <c r="X77" s="62"/>
      <c r="Y77" s="62"/>
      <c r="Z77" s="62"/>
      <c r="AA77" s="79"/>
      <c r="AB77"/>
      <c r="AC77" s="56">
        <v>72</v>
      </c>
      <c r="AD77" s="70">
        <f t="shared" si="45"/>
        <v>504.60000000000014</v>
      </c>
      <c r="AE77" s="71">
        <f t="shared" si="43"/>
        <v>655.98000000000025</v>
      </c>
      <c r="AF77" s="72">
        <f t="shared" si="41"/>
        <v>236.15280000000007</v>
      </c>
      <c r="AG77" s="72">
        <f t="shared" si="44"/>
        <v>57.61100977459936</v>
      </c>
      <c r="AH77" s="128">
        <f t="shared" si="42"/>
        <v>804.97196869076072</v>
      </c>
      <c r="AI77"/>
      <c r="AJ77" s="62"/>
      <c r="AK77" s="62"/>
      <c r="AL77" s="62"/>
      <c r="AM77" s="62"/>
      <c r="AN77" s="62"/>
      <c r="AO77" s="79"/>
    </row>
    <row r="78" spans="1:41" ht="16.5" thickBot="1" x14ac:dyDescent="0.3">
      <c r="A78" s="6"/>
      <c r="B78" s="6"/>
      <c r="C78" s="6"/>
      <c r="D78" s="6"/>
      <c r="E78" s="6"/>
      <c r="F78" s="6"/>
      <c r="G78" s="62"/>
      <c r="H78" s="62"/>
      <c r="I78" s="62"/>
      <c r="J78" s="62"/>
      <c r="K78" s="62"/>
      <c r="L78" s="62"/>
      <c r="M78" s="62"/>
      <c r="N78" s="63"/>
      <c r="O78" s="63"/>
      <c r="P78" s="62"/>
      <c r="Q78" s="62"/>
      <c r="R78" s="62"/>
      <c r="S78" s="62"/>
      <c r="T78" s="62"/>
      <c r="U78" s="80"/>
      <c r="V78" s="62"/>
      <c r="W78" s="62"/>
      <c r="X78" s="62"/>
      <c r="Y78" s="62"/>
      <c r="Z78" s="62"/>
      <c r="AA78" s="79"/>
      <c r="AB78"/>
      <c r="AC78" s="56">
        <v>73</v>
      </c>
      <c r="AD78" s="70">
        <f t="shared" si="45"/>
        <v>511.20000000000016</v>
      </c>
      <c r="AE78" s="71">
        <f t="shared" si="43"/>
        <v>664.56000000000017</v>
      </c>
      <c r="AF78" s="72">
        <f t="shared" si="41"/>
        <v>239.24160000000006</v>
      </c>
      <c r="AG78" s="72">
        <f t="shared" si="44"/>
        <v>58.276326982845887</v>
      </c>
      <c r="AH78" s="128">
        <f t="shared" si="42"/>
        <v>811.51038949512338</v>
      </c>
      <c r="AI78"/>
      <c r="AJ78" s="62"/>
      <c r="AK78" s="62"/>
      <c r="AL78" s="62"/>
      <c r="AM78" s="62"/>
      <c r="AN78" s="62"/>
      <c r="AO78" s="79"/>
    </row>
    <row r="79" spans="1:41" ht="16.5" thickBot="1" x14ac:dyDescent="0.3">
      <c r="A79" s="1" t="s">
        <v>0</v>
      </c>
      <c r="B79" s="2" t="s">
        <v>1</v>
      </c>
      <c r="C79" s="115">
        <v>1.07</v>
      </c>
      <c r="G79" s="169" t="s">
        <v>94</v>
      </c>
      <c r="N79" s="62"/>
      <c r="O79" s="62"/>
      <c r="P79" s="62"/>
      <c r="Q79" s="62"/>
      <c r="R79" s="62"/>
      <c r="S79" s="62"/>
      <c r="T79" s="62"/>
      <c r="U79" s="80"/>
      <c r="V79" s="62"/>
      <c r="W79" s="62"/>
      <c r="X79" s="62"/>
      <c r="Y79" s="62"/>
      <c r="Z79" s="62"/>
      <c r="AA79" s="79"/>
      <c r="AB79"/>
      <c r="AC79" s="56">
        <v>74</v>
      </c>
      <c r="AD79" s="70">
        <f t="shared" si="45"/>
        <v>517.80000000000018</v>
      </c>
      <c r="AE79" s="71">
        <f t="shared" si="43"/>
        <v>673.14000000000021</v>
      </c>
      <c r="AF79" s="72">
        <f t="shared" si="41"/>
        <v>242.33040000000005</v>
      </c>
      <c r="AG79" s="72">
        <f t="shared" si="44"/>
        <v>58.940645062714694</v>
      </c>
      <c r="AH79" s="128">
        <f t="shared" si="42"/>
        <v>818.0470701508948</v>
      </c>
      <c r="AI79"/>
      <c r="AJ79" s="62"/>
      <c r="AK79" s="62"/>
      <c r="AL79" s="62"/>
      <c r="AM79" s="62"/>
      <c r="AN79" s="62"/>
      <c r="AO79" s="79"/>
    </row>
    <row r="80" spans="1:41" x14ac:dyDescent="0.25">
      <c r="D80"/>
      <c r="E80"/>
      <c r="F80"/>
      <c r="G80"/>
      <c r="H80"/>
      <c r="I80"/>
      <c r="L80"/>
      <c r="N80" s="62"/>
      <c r="O80" s="62"/>
      <c r="P80" s="62"/>
      <c r="Q80" s="62"/>
      <c r="R80" s="62"/>
      <c r="S80" s="62"/>
      <c r="T80" s="62"/>
      <c r="U80" s="80"/>
      <c r="V80" s="62"/>
      <c r="W80" s="62"/>
      <c r="X80" s="62"/>
      <c r="Y80" s="62"/>
      <c r="Z80" s="62"/>
      <c r="AA80" s="79"/>
      <c r="AB80"/>
      <c r="AC80" s="56">
        <v>75</v>
      </c>
      <c r="AD80" s="70">
        <f t="shared" si="45"/>
        <v>524.4000000000002</v>
      </c>
      <c r="AE80" s="71">
        <f t="shared" si="43"/>
        <v>681.72000000000025</v>
      </c>
      <c r="AF80" s="72">
        <f t="shared" si="41"/>
        <v>245.41920000000007</v>
      </c>
      <c r="AG80" s="72">
        <f t="shared" si="44"/>
        <v>59.603978221930504</v>
      </c>
      <c r="AH80" s="128">
        <f t="shared" si="42"/>
        <v>824.58203540319573</v>
      </c>
      <c r="AI80"/>
      <c r="AJ80" s="62"/>
      <c r="AK80" s="62"/>
      <c r="AL80" s="62"/>
      <c r="AM80" s="62"/>
      <c r="AN80" s="62"/>
      <c r="AO80" s="79"/>
    </row>
    <row r="81" spans="1:41" ht="47.25" x14ac:dyDescent="0.25">
      <c r="D81" s="183" t="s">
        <v>75</v>
      </c>
      <c r="E81" s="184"/>
      <c r="F81" s="185"/>
      <c r="G81" s="186" t="s">
        <v>93</v>
      </c>
      <c r="H81" s="187"/>
      <c r="I81" s="188"/>
      <c r="J81" s="7"/>
      <c r="K81" s="156" t="s">
        <v>86</v>
      </c>
      <c r="L81" s="157" t="s">
        <v>85</v>
      </c>
      <c r="N81" s="62"/>
      <c r="O81" s="62"/>
      <c r="P81" s="62"/>
      <c r="Q81" s="62"/>
      <c r="R81" s="62"/>
      <c r="S81" s="62"/>
      <c r="T81" s="62"/>
      <c r="U81" s="80"/>
      <c r="V81" s="62"/>
      <c r="W81" s="62"/>
      <c r="X81" s="62"/>
      <c r="Y81" s="62"/>
      <c r="Z81" s="62"/>
      <c r="AA81" s="79"/>
      <c r="AB81"/>
      <c r="AC81" s="56">
        <v>76</v>
      </c>
      <c r="AD81" s="70">
        <v>531</v>
      </c>
      <c r="AE81" s="71">
        <f t="shared" si="43"/>
        <v>690.30000000000007</v>
      </c>
      <c r="AF81" s="72">
        <f t="shared" si="41"/>
        <v>248.50800000000001</v>
      </c>
      <c r="AG81" s="72">
        <f t="shared" si="44"/>
        <v>60.266340290019677</v>
      </c>
      <c r="AH81" s="128">
        <f t="shared" si="42"/>
        <v>831.11530933845086</v>
      </c>
      <c r="AI81"/>
      <c r="AJ81" s="62"/>
      <c r="AK81" s="62"/>
      <c r="AL81" s="62"/>
      <c r="AM81" s="62"/>
      <c r="AN81" s="62"/>
      <c r="AO81" s="79"/>
    </row>
    <row r="82" spans="1:41" ht="16.5" thickBot="1" x14ac:dyDescent="0.3">
      <c r="A82" s="8" t="s">
        <v>2</v>
      </c>
      <c r="B82" s="8" t="s">
        <v>3</v>
      </c>
      <c r="C82" s="8" t="s">
        <v>76</v>
      </c>
      <c r="D82" s="149" t="s">
        <v>4</v>
      </c>
      <c r="E82" s="149" t="s">
        <v>77</v>
      </c>
      <c r="F82" s="149" t="s">
        <v>5</v>
      </c>
      <c r="G82" s="9" t="s">
        <v>4</v>
      </c>
      <c r="H82" s="9" t="s">
        <v>77</v>
      </c>
      <c r="I82" s="9" t="s">
        <v>5</v>
      </c>
      <c r="J82" s="8" t="s">
        <v>6</v>
      </c>
      <c r="K82" s="10" t="s">
        <v>7</v>
      </c>
      <c r="L82" s="11" t="s">
        <v>8</v>
      </c>
      <c r="N82" s="62"/>
      <c r="O82" s="62"/>
      <c r="P82" s="62"/>
      <c r="Q82" s="62"/>
      <c r="R82" s="62"/>
      <c r="S82" s="62"/>
      <c r="T82" s="62"/>
      <c r="U82" s="80"/>
      <c r="V82" s="62"/>
      <c r="W82" s="62"/>
      <c r="X82" s="62"/>
      <c r="Y82" s="62"/>
      <c r="Z82" s="62"/>
      <c r="AA82" s="79"/>
      <c r="AB82"/>
      <c r="AC82" s="56">
        <v>77</v>
      </c>
      <c r="AD82" s="70">
        <f>AD81+($AD$200-$AD$81)/($AC$200-$AC$81)</f>
        <v>534.6</v>
      </c>
      <c r="AE82" s="71">
        <f t="shared" si="43"/>
        <v>694.98</v>
      </c>
      <c r="AF82" s="72">
        <f t="shared" si="41"/>
        <v>250.19280000000001</v>
      </c>
      <c r="AG82" s="72">
        <f t="shared" si="44"/>
        <v>60.627224218071618</v>
      </c>
      <c r="AH82" s="128">
        <f t="shared" si="42"/>
        <v>834.67820884647472</v>
      </c>
      <c r="AI82"/>
      <c r="AJ82" s="62"/>
      <c r="AK82" s="62"/>
      <c r="AL82" s="62"/>
      <c r="AM82" s="62"/>
      <c r="AN82" s="62"/>
      <c r="AO82" s="79"/>
    </row>
    <row r="83" spans="1:41" x14ac:dyDescent="0.25">
      <c r="A83" s="12" t="s">
        <v>9</v>
      </c>
      <c r="B83" s="13">
        <v>0</v>
      </c>
      <c r="C83" s="14">
        <f>'[1]itinéraires bas carbone'!C9*C79</f>
        <v>374.5</v>
      </c>
      <c r="D83" s="15">
        <v>0.4975</v>
      </c>
      <c r="E83" s="15">
        <v>0.255</v>
      </c>
      <c r="F83" s="15">
        <v>0.1275</v>
      </c>
      <c r="G83" s="16">
        <f>(0.4675*InfraRx + 0.03*InfraFs)*C83*TauxC*MasseMol</f>
        <v>139.223651875</v>
      </c>
      <c r="H83" s="16">
        <f>E83*$C$83*InfraRx*TauxC*MasseMol</f>
        <v>69.856421249999997</v>
      </c>
      <c r="I83" s="16">
        <f>F83*$C$83*InfraRx*TauxC*MasseMol</f>
        <v>34.928210624999998</v>
      </c>
      <c r="J83" s="14">
        <v>0</v>
      </c>
      <c r="K83" s="15">
        <v>0.12</v>
      </c>
      <c r="L83" s="30">
        <f>C83*(D83*Paramètres!B18+Paramètres!C18*Analyse_carbone!E83+Analyse_carbone!F83*Paramètres!D18+Paramètres!E18*Analyse_carbone!K83)</f>
        <v>331.19843750000001</v>
      </c>
      <c r="N83" s="62"/>
      <c r="O83" s="62"/>
      <c r="P83" s="62"/>
      <c r="Q83" s="62"/>
      <c r="R83" s="62"/>
      <c r="S83" s="62"/>
      <c r="T83" s="62"/>
      <c r="U83" s="80"/>
      <c r="V83" s="62"/>
      <c r="W83" s="62"/>
      <c r="X83" s="62"/>
      <c r="Y83" s="62"/>
      <c r="Z83" s="62"/>
      <c r="AA83" s="79"/>
      <c r="AB83"/>
      <c r="AC83" s="56">
        <v>78</v>
      </c>
      <c r="AD83" s="70">
        <f>AD82+($AD$200-$AD$81)/($AC$200-$AC$81)</f>
        <v>538.20000000000005</v>
      </c>
      <c r="AE83" s="71">
        <f t="shared" si="43"/>
        <v>699.66000000000008</v>
      </c>
      <c r="AF83" s="72">
        <f t="shared" si="41"/>
        <v>251.87760000000003</v>
      </c>
      <c r="AG83" s="72">
        <f t="shared" si="44"/>
        <v>60.987825380023075</v>
      </c>
      <c r="AH83" s="128">
        <f t="shared" si="42"/>
        <v>838.24061587020685</v>
      </c>
      <c r="AI83"/>
      <c r="AJ83" s="62"/>
      <c r="AK83" s="62"/>
      <c r="AL83" s="62"/>
      <c r="AM83" s="62"/>
      <c r="AN83" s="62"/>
      <c r="AO83" s="79"/>
    </row>
    <row r="84" spans="1:41" x14ac:dyDescent="0.25">
      <c r="A84" s="24" t="s">
        <v>9</v>
      </c>
      <c r="B84" s="25">
        <v>1</v>
      </c>
      <c r="C84" s="26">
        <v>0</v>
      </c>
      <c r="D84" s="27">
        <v>0</v>
      </c>
      <c r="E84" s="27">
        <v>0</v>
      </c>
      <c r="F84" s="27">
        <v>0</v>
      </c>
      <c r="G84" s="28"/>
      <c r="H84" s="28"/>
      <c r="I84" s="28"/>
      <c r="J84" s="26">
        <f t="array" ref="J84">SUM(G83:I83*DecCours)</f>
        <v>231.33899103674037</v>
      </c>
      <c r="K84" s="27"/>
      <c r="L84" s="30"/>
      <c r="N84" s="62"/>
      <c r="O84" s="62"/>
      <c r="P84" s="62"/>
      <c r="Q84" s="62"/>
      <c r="R84" s="62"/>
      <c r="S84" s="62"/>
      <c r="T84" s="62"/>
      <c r="U84" s="80"/>
      <c r="V84" s="62"/>
      <c r="W84" s="62"/>
      <c r="X84" s="62"/>
      <c r="Y84" s="62"/>
      <c r="Z84" s="62"/>
      <c r="AA84" s="79"/>
      <c r="AB84"/>
      <c r="AC84" s="56"/>
      <c r="AD84" s="70"/>
      <c r="AE84" s="71"/>
      <c r="AF84" s="72"/>
      <c r="AG84" s="72"/>
      <c r="AH84" s="128"/>
      <c r="AI84"/>
      <c r="AJ84" s="62"/>
      <c r="AK84" s="62"/>
      <c r="AL84" s="62"/>
      <c r="AM84" s="62"/>
      <c r="AN84" s="62"/>
      <c r="AO84" s="79"/>
    </row>
    <row r="85" spans="1:41" x14ac:dyDescent="0.25">
      <c r="A85" s="24" t="s">
        <v>9</v>
      </c>
      <c r="B85" s="25">
        <v>2</v>
      </c>
      <c r="C85" s="26">
        <v>0</v>
      </c>
      <c r="D85" s="27">
        <v>0</v>
      </c>
      <c r="E85" s="27">
        <v>0</v>
      </c>
      <c r="F85" s="27">
        <v>0</v>
      </c>
      <c r="G85" s="28"/>
      <c r="H85" s="28"/>
      <c r="I85" s="28"/>
      <c r="J85" s="26">
        <f t="array" ref="J85">SUM(G83:I83*DecCours*DecPasse)</f>
        <v>210.40238773311137</v>
      </c>
      <c r="K85" s="27"/>
      <c r="L85" s="30"/>
      <c r="N85" s="62"/>
      <c r="O85" s="62"/>
      <c r="P85" s="62"/>
      <c r="Q85" s="62"/>
      <c r="R85" s="62"/>
      <c r="S85" s="62"/>
      <c r="T85" s="62"/>
      <c r="U85" s="80"/>
      <c r="V85" s="62"/>
      <c r="W85" s="62"/>
      <c r="X85" s="62"/>
      <c r="Y85" s="62"/>
      <c r="Z85" s="62"/>
      <c r="AA85" s="79"/>
      <c r="AB85"/>
      <c r="AC85" s="56"/>
      <c r="AD85" s="70"/>
      <c r="AE85" s="71"/>
      <c r="AF85" s="72"/>
      <c r="AG85" s="72"/>
      <c r="AH85" s="128"/>
      <c r="AI85"/>
      <c r="AJ85" s="62"/>
      <c r="AK85" s="62"/>
      <c r="AL85" s="62"/>
      <c r="AM85" s="62"/>
      <c r="AN85" s="62"/>
      <c r="AO85" s="79"/>
    </row>
    <row r="86" spans="1:41" x14ac:dyDescent="0.25">
      <c r="A86" s="24" t="s">
        <v>9</v>
      </c>
      <c r="B86" s="25">
        <v>3</v>
      </c>
      <c r="C86" s="26">
        <v>0</v>
      </c>
      <c r="D86" s="27">
        <v>0</v>
      </c>
      <c r="E86" s="27">
        <v>0</v>
      </c>
      <c r="F86" s="27">
        <v>0</v>
      </c>
      <c r="G86" s="28"/>
      <c r="H86" s="28"/>
      <c r="I86" s="28"/>
      <c r="J86" s="26">
        <f t="array" ref="J86">SUM(G83:I83*DecCours*DecPasse*DecPasse)</f>
        <v>194.60907825918918</v>
      </c>
      <c r="K86" s="27"/>
      <c r="L86" s="30"/>
      <c r="N86" s="62"/>
      <c r="O86" s="62"/>
      <c r="P86" s="62"/>
      <c r="Q86" s="62"/>
      <c r="R86" s="62"/>
      <c r="S86" s="62"/>
      <c r="T86" s="62"/>
      <c r="U86" s="80"/>
      <c r="V86" s="62"/>
      <c r="W86" s="62"/>
      <c r="X86" s="62"/>
      <c r="Y86" s="62"/>
      <c r="Z86" s="62"/>
      <c r="AA86" s="79"/>
      <c r="AB86"/>
      <c r="AC86" s="56"/>
      <c r="AD86" s="70"/>
      <c r="AE86" s="71"/>
      <c r="AF86" s="72"/>
      <c r="AG86" s="72"/>
      <c r="AH86" s="128"/>
      <c r="AI86"/>
      <c r="AJ86" s="62"/>
      <c r="AK86" s="62"/>
      <c r="AL86" s="62"/>
      <c r="AM86" s="62"/>
      <c r="AN86" s="62"/>
      <c r="AO86" s="79"/>
    </row>
    <row r="87" spans="1:41" x14ac:dyDescent="0.25">
      <c r="A87" s="24" t="s">
        <v>9</v>
      </c>
      <c r="B87" s="25">
        <v>4</v>
      </c>
      <c r="C87" s="26">
        <v>0</v>
      </c>
      <c r="D87" s="27">
        <v>0</v>
      </c>
      <c r="E87" s="27">
        <v>0</v>
      </c>
      <c r="F87" s="27">
        <v>0</v>
      </c>
      <c r="G87" s="28"/>
      <c r="H87" s="28"/>
      <c r="I87" s="28"/>
      <c r="J87" s="26">
        <f t="array" ref="J87">SUM($G$83:$I$83*DecCours*DecPasse*DecPasse*DecPasse)</f>
        <v>182.47395340042834</v>
      </c>
      <c r="K87" s="27"/>
      <c r="L87" s="30"/>
      <c r="N87" s="62"/>
      <c r="O87" s="62"/>
      <c r="P87" s="62"/>
      <c r="Q87" s="62"/>
      <c r="R87" s="62"/>
      <c r="S87" s="62"/>
      <c r="T87" s="62"/>
      <c r="U87" s="80"/>
      <c r="V87" s="62"/>
      <c r="W87" s="62"/>
      <c r="X87" s="62"/>
      <c r="Y87" s="62"/>
      <c r="Z87" s="62"/>
      <c r="AA87" s="79"/>
      <c r="AB87"/>
      <c r="AC87" s="56"/>
      <c r="AD87" s="70"/>
      <c r="AE87" s="71"/>
      <c r="AF87" s="72"/>
      <c r="AG87" s="72"/>
      <c r="AH87" s="128"/>
      <c r="AI87"/>
      <c r="AJ87" s="62"/>
      <c r="AK87" s="62"/>
      <c r="AL87" s="62"/>
      <c r="AM87" s="62"/>
      <c r="AN87" s="62"/>
      <c r="AO87" s="79"/>
    </row>
    <row r="88" spans="1:41" x14ac:dyDescent="0.25">
      <c r="A88" s="24" t="s">
        <v>9</v>
      </c>
      <c r="B88" s="25">
        <v>5</v>
      </c>
      <c r="C88" s="26">
        <v>0</v>
      </c>
      <c r="D88" s="27">
        <v>0</v>
      </c>
      <c r="E88" s="27">
        <v>0</v>
      </c>
      <c r="F88" s="27">
        <v>0</v>
      </c>
      <c r="G88" s="28"/>
      <c r="H88" s="28"/>
      <c r="I88" s="28"/>
      <c r="J88" s="26">
        <f t="array" ref="J88">SUM($G$83:$I$83*DecCours*DecPasse*DecPasse*DecPasse*DecPasse)</f>
        <v>172.94641124373612</v>
      </c>
      <c r="K88" s="27"/>
      <c r="L88" s="30"/>
      <c r="N88" s="62"/>
      <c r="O88" s="62"/>
      <c r="P88" s="62"/>
      <c r="Q88" s="62"/>
      <c r="R88" s="62"/>
      <c r="S88" s="62"/>
      <c r="T88" s="62"/>
      <c r="U88" s="80"/>
      <c r="V88" s="62"/>
      <c r="W88" s="62"/>
      <c r="X88" s="62"/>
      <c r="Y88" s="62"/>
      <c r="Z88" s="62"/>
      <c r="AA88" s="79"/>
      <c r="AB88"/>
      <c r="AC88" s="56"/>
      <c r="AD88" s="70"/>
      <c r="AE88" s="71"/>
      <c r="AF88" s="72"/>
      <c r="AG88" s="72"/>
      <c r="AH88" s="128"/>
      <c r="AI88"/>
      <c r="AJ88" s="62"/>
      <c r="AK88" s="62"/>
      <c r="AL88" s="62"/>
      <c r="AM88" s="62"/>
      <c r="AN88" s="62"/>
      <c r="AO88" s="79"/>
    </row>
    <row r="89" spans="1:41" x14ac:dyDescent="0.25">
      <c r="A89" s="24" t="s">
        <v>9</v>
      </c>
      <c r="B89" s="25">
        <v>6</v>
      </c>
      <c r="C89" s="26">
        <v>0</v>
      </c>
      <c r="D89" s="27">
        <v>0</v>
      </c>
      <c r="E89" s="27">
        <v>0</v>
      </c>
      <c r="F89" s="27">
        <v>0</v>
      </c>
      <c r="G89" s="28"/>
      <c r="H89" s="28"/>
      <c r="I89" s="28"/>
      <c r="J89" s="26">
        <f t="array" ref="J89">SUM($G$83:$I$83*DecCours*DecPasse^(B89-1))</f>
        <v>165.28310362059068</v>
      </c>
      <c r="K89" s="27"/>
      <c r="L89" s="30"/>
      <c r="N89" s="62"/>
      <c r="O89" s="62"/>
      <c r="P89" s="62"/>
      <c r="Q89" s="62"/>
      <c r="R89" s="62"/>
      <c r="S89" s="62"/>
      <c r="T89" s="62"/>
      <c r="U89" s="80"/>
      <c r="V89" s="62"/>
      <c r="W89" s="62"/>
      <c r="X89" s="62"/>
      <c r="Y89" s="62"/>
      <c r="Z89" s="62"/>
      <c r="AA89" s="79"/>
      <c r="AB89"/>
      <c r="AC89" s="56"/>
      <c r="AD89" s="70"/>
      <c r="AE89" s="71"/>
      <c r="AF89" s="72"/>
      <c r="AG89" s="72"/>
      <c r="AH89" s="128"/>
      <c r="AI89"/>
      <c r="AJ89" s="62"/>
      <c r="AK89" s="62"/>
      <c r="AL89" s="62"/>
      <c r="AM89" s="62"/>
      <c r="AN89" s="62"/>
      <c r="AO89" s="79"/>
    </row>
    <row r="90" spans="1:41" x14ac:dyDescent="0.25">
      <c r="A90" s="24" t="s">
        <v>9</v>
      </c>
      <c r="B90" s="25">
        <v>7</v>
      </c>
      <c r="C90" s="26">
        <v>0</v>
      </c>
      <c r="D90" s="27">
        <v>0</v>
      </c>
      <c r="E90" s="27">
        <v>0</v>
      </c>
      <c r="F90" s="27">
        <v>0</v>
      </c>
      <c r="G90" s="28"/>
      <c r="H90" s="28"/>
      <c r="I90" s="28"/>
      <c r="J90" s="26">
        <f t="array" ref="J90">SUM($G$83:$I$83*DecCours*DecPasse^(B90-1))</f>
        <v>158.95795400494194</v>
      </c>
      <c r="K90" s="27"/>
      <c r="L90" s="30"/>
      <c r="N90" s="62"/>
      <c r="O90" s="62"/>
      <c r="P90" s="62"/>
      <c r="Q90" s="62"/>
      <c r="R90" s="62"/>
      <c r="S90" s="62"/>
      <c r="T90" s="62"/>
      <c r="U90" s="80"/>
      <c r="V90" s="62"/>
      <c r="W90" s="62"/>
      <c r="X90" s="62"/>
      <c r="Y90" s="62"/>
      <c r="Z90" s="62"/>
      <c r="AA90" s="79"/>
      <c r="AB90"/>
      <c r="AC90" s="56"/>
      <c r="AD90" s="70"/>
      <c r="AE90" s="71"/>
      <c r="AF90" s="72"/>
      <c r="AG90" s="72"/>
      <c r="AH90" s="128"/>
      <c r="AI90"/>
      <c r="AJ90" s="62"/>
      <c r="AK90" s="62"/>
      <c r="AL90" s="62"/>
      <c r="AM90" s="62"/>
      <c r="AN90" s="62"/>
      <c r="AO90" s="79"/>
    </row>
    <row r="91" spans="1:41" x14ac:dyDescent="0.25">
      <c r="A91" s="24" t="s">
        <v>9</v>
      </c>
      <c r="B91" s="25">
        <v>8</v>
      </c>
      <c r="C91" s="26">
        <v>0</v>
      </c>
      <c r="D91" s="27">
        <v>0</v>
      </c>
      <c r="E91" s="27">
        <v>0</v>
      </c>
      <c r="F91" s="27">
        <v>0</v>
      </c>
      <c r="G91" s="28"/>
      <c r="H91" s="28"/>
      <c r="I91" s="28"/>
      <c r="J91" s="26">
        <f t="array" ref="J91">SUM($G$83:$I$83*DecCours*DecPasse^(B91-1))</f>
        <v>153.59853031550159</v>
      </c>
      <c r="K91" s="27"/>
      <c r="L91" s="30"/>
      <c r="N91" s="62"/>
      <c r="O91" s="62"/>
      <c r="P91" s="62"/>
      <c r="Q91" s="62"/>
      <c r="R91" s="62"/>
      <c r="S91" s="62"/>
      <c r="T91" s="62"/>
      <c r="U91" s="80"/>
      <c r="V91" s="62"/>
      <c r="W91" s="62"/>
      <c r="X91" s="62"/>
      <c r="Y91" s="62"/>
      <c r="Z91" s="62"/>
      <c r="AA91" s="79"/>
      <c r="AB91"/>
      <c r="AC91" s="56"/>
      <c r="AD91" s="70"/>
      <c r="AE91" s="71"/>
      <c r="AF91" s="72"/>
      <c r="AG91" s="72"/>
      <c r="AH91" s="128"/>
      <c r="AI91"/>
      <c r="AJ91" s="62"/>
      <c r="AK91" s="62"/>
      <c r="AL91" s="62"/>
      <c r="AM91" s="62"/>
      <c r="AN91" s="62"/>
      <c r="AO91" s="79"/>
    </row>
    <row r="92" spans="1:41" x14ac:dyDescent="0.25">
      <c r="A92" s="24" t="s">
        <v>9</v>
      </c>
      <c r="B92" s="25">
        <v>9</v>
      </c>
      <c r="C92" s="26">
        <v>0</v>
      </c>
      <c r="D92" s="27">
        <v>0</v>
      </c>
      <c r="E92" s="27">
        <v>0</v>
      </c>
      <c r="F92" s="27">
        <v>0</v>
      </c>
      <c r="G92" s="28"/>
      <c r="H92" s="28"/>
      <c r="I92" s="28"/>
      <c r="J92" s="26">
        <f t="array" ref="J92">SUM($G$83:$I$83*DecCours*DecPasse^(B92-1))</f>
        <v>148.94105345546353</v>
      </c>
      <c r="K92" s="27"/>
      <c r="L92" s="30"/>
      <c r="N92" s="62"/>
      <c r="O92" s="62"/>
      <c r="P92" s="62"/>
      <c r="Q92" s="62"/>
      <c r="R92" s="62"/>
      <c r="S92" s="62"/>
      <c r="T92" s="62"/>
      <c r="U92" s="80"/>
      <c r="V92" s="62"/>
      <c r="W92" s="62"/>
      <c r="X92" s="62"/>
      <c r="Y92" s="62"/>
      <c r="Z92" s="62"/>
      <c r="AA92" s="79"/>
      <c r="AB92"/>
      <c r="AC92" s="56"/>
      <c r="AD92" s="70"/>
      <c r="AE92" s="71"/>
      <c r="AF92" s="72"/>
      <c r="AG92" s="72"/>
      <c r="AH92" s="128"/>
      <c r="AI92"/>
      <c r="AJ92" s="62"/>
      <c r="AK92" s="62"/>
      <c r="AL92" s="62"/>
      <c r="AM92" s="62"/>
      <c r="AN92" s="62"/>
      <c r="AO92" s="79"/>
    </row>
    <row r="93" spans="1:41" x14ac:dyDescent="0.25">
      <c r="A93" s="24" t="s">
        <v>9</v>
      </c>
      <c r="B93" s="25">
        <v>10</v>
      </c>
      <c r="C93" s="26">
        <v>0</v>
      </c>
      <c r="D93" s="27">
        <v>0</v>
      </c>
      <c r="E93" s="27">
        <v>0</v>
      </c>
      <c r="F93" s="27">
        <v>0</v>
      </c>
      <c r="G93" s="28"/>
      <c r="H93" s="28"/>
      <c r="I93" s="28"/>
      <c r="J93" s="26">
        <f t="array" ref="J93">SUM($G$83:$I$83*DecCours*DecPasse^(B93-1))</f>
        <v>144.79858331421096</v>
      </c>
      <c r="K93" s="27"/>
      <c r="L93" s="30"/>
      <c r="N93" s="62"/>
      <c r="O93" s="62"/>
      <c r="P93" s="62"/>
      <c r="Q93" s="62"/>
      <c r="R93" s="62"/>
      <c r="S93" s="62"/>
      <c r="T93" s="62"/>
      <c r="U93" s="80"/>
      <c r="V93" s="62"/>
      <c r="W93" s="62"/>
      <c r="X93" s="62"/>
      <c r="Y93" s="62"/>
      <c r="Z93" s="62"/>
      <c r="AA93" s="79"/>
      <c r="AB93"/>
      <c r="AC93" s="56"/>
      <c r="AD93" s="70"/>
      <c r="AE93" s="71"/>
      <c r="AF93" s="72"/>
      <c r="AG93" s="72"/>
      <c r="AH93" s="128"/>
      <c r="AI93"/>
      <c r="AJ93" s="62"/>
      <c r="AK93" s="62"/>
      <c r="AL93" s="62"/>
      <c r="AM93" s="62"/>
      <c r="AN93" s="62"/>
      <c r="AO93" s="79"/>
    </row>
    <row r="94" spans="1:41" x14ac:dyDescent="0.25">
      <c r="A94" s="24" t="s">
        <v>9</v>
      </c>
      <c r="B94" s="25">
        <v>11</v>
      </c>
      <c r="C94" s="26">
        <v>0</v>
      </c>
      <c r="D94" s="27">
        <v>0</v>
      </c>
      <c r="E94" s="27">
        <v>0</v>
      </c>
      <c r="F94" s="27">
        <v>0</v>
      </c>
      <c r="G94" s="28"/>
      <c r="H94" s="28"/>
      <c r="I94" s="28"/>
      <c r="J94" s="26">
        <f t="array" ref="J94">SUM($G$83:$I$83*DecCours*DecPasse^(B94-1))</f>
        <v>141.03852264729124</v>
      </c>
      <c r="K94" s="27"/>
      <c r="L94" s="30"/>
      <c r="N94" s="62"/>
      <c r="O94" s="62"/>
      <c r="P94" s="62"/>
      <c r="Q94" s="62"/>
      <c r="R94" s="62"/>
      <c r="S94" s="62"/>
      <c r="T94" s="62"/>
      <c r="U94" s="80"/>
      <c r="V94" s="62"/>
      <c r="W94" s="62"/>
      <c r="X94" s="62"/>
      <c r="Y94" s="62"/>
      <c r="Z94" s="62"/>
      <c r="AA94" s="79"/>
      <c r="AB94"/>
      <c r="AC94" s="56"/>
      <c r="AD94" s="70"/>
      <c r="AE94" s="71"/>
      <c r="AF94" s="72"/>
      <c r="AG94" s="72"/>
      <c r="AH94" s="128"/>
      <c r="AI94"/>
      <c r="AJ94" s="62"/>
      <c r="AK94" s="62"/>
      <c r="AL94" s="62"/>
      <c r="AM94" s="62"/>
      <c r="AN94" s="62"/>
      <c r="AO94" s="79"/>
    </row>
    <row r="95" spans="1:41" x14ac:dyDescent="0.25">
      <c r="A95" s="24" t="s">
        <v>9</v>
      </c>
      <c r="B95" s="25">
        <v>12</v>
      </c>
      <c r="C95" s="26">
        <v>0</v>
      </c>
      <c r="D95" s="27">
        <v>0</v>
      </c>
      <c r="E95" s="27">
        <v>0</v>
      </c>
      <c r="F95" s="27">
        <v>0</v>
      </c>
      <c r="G95" s="28"/>
      <c r="H95" s="28"/>
      <c r="I95" s="28"/>
      <c r="J95" s="26">
        <f t="array" ref="J95">SUM($G$83:$I$83*DecCours*DecPasse^(B95-1))</f>
        <v>137.56670969670165</v>
      </c>
      <c r="K95" s="27"/>
      <c r="L95" s="30"/>
      <c r="N95" s="62"/>
      <c r="O95" s="62"/>
      <c r="P95" s="62"/>
      <c r="Q95" s="62"/>
      <c r="R95" s="62"/>
      <c r="S95" s="62"/>
      <c r="T95" s="62"/>
      <c r="U95" s="80"/>
      <c r="V95" s="62"/>
      <c r="W95" s="62"/>
      <c r="X95" s="62"/>
      <c r="Y95" s="62"/>
      <c r="Z95" s="62"/>
      <c r="AA95" s="79"/>
      <c r="AB95"/>
      <c r="AC95" s="56"/>
      <c r="AD95" s="70"/>
      <c r="AE95" s="71"/>
      <c r="AF95" s="72"/>
      <c r="AG95" s="72"/>
      <c r="AH95" s="128"/>
      <c r="AI95"/>
      <c r="AJ95" s="62"/>
      <c r="AK95" s="62"/>
      <c r="AL95" s="62"/>
      <c r="AM95" s="62"/>
      <c r="AN95" s="62"/>
      <c r="AO95" s="79"/>
    </row>
    <row r="96" spans="1:41" x14ac:dyDescent="0.25">
      <c r="A96" s="24" t="s">
        <v>9</v>
      </c>
      <c r="B96" s="25">
        <v>13</v>
      </c>
      <c r="C96" s="26">
        <v>0</v>
      </c>
      <c r="D96" s="27">
        <v>0</v>
      </c>
      <c r="E96" s="27">
        <v>0</v>
      </c>
      <c r="F96" s="27">
        <v>0</v>
      </c>
      <c r="G96" s="28"/>
      <c r="H96" s="28"/>
      <c r="I96" s="28"/>
      <c r="J96" s="26">
        <f t="array" ref="J96">SUM($G$83:$I$83*DecCours*DecPasse^(B96-1))</f>
        <v>134.31616975939846</v>
      </c>
      <c r="K96" s="27"/>
      <c r="L96" s="30"/>
      <c r="N96" s="62"/>
      <c r="O96" s="62"/>
      <c r="P96" s="62"/>
      <c r="Q96" s="62"/>
      <c r="R96" s="62"/>
      <c r="S96" s="62"/>
      <c r="T96" s="62"/>
      <c r="U96" s="80"/>
      <c r="V96" s="62"/>
      <c r="W96" s="62"/>
      <c r="X96" s="62"/>
      <c r="Y96" s="62"/>
      <c r="Z96" s="62"/>
      <c r="AA96" s="79"/>
      <c r="AB96"/>
      <c r="AC96" s="56"/>
      <c r="AD96" s="70"/>
      <c r="AE96" s="71"/>
      <c r="AF96" s="72"/>
      <c r="AG96" s="72"/>
      <c r="AH96" s="128"/>
      <c r="AI96"/>
      <c r="AJ96" s="62"/>
      <c r="AK96" s="62"/>
      <c r="AL96" s="62"/>
      <c r="AM96" s="62"/>
      <c r="AN96" s="62"/>
      <c r="AO96" s="79"/>
    </row>
    <row r="97" spans="1:41" x14ac:dyDescent="0.25">
      <c r="A97" s="24" t="s">
        <v>9</v>
      </c>
      <c r="B97" s="25">
        <v>14</v>
      </c>
      <c r="C97" s="26">
        <v>0</v>
      </c>
      <c r="D97" s="27">
        <v>0</v>
      </c>
      <c r="E97" s="27">
        <v>0</v>
      </c>
      <c r="F97" s="27">
        <v>0</v>
      </c>
      <c r="G97" s="28"/>
      <c r="H97" s="28"/>
      <c r="I97" s="28"/>
      <c r="J97" s="26">
        <f t="array" ref="J97">SUM($G$83:$I$83*DecCours*DecPasse^(B97-1))</f>
        <v>131.23916113482764</v>
      </c>
      <c r="K97" s="27"/>
      <c r="L97" s="30"/>
      <c r="N97" s="62"/>
      <c r="O97" s="62"/>
      <c r="P97" s="62"/>
      <c r="Q97" s="62"/>
      <c r="R97" s="62"/>
      <c r="S97" s="62"/>
      <c r="T97" s="62"/>
      <c r="U97" s="80"/>
      <c r="V97" s="62"/>
      <c r="W97" s="62"/>
      <c r="X97" s="62"/>
      <c r="Y97" s="62"/>
      <c r="Z97" s="62"/>
      <c r="AA97" s="79"/>
      <c r="AB97"/>
      <c r="AC97" s="56"/>
      <c r="AD97" s="70"/>
      <c r="AE97" s="71"/>
      <c r="AF97" s="72"/>
      <c r="AG97" s="72"/>
      <c r="AH97" s="128"/>
      <c r="AI97"/>
      <c r="AJ97" s="62"/>
      <c r="AK97" s="62"/>
      <c r="AL97" s="62"/>
      <c r="AM97" s="62"/>
      <c r="AN97" s="62"/>
      <c r="AO97" s="79"/>
    </row>
    <row r="98" spans="1:41" x14ac:dyDescent="0.25">
      <c r="A98" s="24" t="s">
        <v>9</v>
      </c>
      <c r="B98" s="25">
        <v>15</v>
      </c>
      <c r="C98" s="26">
        <v>0</v>
      </c>
      <c r="D98" s="27">
        <v>0</v>
      </c>
      <c r="E98" s="27">
        <v>0</v>
      </c>
      <c r="F98" s="27">
        <v>0</v>
      </c>
      <c r="G98" s="28"/>
      <c r="H98" s="28"/>
      <c r="I98" s="28"/>
      <c r="J98" s="26">
        <f t="array" ref="J98">SUM($G$83:$I$83*DecCours*DecPasse^(B98-1))</f>
        <v>128.30155055521743</v>
      </c>
      <c r="K98" s="27"/>
      <c r="L98" s="30"/>
      <c r="N98" s="62"/>
      <c r="O98" s="62"/>
      <c r="P98" s="62"/>
      <c r="Q98" s="62"/>
      <c r="R98" s="62"/>
      <c r="S98" s="62"/>
      <c r="T98" s="62"/>
      <c r="U98" s="80"/>
      <c r="V98" s="62"/>
      <c r="W98" s="62"/>
      <c r="X98" s="62"/>
      <c r="Y98" s="62"/>
      <c r="Z98" s="62"/>
      <c r="AA98" s="79"/>
      <c r="AB98"/>
      <c r="AC98" s="56"/>
      <c r="AD98" s="70"/>
      <c r="AE98" s="71"/>
      <c r="AF98" s="72"/>
      <c r="AG98" s="72"/>
      <c r="AH98" s="128"/>
      <c r="AI98"/>
      <c r="AJ98" s="62"/>
      <c r="AK98" s="62"/>
      <c r="AL98" s="62"/>
      <c r="AM98" s="62"/>
      <c r="AN98" s="62"/>
      <c r="AO98" s="79"/>
    </row>
    <row r="99" spans="1:41" x14ac:dyDescent="0.25">
      <c r="A99" s="24" t="s">
        <v>9</v>
      </c>
      <c r="B99" s="25">
        <v>16</v>
      </c>
      <c r="C99" s="26">
        <v>0</v>
      </c>
      <c r="D99" s="27">
        <v>0</v>
      </c>
      <c r="E99" s="27">
        <v>0</v>
      </c>
      <c r="F99" s="27">
        <v>0</v>
      </c>
      <c r="G99" s="28"/>
      <c r="H99" s="28"/>
      <c r="I99" s="28"/>
      <c r="J99" s="26">
        <f t="array" ref="J99">SUM($G$83:$I$83*DecCours*DecPasse^(B99-1))</f>
        <v>125.47883581381899</v>
      </c>
      <c r="K99" s="27"/>
      <c r="L99" s="30"/>
      <c r="N99" s="62"/>
      <c r="O99" s="62"/>
      <c r="P99" s="62"/>
      <c r="Q99" s="62"/>
      <c r="R99" s="62"/>
      <c r="S99" s="62"/>
      <c r="T99" s="62"/>
      <c r="U99" s="80"/>
      <c r="V99" s="62"/>
      <c r="W99" s="62"/>
      <c r="X99" s="62"/>
      <c r="Y99" s="62"/>
      <c r="Z99" s="62"/>
      <c r="AA99" s="79"/>
      <c r="AB99"/>
      <c r="AC99" s="56"/>
      <c r="AD99" s="70"/>
      <c r="AE99" s="71"/>
      <c r="AF99" s="72"/>
      <c r="AG99" s="72"/>
      <c r="AH99" s="128"/>
      <c r="AI99"/>
      <c r="AJ99" s="62"/>
      <c r="AK99" s="62"/>
      <c r="AL99" s="62"/>
      <c r="AM99" s="62"/>
      <c r="AN99" s="62"/>
      <c r="AO99" s="79"/>
    </row>
    <row r="100" spans="1:41" x14ac:dyDescent="0.25">
      <c r="A100" s="24" t="s">
        <v>9</v>
      </c>
      <c r="B100" s="25">
        <v>17</v>
      </c>
      <c r="C100" s="26">
        <v>0</v>
      </c>
      <c r="D100" s="27">
        <v>0</v>
      </c>
      <c r="E100" s="27">
        <v>0</v>
      </c>
      <c r="F100" s="27">
        <v>0</v>
      </c>
      <c r="G100" s="28"/>
      <c r="H100" s="28"/>
      <c r="I100" s="28"/>
      <c r="J100" s="26">
        <f t="array" ref="J100">SUM($G$83:$I$83*DecCours*DecPasse^(B100-1))</f>
        <v>122.75333314275932</v>
      </c>
      <c r="K100" s="27"/>
      <c r="L100" s="30"/>
      <c r="N100" s="62"/>
      <c r="O100" s="62"/>
      <c r="P100" s="62"/>
      <c r="Q100" s="62"/>
      <c r="R100" s="62"/>
      <c r="S100" s="62"/>
      <c r="T100" s="62"/>
      <c r="U100" s="80"/>
      <c r="V100" s="62"/>
      <c r="W100" s="62"/>
      <c r="X100" s="62"/>
      <c r="Y100" s="62"/>
      <c r="Z100" s="62"/>
      <c r="AA100" s="79"/>
      <c r="AB100"/>
      <c r="AC100" s="56"/>
      <c r="AD100" s="70"/>
      <c r="AE100" s="71"/>
      <c r="AF100" s="72"/>
      <c r="AG100" s="72"/>
      <c r="AH100" s="128"/>
      <c r="AI100"/>
      <c r="AJ100" s="62"/>
      <c r="AK100" s="62"/>
      <c r="AL100" s="62"/>
      <c r="AM100" s="62"/>
      <c r="AN100" s="62"/>
      <c r="AO100" s="79"/>
    </row>
    <row r="101" spans="1:41" x14ac:dyDescent="0.25">
      <c r="A101" s="24" t="s">
        <v>9</v>
      </c>
      <c r="B101" s="25">
        <v>18</v>
      </c>
      <c r="C101" s="26">
        <v>0</v>
      </c>
      <c r="D101" s="27">
        <v>0</v>
      </c>
      <c r="E101" s="27">
        <v>0</v>
      </c>
      <c r="F101" s="27">
        <v>0</v>
      </c>
      <c r="G101" s="28"/>
      <c r="H101" s="28"/>
      <c r="I101" s="28"/>
      <c r="J101" s="26">
        <f t="array" ref="J101">SUM($G$83:$I$83*DecCours*DecPasse^(B101-1))</f>
        <v>120.11218819789883</v>
      </c>
      <c r="K101" s="27"/>
      <c r="L101" s="30"/>
      <c r="N101" s="62"/>
      <c r="O101" s="62"/>
      <c r="P101" s="62"/>
      <c r="Q101" s="62"/>
      <c r="R101" s="62"/>
      <c r="S101" s="62"/>
      <c r="T101" s="62"/>
      <c r="U101" s="80"/>
      <c r="V101" s="62"/>
      <c r="W101" s="62"/>
      <c r="X101" s="62"/>
      <c r="Y101" s="62"/>
      <c r="Z101" s="62"/>
      <c r="AA101" s="79"/>
      <c r="AB101"/>
      <c r="AC101" s="56"/>
      <c r="AD101" s="70"/>
      <c r="AE101" s="71"/>
      <c r="AF101" s="72"/>
      <c r="AG101" s="72"/>
      <c r="AH101" s="128"/>
      <c r="AI101"/>
      <c r="AJ101" s="62"/>
      <c r="AK101" s="62"/>
      <c r="AL101" s="62"/>
      <c r="AM101" s="62"/>
      <c r="AN101" s="62"/>
      <c r="AO101" s="79"/>
    </row>
    <row r="102" spans="1:41" x14ac:dyDescent="0.25">
      <c r="A102" s="24" t="s">
        <v>9</v>
      </c>
      <c r="B102" s="25">
        <v>19</v>
      </c>
      <c r="C102" s="26">
        <v>0</v>
      </c>
      <c r="D102" s="27">
        <v>0</v>
      </c>
      <c r="E102" s="27">
        <v>0</v>
      </c>
      <c r="F102" s="27">
        <v>0</v>
      </c>
      <c r="G102" s="28"/>
      <c r="H102" s="28"/>
      <c r="I102" s="28"/>
      <c r="J102" s="26">
        <f t="array" ref="J102">SUM($G$83:$I$83*DecCours*DecPasse^(B102-1))</f>
        <v>117.54596942632871</v>
      </c>
      <c r="K102" s="27"/>
      <c r="L102" s="30"/>
      <c r="N102" s="62"/>
      <c r="O102" s="62"/>
      <c r="P102" s="62"/>
      <c r="Q102" s="62"/>
      <c r="R102" s="62"/>
      <c r="S102" s="62"/>
      <c r="T102" s="62"/>
      <c r="U102" s="80"/>
      <c r="V102" s="62"/>
      <c r="W102" s="62"/>
      <c r="X102" s="62"/>
      <c r="Y102" s="62"/>
      <c r="Z102" s="62"/>
      <c r="AA102" s="79"/>
      <c r="AB102"/>
      <c r="AC102" s="56"/>
      <c r="AD102" s="70"/>
      <c r="AE102" s="71"/>
      <c r="AF102" s="72"/>
      <c r="AG102" s="72"/>
      <c r="AH102" s="128"/>
      <c r="AI102"/>
      <c r="AJ102" s="62"/>
      <c r="AK102" s="62"/>
      <c r="AL102" s="62"/>
      <c r="AM102" s="62"/>
      <c r="AN102" s="62"/>
      <c r="AO102" s="79"/>
    </row>
    <row r="103" spans="1:41" x14ac:dyDescent="0.25">
      <c r="A103" s="24" t="s">
        <v>9</v>
      </c>
      <c r="B103" s="25">
        <v>20</v>
      </c>
      <c r="C103" s="26">
        <v>0</v>
      </c>
      <c r="D103" s="27">
        <v>0</v>
      </c>
      <c r="E103" s="27">
        <v>0</v>
      </c>
      <c r="F103" s="27">
        <v>0</v>
      </c>
      <c r="G103" s="28"/>
      <c r="H103" s="28"/>
      <c r="I103" s="28"/>
      <c r="J103" s="26">
        <f t="array" ref="J103">SUM($G$83:$I$83*DecCours*DecPasse^(B103-1))</f>
        <v>115.0476732450132</v>
      </c>
      <c r="K103" s="27"/>
      <c r="L103" s="30"/>
      <c r="N103" s="62"/>
      <c r="O103" s="62"/>
      <c r="P103" s="62"/>
      <c r="Q103" s="62"/>
      <c r="R103" s="62"/>
      <c r="S103" s="62"/>
      <c r="T103" s="62"/>
      <c r="U103" s="80"/>
      <c r="V103" s="62"/>
      <c r="W103" s="62"/>
      <c r="X103" s="62"/>
      <c r="Y103" s="62"/>
      <c r="Z103" s="62"/>
      <c r="AA103" s="79"/>
      <c r="AB103"/>
      <c r="AC103" s="56"/>
      <c r="AD103" s="70"/>
      <c r="AE103" s="71"/>
      <c r="AF103" s="72"/>
      <c r="AG103" s="72"/>
      <c r="AH103" s="128"/>
      <c r="AI103"/>
      <c r="AJ103" s="62"/>
      <c r="AK103" s="62"/>
      <c r="AL103" s="62"/>
      <c r="AM103" s="62"/>
      <c r="AN103" s="62"/>
      <c r="AO103" s="79"/>
    </row>
    <row r="104" spans="1:41" x14ac:dyDescent="0.25">
      <c r="A104" s="24" t="s">
        <v>9</v>
      </c>
      <c r="B104" s="25">
        <v>21</v>
      </c>
      <c r="C104" s="26">
        <v>0</v>
      </c>
      <c r="D104" s="27">
        <v>0</v>
      </c>
      <c r="E104" s="27">
        <v>0</v>
      </c>
      <c r="F104" s="27">
        <v>0</v>
      </c>
      <c r="G104" s="28"/>
      <c r="H104" s="28"/>
      <c r="I104" s="28"/>
      <c r="J104" s="26">
        <f t="array" ref="J104">SUM($G$83:$I$83*DecCours*DecPasse^(B104-1))</f>
        <v>112.6120204182085</v>
      </c>
      <c r="K104" s="27"/>
      <c r="L104" s="30"/>
      <c r="N104" s="62"/>
      <c r="O104" s="62"/>
      <c r="P104" s="62"/>
      <c r="Q104" s="62"/>
      <c r="R104" s="62"/>
      <c r="S104" s="62"/>
      <c r="T104" s="62"/>
      <c r="U104" s="80"/>
      <c r="V104" s="62"/>
      <c r="W104" s="62"/>
      <c r="X104" s="62"/>
      <c r="Y104" s="62"/>
      <c r="Z104" s="62"/>
      <c r="AA104" s="79"/>
      <c r="AB104"/>
      <c r="AC104" s="56"/>
      <c r="AD104" s="70"/>
      <c r="AE104" s="71"/>
      <c r="AF104" s="72"/>
      <c r="AG104" s="72"/>
      <c r="AH104" s="128"/>
      <c r="AI104"/>
      <c r="AJ104" s="62"/>
      <c r="AK104" s="62"/>
      <c r="AL104" s="62"/>
      <c r="AM104" s="62"/>
      <c r="AN104" s="62"/>
      <c r="AO104" s="79"/>
    </row>
    <row r="105" spans="1:41" x14ac:dyDescent="0.25">
      <c r="A105" s="24" t="s">
        <v>9</v>
      </c>
      <c r="B105" s="25">
        <v>22</v>
      </c>
      <c r="C105" s="26">
        <v>0</v>
      </c>
      <c r="D105" s="27">
        <v>0</v>
      </c>
      <c r="E105" s="27">
        <v>0</v>
      </c>
      <c r="F105" s="27">
        <v>0</v>
      </c>
      <c r="G105" s="28"/>
      <c r="H105" s="28"/>
      <c r="I105" s="28"/>
      <c r="J105" s="26">
        <f t="array" ref="J105">SUM($G$83:$I$83*DecCours*DecPasse^(B105-1))</f>
        <v>110.23495834772783</v>
      </c>
      <c r="K105" s="27"/>
      <c r="L105" s="30"/>
      <c r="N105" s="62"/>
      <c r="O105" s="62"/>
      <c r="P105" s="62"/>
      <c r="Q105" s="62"/>
      <c r="R105" s="62"/>
      <c r="S105" s="62"/>
      <c r="T105" s="62"/>
      <c r="U105" s="80"/>
      <c r="V105" s="62"/>
      <c r="W105" s="62"/>
      <c r="X105" s="62"/>
      <c r="Y105" s="62"/>
      <c r="Z105" s="62"/>
      <c r="AA105" s="79"/>
      <c r="AB105"/>
      <c r="AC105" s="56"/>
      <c r="AD105" s="70"/>
      <c r="AE105" s="71"/>
      <c r="AF105" s="72"/>
      <c r="AG105" s="72"/>
      <c r="AH105" s="128"/>
      <c r="AI105"/>
      <c r="AJ105" s="62"/>
      <c r="AK105" s="62"/>
      <c r="AL105" s="62"/>
      <c r="AM105" s="62"/>
      <c r="AN105" s="62"/>
      <c r="AO105" s="79"/>
    </row>
    <row r="106" spans="1:41" x14ac:dyDescent="0.25">
      <c r="A106" s="24" t="s">
        <v>9</v>
      </c>
      <c r="B106" s="25">
        <v>23</v>
      </c>
      <c r="C106" s="26">
        <v>0</v>
      </c>
      <c r="D106" s="27">
        <v>0</v>
      </c>
      <c r="E106" s="27">
        <v>0</v>
      </c>
      <c r="F106" s="27">
        <v>0</v>
      </c>
      <c r="G106" s="28"/>
      <c r="H106" s="28"/>
      <c r="I106" s="28"/>
      <c r="J106" s="26">
        <f t="array" ref="J106">SUM($G$83:$I$83*DecCours*DecPasse^(B106-1))</f>
        <v>107.91330896969221</v>
      </c>
      <c r="K106" s="27"/>
      <c r="L106" s="30"/>
      <c r="N106" s="62"/>
      <c r="O106" s="62"/>
      <c r="P106" s="62"/>
      <c r="Q106" s="62"/>
      <c r="R106" s="62"/>
      <c r="S106" s="62"/>
      <c r="T106" s="62"/>
      <c r="U106" s="80"/>
      <c r="V106" s="62"/>
      <c r="W106" s="62"/>
      <c r="X106" s="62"/>
      <c r="Y106" s="62"/>
      <c r="Z106" s="62"/>
      <c r="AA106" s="79"/>
      <c r="AB106"/>
      <c r="AC106" s="56"/>
      <c r="AD106" s="70"/>
      <c r="AE106" s="71"/>
      <c r="AF106" s="72"/>
      <c r="AG106" s="72"/>
      <c r="AH106" s="128"/>
      <c r="AI106"/>
      <c r="AJ106" s="62"/>
      <c r="AK106" s="62"/>
      <c r="AL106" s="62"/>
      <c r="AM106" s="62"/>
      <c r="AN106" s="62"/>
      <c r="AO106" s="79"/>
    </row>
    <row r="107" spans="1:41" x14ac:dyDescent="0.25">
      <c r="A107" s="24" t="s">
        <v>9</v>
      </c>
      <c r="B107" s="25">
        <v>24</v>
      </c>
      <c r="C107" s="26">
        <v>0</v>
      </c>
      <c r="D107" s="27">
        <v>0</v>
      </c>
      <c r="E107" s="27">
        <v>0</v>
      </c>
      <c r="F107" s="27">
        <v>0</v>
      </c>
      <c r="G107" s="28"/>
      <c r="H107" s="28"/>
      <c r="I107" s="28"/>
      <c r="J107" s="26">
        <f t="array" ref="J107">SUM($G$83:$I$83*DecCours*DecPasse^(B107-1))</f>
        <v>105.64451961462869</v>
      </c>
      <c r="K107" s="27"/>
      <c r="L107" s="30"/>
      <c r="N107" s="62"/>
      <c r="O107" s="62"/>
      <c r="P107" s="62"/>
      <c r="Q107" s="62"/>
      <c r="R107" s="62"/>
      <c r="S107" s="62"/>
      <c r="T107" s="62"/>
      <c r="U107" s="80"/>
      <c r="V107" s="62"/>
      <c r="W107" s="62"/>
      <c r="X107" s="62"/>
      <c r="Y107" s="62"/>
      <c r="Z107" s="62"/>
      <c r="AA107" s="79"/>
      <c r="AB107"/>
      <c r="AC107" s="56"/>
      <c r="AD107" s="70"/>
      <c r="AE107" s="71"/>
      <c r="AF107" s="72"/>
      <c r="AG107" s="72"/>
      <c r="AH107" s="128"/>
      <c r="AI107"/>
      <c r="AJ107" s="62"/>
      <c r="AK107" s="62"/>
      <c r="AL107" s="62"/>
      <c r="AM107" s="62"/>
      <c r="AN107" s="62"/>
      <c r="AO107" s="79"/>
    </row>
    <row r="108" spans="1:41" x14ac:dyDescent="0.25">
      <c r="A108" s="24" t="s">
        <v>9</v>
      </c>
      <c r="B108" s="25">
        <v>25</v>
      </c>
      <c r="C108" s="26">
        <v>0</v>
      </c>
      <c r="D108" s="27">
        <v>0</v>
      </c>
      <c r="E108" s="27">
        <v>0</v>
      </c>
      <c r="F108" s="27">
        <v>0</v>
      </c>
      <c r="G108" s="28"/>
      <c r="H108" s="28"/>
      <c r="I108" s="28"/>
      <c r="J108" s="26">
        <f t="array" ref="J108">SUM($G$83:$I$83*DecCours*DecPasse^(B108-1))</f>
        <v>103.42648667756649</v>
      </c>
      <c r="K108" s="27"/>
      <c r="L108" s="30"/>
      <c r="N108" s="62"/>
      <c r="O108" s="62"/>
      <c r="P108" s="62"/>
      <c r="Q108" s="62"/>
      <c r="R108" s="62"/>
      <c r="S108" s="62"/>
      <c r="T108" s="62"/>
      <c r="U108" s="80"/>
      <c r="V108" s="62"/>
      <c r="W108" s="62"/>
      <c r="X108" s="62"/>
      <c r="Y108" s="62"/>
      <c r="Z108" s="62"/>
      <c r="AA108" s="79"/>
      <c r="AB108"/>
      <c r="AC108" s="56"/>
      <c r="AD108" s="70"/>
      <c r="AE108" s="71"/>
      <c r="AF108" s="72"/>
      <c r="AG108" s="72"/>
      <c r="AH108" s="128"/>
      <c r="AI108"/>
      <c r="AJ108" s="62"/>
      <c r="AK108" s="62"/>
      <c r="AL108" s="62"/>
      <c r="AM108" s="62"/>
      <c r="AN108" s="62"/>
      <c r="AO108" s="79"/>
    </row>
    <row r="109" spans="1:41" x14ac:dyDescent="0.25">
      <c r="A109" s="24" t="s">
        <v>9</v>
      </c>
      <c r="B109" s="25">
        <v>26</v>
      </c>
      <c r="C109" s="26">
        <v>0</v>
      </c>
      <c r="D109" s="27">
        <v>0</v>
      </c>
      <c r="E109" s="27">
        <v>0</v>
      </c>
      <c r="F109" s="27">
        <v>0</v>
      </c>
      <c r="G109" s="28"/>
      <c r="H109" s="28"/>
      <c r="I109" s="28"/>
      <c r="J109" s="26">
        <f t="array" ref="J109">SUM($G$83:$I$83*DecCours*DecPasse^(B109-1))</f>
        <v>101.25743077639856</v>
      </c>
      <c r="K109" s="27"/>
      <c r="L109" s="30"/>
      <c r="N109" s="62"/>
      <c r="O109" s="62"/>
      <c r="P109" s="62"/>
      <c r="Q109" s="62"/>
      <c r="R109" s="62"/>
      <c r="S109" s="62"/>
      <c r="T109" s="62"/>
      <c r="U109" s="80"/>
      <c r="V109" s="62"/>
      <c r="W109" s="62"/>
      <c r="X109" s="62"/>
      <c r="Y109" s="62"/>
      <c r="Z109" s="62"/>
      <c r="AA109" s="79"/>
      <c r="AB109"/>
      <c r="AC109" s="56"/>
      <c r="AD109" s="70"/>
      <c r="AE109" s="71"/>
      <c r="AF109" s="72"/>
      <c r="AG109" s="72"/>
      <c r="AH109" s="128"/>
      <c r="AI109"/>
      <c r="AJ109" s="62"/>
      <c r="AK109" s="62"/>
      <c r="AL109" s="62"/>
      <c r="AM109" s="62"/>
      <c r="AN109" s="62"/>
      <c r="AO109" s="79"/>
    </row>
    <row r="110" spans="1:41" x14ac:dyDescent="0.25">
      <c r="A110" s="24" t="s">
        <v>9</v>
      </c>
      <c r="B110" s="25">
        <v>27</v>
      </c>
      <c r="C110" s="26">
        <v>0</v>
      </c>
      <c r="D110" s="27">
        <v>0</v>
      </c>
      <c r="E110" s="27">
        <v>0</v>
      </c>
      <c r="F110" s="27">
        <v>0</v>
      </c>
      <c r="G110" s="28"/>
      <c r="H110" s="28"/>
      <c r="I110" s="28"/>
      <c r="J110" s="26">
        <f t="array" ref="J110">SUM($G$83:$I$83*DecCours*DecPasse^(B110-1))</f>
        <v>99.13580832167294</v>
      </c>
      <c r="K110" s="27"/>
      <c r="L110" s="30"/>
      <c r="N110" s="62"/>
      <c r="O110" s="62"/>
      <c r="P110" s="62"/>
      <c r="Q110" s="62"/>
      <c r="R110" s="62"/>
      <c r="S110" s="62"/>
      <c r="T110" s="62"/>
      <c r="U110" s="80"/>
      <c r="V110" s="62"/>
      <c r="W110" s="62"/>
      <c r="X110" s="62"/>
      <c r="Y110" s="62"/>
      <c r="Z110" s="62"/>
      <c r="AA110" s="79"/>
      <c r="AB110"/>
      <c r="AC110" s="56"/>
      <c r="AD110" s="70"/>
      <c r="AE110" s="71"/>
      <c r="AF110" s="72"/>
      <c r="AG110" s="72"/>
      <c r="AH110" s="128"/>
      <c r="AI110"/>
      <c r="AJ110" s="62"/>
      <c r="AK110" s="62"/>
      <c r="AL110" s="62"/>
      <c r="AM110" s="62"/>
      <c r="AN110" s="62"/>
      <c r="AO110" s="79"/>
    </row>
    <row r="111" spans="1:41" x14ac:dyDescent="0.25">
      <c r="A111" s="24" t="s">
        <v>9</v>
      </c>
      <c r="B111" s="25">
        <v>28</v>
      </c>
      <c r="C111" s="26">
        <v>0</v>
      </c>
      <c r="D111" s="27">
        <v>0</v>
      </c>
      <c r="E111" s="27">
        <v>0</v>
      </c>
      <c r="F111" s="27">
        <v>0</v>
      </c>
      <c r="G111" s="28"/>
      <c r="H111" s="28"/>
      <c r="I111" s="28"/>
      <c r="J111" s="26">
        <f t="array" ref="J111">SUM($G$83:$I$83*DecCours*DecPasse^(B111-1))</f>
        <v>97.060248836791445</v>
      </c>
      <c r="K111" s="27"/>
      <c r="L111" s="30"/>
      <c r="N111" s="62"/>
      <c r="O111" s="62"/>
      <c r="P111" s="62"/>
      <c r="Q111" s="62"/>
      <c r="R111" s="62"/>
      <c r="S111" s="62"/>
      <c r="T111" s="62"/>
      <c r="U111" s="80"/>
      <c r="V111" s="62"/>
      <c r="W111" s="62"/>
      <c r="X111" s="62"/>
      <c r="Y111" s="62"/>
      <c r="Z111" s="62"/>
      <c r="AA111" s="79"/>
      <c r="AB111"/>
      <c r="AC111" s="56"/>
      <c r="AD111" s="70"/>
      <c r="AE111" s="71"/>
      <c r="AF111" s="72"/>
      <c r="AG111" s="72"/>
      <c r="AH111" s="128"/>
      <c r="AI111"/>
      <c r="AJ111" s="62"/>
      <c r="AK111" s="62"/>
      <c r="AL111" s="62"/>
      <c r="AM111" s="62"/>
      <c r="AN111" s="62"/>
      <c r="AO111" s="79"/>
    </row>
    <row r="112" spans="1:41" x14ac:dyDescent="0.25">
      <c r="A112" s="24" t="s">
        <v>9</v>
      </c>
      <c r="B112" s="25">
        <v>29</v>
      </c>
      <c r="C112" s="26">
        <v>0</v>
      </c>
      <c r="D112" s="27">
        <v>0</v>
      </c>
      <c r="E112" s="27">
        <v>0</v>
      </c>
      <c r="F112" s="27">
        <v>0</v>
      </c>
      <c r="G112" s="28"/>
      <c r="H112" s="28"/>
      <c r="I112" s="28"/>
      <c r="J112" s="26">
        <f t="array" ref="J112">SUM($G$83:$I$83*DecCours*DecPasse^(B112-1))</f>
        <v>95.029510490045681</v>
      </c>
      <c r="K112" s="27"/>
      <c r="L112" s="30"/>
      <c r="N112" s="62"/>
      <c r="O112" s="62"/>
      <c r="P112" s="62"/>
      <c r="Q112" s="62"/>
      <c r="R112" s="62"/>
      <c r="S112" s="62"/>
      <c r="T112" s="62"/>
      <c r="U112" s="80"/>
      <c r="V112" s="62"/>
      <c r="W112" s="62"/>
      <c r="X112" s="62"/>
      <c r="Y112" s="62"/>
      <c r="Z112" s="62"/>
      <c r="AA112" s="79"/>
      <c r="AB112"/>
      <c r="AC112" s="56"/>
      <c r="AD112" s="70"/>
      <c r="AE112" s="71"/>
      <c r="AF112" s="72"/>
      <c r="AG112" s="72"/>
      <c r="AH112" s="128"/>
      <c r="AI112"/>
      <c r="AJ112" s="62"/>
      <c r="AK112" s="62"/>
      <c r="AL112" s="62"/>
      <c r="AM112" s="62"/>
      <c r="AN112" s="62"/>
      <c r="AO112" s="79"/>
    </row>
    <row r="113" spans="1:41" x14ac:dyDescent="0.25">
      <c r="A113" s="24" t="s">
        <v>9</v>
      </c>
      <c r="B113" s="25">
        <v>30</v>
      </c>
      <c r="C113" s="26">
        <v>0</v>
      </c>
      <c r="D113" s="27">
        <v>0</v>
      </c>
      <c r="E113" s="27">
        <v>0</v>
      </c>
      <c r="F113" s="27">
        <v>0</v>
      </c>
      <c r="G113" s="28"/>
      <c r="H113" s="28"/>
      <c r="I113" s="28"/>
      <c r="J113" s="26">
        <f t="array" ref="J113">SUM($G$83:$I$83*DecCours*DecPasse^(B113-1))</f>
        <v>93.042448507830343</v>
      </c>
      <c r="K113" s="27"/>
      <c r="L113" s="30"/>
      <c r="N113" s="62"/>
      <c r="O113" s="62"/>
      <c r="P113" s="62"/>
      <c r="Q113" s="62"/>
      <c r="R113" s="62"/>
      <c r="S113" s="62"/>
      <c r="T113" s="62"/>
      <c r="U113" s="80"/>
      <c r="V113" s="62"/>
      <c r="W113" s="62"/>
      <c r="X113" s="62"/>
      <c r="Y113" s="62"/>
      <c r="Z113" s="62"/>
      <c r="AA113" s="79"/>
      <c r="AB113"/>
      <c r="AC113" s="56"/>
      <c r="AD113" s="70"/>
      <c r="AE113" s="71"/>
      <c r="AF113" s="72"/>
      <c r="AG113" s="72"/>
      <c r="AH113" s="128"/>
      <c r="AI113"/>
      <c r="AJ113" s="62"/>
      <c r="AK113" s="62"/>
      <c r="AL113" s="62"/>
      <c r="AM113" s="62"/>
      <c r="AN113" s="62"/>
      <c r="AO113" s="79"/>
    </row>
    <row r="114" spans="1:41" x14ac:dyDescent="0.25">
      <c r="A114" s="24" t="s">
        <v>9</v>
      </c>
      <c r="B114" s="25">
        <v>31</v>
      </c>
      <c r="C114" s="26">
        <v>0</v>
      </c>
      <c r="D114" s="27">
        <v>0</v>
      </c>
      <c r="E114" s="27">
        <v>0</v>
      </c>
      <c r="F114" s="27">
        <v>0</v>
      </c>
      <c r="G114" s="28"/>
      <c r="H114" s="28"/>
      <c r="I114" s="28"/>
      <c r="J114" s="26">
        <f t="array" ref="J114">SUM($G$83:$I$83*DecCours*DecPasse^(B114-1))</f>
        <v>91.097992699604006</v>
      </c>
      <c r="K114" s="27"/>
      <c r="L114" s="30"/>
      <c r="N114" s="62"/>
      <c r="O114" s="62"/>
      <c r="P114" s="62"/>
      <c r="Q114" s="62"/>
      <c r="R114" s="62"/>
      <c r="S114" s="62"/>
      <c r="T114" s="62"/>
      <c r="U114" s="80"/>
      <c r="V114" s="62"/>
      <c r="W114" s="62"/>
      <c r="X114" s="62"/>
      <c r="Y114" s="62"/>
      <c r="Z114" s="62"/>
      <c r="AA114" s="79"/>
      <c r="AB114"/>
      <c r="AC114" s="56"/>
      <c r="AD114" s="70"/>
      <c r="AE114" s="71"/>
      <c r="AF114" s="72"/>
      <c r="AG114" s="72"/>
      <c r="AH114" s="128"/>
      <c r="AI114"/>
      <c r="AJ114" s="62"/>
      <c r="AK114" s="62"/>
      <c r="AL114" s="62"/>
      <c r="AM114" s="62"/>
      <c r="AN114" s="62"/>
      <c r="AO114" s="79"/>
    </row>
    <row r="115" spans="1:41" x14ac:dyDescent="0.25">
      <c r="A115" s="24" t="s">
        <v>9</v>
      </c>
      <c r="B115" s="25">
        <v>32</v>
      </c>
      <c r="C115" s="26">
        <v>0</v>
      </c>
      <c r="D115" s="27">
        <v>0</v>
      </c>
      <c r="E115" s="27">
        <v>0</v>
      </c>
      <c r="F115" s="27">
        <v>0</v>
      </c>
      <c r="G115" s="28"/>
      <c r="H115" s="28"/>
      <c r="I115" s="28"/>
      <c r="J115" s="26">
        <f t="array" ref="J115">SUM($G$83:$I$83*DecCours*DecPasse^(B115-1))</f>
        <v>89.195131429126022</v>
      </c>
      <c r="K115" s="27"/>
      <c r="L115" s="30"/>
      <c r="N115" s="62"/>
      <c r="O115" s="62"/>
      <c r="P115" s="62"/>
      <c r="Q115" s="62"/>
      <c r="R115" s="62"/>
      <c r="S115" s="62"/>
      <c r="T115" s="62"/>
      <c r="U115" s="80"/>
      <c r="V115" s="62"/>
      <c r="W115" s="62"/>
      <c r="X115" s="62"/>
      <c r="Y115" s="62"/>
      <c r="Z115" s="62"/>
      <c r="AA115" s="79"/>
      <c r="AB115"/>
      <c r="AC115" s="56"/>
      <c r="AD115" s="70"/>
      <c r="AE115" s="71"/>
      <c r="AF115" s="72"/>
      <c r="AG115" s="72"/>
      <c r="AH115" s="128"/>
      <c r="AI115"/>
      <c r="AJ115" s="62"/>
      <c r="AK115" s="62"/>
      <c r="AL115" s="62"/>
      <c r="AM115" s="62"/>
      <c r="AN115" s="62"/>
      <c r="AO115" s="79"/>
    </row>
    <row r="116" spans="1:41" x14ac:dyDescent="0.25">
      <c r="A116" s="24" t="s">
        <v>9</v>
      </c>
      <c r="B116" s="25">
        <v>33</v>
      </c>
      <c r="C116" s="26">
        <v>0</v>
      </c>
      <c r="D116" s="27">
        <v>0</v>
      </c>
      <c r="E116" s="27">
        <v>0</v>
      </c>
      <c r="F116" s="27">
        <v>0</v>
      </c>
      <c r="G116" s="28"/>
      <c r="H116" s="28"/>
      <c r="I116" s="28"/>
      <c r="J116" s="26">
        <f t="array" ref="J116">SUM($G$83:$I$83*DecCours*DecPasse^(B116-1))</f>
        <v>87.332900147116945</v>
      </c>
      <c r="K116" s="27"/>
      <c r="L116" s="30"/>
      <c r="N116" s="62"/>
      <c r="O116" s="62"/>
      <c r="P116" s="62"/>
      <c r="Q116" s="62"/>
      <c r="R116" s="62"/>
      <c r="S116" s="62"/>
      <c r="T116" s="62"/>
      <c r="U116" s="80"/>
      <c r="V116" s="62"/>
      <c r="W116" s="62"/>
      <c r="X116" s="62"/>
      <c r="Y116" s="62"/>
      <c r="Z116" s="62"/>
      <c r="AA116" s="79"/>
      <c r="AB116"/>
      <c r="AC116" s="56"/>
      <c r="AD116" s="70"/>
      <c r="AE116" s="71"/>
      <c r="AF116" s="72"/>
      <c r="AG116" s="72"/>
      <c r="AH116" s="128"/>
      <c r="AI116"/>
      <c r="AJ116" s="62"/>
      <c r="AK116" s="62"/>
      <c r="AL116" s="62"/>
      <c r="AM116" s="62"/>
      <c r="AN116" s="62"/>
      <c r="AO116" s="79"/>
    </row>
    <row r="117" spans="1:41" x14ac:dyDescent="0.25">
      <c r="A117" s="24" t="s">
        <v>9</v>
      </c>
      <c r="B117" s="25">
        <v>34</v>
      </c>
      <c r="C117" s="26">
        <v>0</v>
      </c>
      <c r="D117" s="27">
        <v>0</v>
      </c>
      <c r="E117" s="27">
        <v>0</v>
      </c>
      <c r="F117" s="27">
        <v>0</v>
      </c>
      <c r="G117" s="28"/>
      <c r="H117" s="28"/>
      <c r="I117" s="28"/>
      <c r="J117" s="26">
        <f t="array" ref="J117">SUM($G$83:$I$83*DecCours*DecPasse^(B117-1))</f>
        <v>85.510373152472425</v>
      </c>
      <c r="K117" s="27"/>
      <c r="L117" s="30"/>
      <c r="N117" s="62"/>
      <c r="O117" s="62"/>
      <c r="P117" s="62"/>
      <c r="Q117" s="62"/>
      <c r="R117" s="62"/>
      <c r="S117" s="62"/>
      <c r="T117" s="62"/>
      <c r="U117" s="80"/>
      <c r="V117" s="62"/>
      <c r="W117" s="62"/>
      <c r="X117" s="62"/>
      <c r="Y117" s="62"/>
      <c r="Z117" s="62"/>
      <c r="AA117" s="79"/>
      <c r="AB117"/>
      <c r="AC117" s="56"/>
      <c r="AD117" s="70"/>
      <c r="AE117" s="71"/>
      <c r="AF117" s="72"/>
      <c r="AG117" s="72"/>
      <c r="AH117" s="128"/>
      <c r="AI117"/>
      <c r="AJ117" s="62"/>
      <c r="AK117" s="62"/>
      <c r="AL117" s="62"/>
      <c r="AM117" s="62"/>
      <c r="AN117" s="62"/>
      <c r="AO117" s="79"/>
    </row>
    <row r="118" spans="1:41" x14ac:dyDescent="0.25">
      <c r="A118" s="24" t="s">
        <v>9</v>
      </c>
      <c r="B118" s="25">
        <v>35</v>
      </c>
      <c r="C118" s="26">
        <v>0</v>
      </c>
      <c r="D118" s="27">
        <v>0</v>
      </c>
      <c r="E118" s="27">
        <v>0</v>
      </c>
      <c r="F118" s="27">
        <v>0</v>
      </c>
      <c r="G118" s="28"/>
      <c r="H118" s="28"/>
      <c r="I118" s="28"/>
      <c r="J118" s="26">
        <f t="array" ref="J118">SUM($G$83:$I$83*DecCours*DecPasse^(B118-1))</f>
        <v>83.726657639472805</v>
      </c>
      <c r="K118" s="27"/>
      <c r="L118" s="30"/>
      <c r="N118" s="62"/>
      <c r="O118" s="62"/>
      <c r="P118" s="62"/>
      <c r="Q118" s="62"/>
      <c r="R118" s="62"/>
      <c r="S118" s="62"/>
      <c r="T118" s="62"/>
      <c r="U118" s="80"/>
      <c r="V118" s="62"/>
      <c r="W118" s="62"/>
      <c r="X118" s="62"/>
      <c r="Y118" s="62"/>
      <c r="Z118" s="62"/>
      <c r="AA118" s="79"/>
      <c r="AB118"/>
      <c r="AC118" s="56"/>
      <c r="AD118" s="70"/>
      <c r="AE118" s="71"/>
      <c r="AF118" s="72"/>
      <c r="AG118" s="72"/>
      <c r="AH118" s="128"/>
      <c r="AI118"/>
      <c r="AJ118" s="62"/>
      <c r="AK118" s="62"/>
      <c r="AL118" s="62"/>
      <c r="AM118" s="62"/>
      <c r="AN118" s="62"/>
      <c r="AO118" s="79"/>
    </row>
    <row r="119" spans="1:41" x14ac:dyDescent="0.25">
      <c r="A119" s="24" t="s">
        <v>9</v>
      </c>
      <c r="B119" s="25">
        <v>36</v>
      </c>
      <c r="C119" s="26">
        <v>0</v>
      </c>
      <c r="D119" s="27">
        <v>0</v>
      </c>
      <c r="E119" s="27">
        <v>0</v>
      </c>
      <c r="F119" s="27">
        <v>0</v>
      </c>
      <c r="G119" s="28"/>
      <c r="H119" s="28"/>
      <c r="I119" s="28"/>
      <c r="J119" s="26">
        <f t="array" ref="J119">SUM($G$83:$I$83*DecCours*DecPasse^(B119-1))</f>
        <v>81.980889364426289</v>
      </c>
      <c r="K119" s="27"/>
      <c r="L119" s="30"/>
      <c r="N119" s="62"/>
      <c r="O119" s="62"/>
      <c r="P119" s="62"/>
      <c r="Q119" s="62"/>
      <c r="R119" s="62"/>
      <c r="S119" s="62"/>
      <c r="T119" s="62"/>
      <c r="U119" s="80"/>
      <c r="V119" s="62"/>
      <c r="W119" s="62"/>
      <c r="X119" s="62"/>
      <c r="Y119" s="62"/>
      <c r="Z119" s="62"/>
      <c r="AA119" s="79"/>
      <c r="AB119"/>
      <c r="AC119" s="56"/>
      <c r="AD119" s="70"/>
      <c r="AE119" s="71"/>
      <c r="AF119" s="72"/>
      <c r="AG119" s="72"/>
      <c r="AH119" s="128"/>
      <c r="AI119"/>
      <c r="AJ119" s="62"/>
      <c r="AK119" s="62"/>
      <c r="AL119" s="62"/>
      <c r="AM119" s="62"/>
      <c r="AN119" s="62"/>
      <c r="AO119" s="79"/>
    </row>
    <row r="120" spans="1:41" x14ac:dyDescent="0.25">
      <c r="A120" s="24" t="s">
        <v>9</v>
      </c>
      <c r="B120" s="25">
        <v>37</v>
      </c>
      <c r="C120" s="26">
        <v>0</v>
      </c>
      <c r="D120" s="27">
        <v>0</v>
      </c>
      <c r="E120" s="27">
        <v>0</v>
      </c>
      <c r="F120" s="27">
        <v>0</v>
      </c>
      <c r="G120" s="28"/>
      <c r="H120" s="28"/>
      <c r="I120" s="28"/>
      <c r="J120" s="26">
        <f t="array" ref="J120">SUM($G$83:$I$83*DecCours*DecPasse^(B120-1))</f>
        <v>80.272229460341805</v>
      </c>
      <c r="K120" s="27"/>
      <c r="L120" s="30"/>
      <c r="N120" s="62"/>
      <c r="O120" s="62"/>
      <c r="P120" s="62"/>
      <c r="Q120" s="62"/>
      <c r="R120" s="62"/>
      <c r="S120" s="62"/>
      <c r="T120" s="62"/>
      <c r="U120" s="80"/>
      <c r="V120" s="62"/>
      <c r="W120" s="62"/>
      <c r="X120" s="62"/>
      <c r="Y120" s="62"/>
      <c r="Z120" s="62"/>
      <c r="AA120" s="79"/>
      <c r="AB120"/>
      <c r="AC120" s="56"/>
      <c r="AD120" s="70"/>
      <c r="AE120" s="71"/>
      <c r="AF120" s="72"/>
      <c r="AG120" s="72"/>
      <c r="AH120" s="128"/>
      <c r="AI120"/>
      <c r="AJ120" s="62"/>
      <c r="AK120" s="62"/>
      <c r="AL120" s="62"/>
      <c r="AM120" s="62"/>
      <c r="AN120" s="62"/>
      <c r="AO120" s="79"/>
    </row>
    <row r="121" spans="1:41" x14ac:dyDescent="0.25">
      <c r="A121" s="24" t="s">
        <v>9</v>
      </c>
      <c r="B121" s="25">
        <v>38</v>
      </c>
      <c r="C121" s="26">
        <v>0</v>
      </c>
      <c r="D121" s="27">
        <v>0</v>
      </c>
      <c r="E121" s="27">
        <v>0</v>
      </c>
      <c r="F121" s="27">
        <v>0</v>
      </c>
      <c r="G121" s="28"/>
      <c r="H121" s="28"/>
      <c r="I121" s="28"/>
      <c r="J121" s="26">
        <f t="array" ref="J121">SUM($G$83:$I$83*DecCours*DecPasse^(B121-1))</f>
        <v>78.599862066228866</v>
      </c>
      <c r="K121" s="27"/>
      <c r="L121" s="30"/>
      <c r="N121" s="62"/>
      <c r="O121" s="62"/>
      <c r="P121" s="62"/>
      <c r="Q121" s="62"/>
      <c r="R121" s="62"/>
      <c r="S121" s="62"/>
      <c r="T121" s="62"/>
      <c r="U121" s="80"/>
      <c r="V121" s="62"/>
      <c r="W121" s="62"/>
      <c r="X121" s="62"/>
      <c r="Y121" s="62"/>
      <c r="Z121" s="62"/>
      <c r="AA121" s="79"/>
      <c r="AB121"/>
      <c r="AC121" s="56"/>
      <c r="AD121" s="70"/>
      <c r="AE121" s="71"/>
      <c r="AF121" s="72"/>
      <c r="AG121" s="72"/>
      <c r="AH121" s="128"/>
      <c r="AI121"/>
      <c r="AJ121" s="62"/>
      <c r="AK121" s="62"/>
      <c r="AL121" s="62"/>
      <c r="AM121" s="62"/>
      <c r="AN121" s="62"/>
      <c r="AO121" s="79"/>
    </row>
    <row r="122" spans="1:41" x14ac:dyDescent="0.25">
      <c r="A122" s="24" t="s">
        <v>9</v>
      </c>
      <c r="B122" s="25">
        <v>39</v>
      </c>
      <c r="C122" s="26">
        <v>0</v>
      </c>
      <c r="D122" s="27">
        <v>0</v>
      </c>
      <c r="E122" s="27">
        <v>0</v>
      </c>
      <c r="F122" s="27">
        <v>0</v>
      </c>
      <c r="G122" s="28"/>
      <c r="H122" s="28"/>
      <c r="I122" s="28"/>
      <c r="J122" s="26">
        <f t="array" ref="J122">SUM($G$83:$I$83*DecCours*DecPasse^(B122-1))</f>
        <v>76.962992535204222</v>
      </c>
      <c r="K122" s="27"/>
      <c r="L122" s="30"/>
      <c r="N122" s="62"/>
      <c r="O122" s="62"/>
      <c r="P122" s="62"/>
      <c r="Q122" s="62"/>
      <c r="R122" s="62"/>
      <c r="S122" s="62"/>
      <c r="T122" s="62"/>
      <c r="U122" s="80"/>
      <c r="V122" s="62"/>
      <c r="W122" s="62"/>
      <c r="X122" s="62"/>
      <c r="Y122" s="62"/>
      <c r="Z122" s="62"/>
      <c r="AA122" s="79"/>
      <c r="AB122"/>
      <c r="AC122" s="56"/>
      <c r="AD122" s="70"/>
      <c r="AE122" s="71"/>
      <c r="AF122" s="72"/>
      <c r="AG122" s="72"/>
      <c r="AH122" s="128"/>
      <c r="AI122"/>
      <c r="AJ122" s="62"/>
      <c r="AK122" s="62"/>
      <c r="AL122" s="62"/>
      <c r="AM122" s="62"/>
      <c r="AN122" s="62"/>
      <c r="AO122" s="79"/>
    </row>
    <row r="123" spans="1:41" x14ac:dyDescent="0.25">
      <c r="A123" s="24" t="s">
        <v>9</v>
      </c>
      <c r="B123" s="25">
        <v>40</v>
      </c>
      <c r="C123" s="26">
        <v>0</v>
      </c>
      <c r="D123" s="27">
        <v>0</v>
      </c>
      <c r="E123" s="27">
        <v>0</v>
      </c>
      <c r="F123" s="27">
        <v>0</v>
      </c>
      <c r="G123" s="28"/>
      <c r="H123" s="28"/>
      <c r="I123" s="28"/>
      <c r="J123" s="26">
        <f t="array" ref="J123">SUM($G$83:$I$83*DecCours*DecPasse^(B123-1))</f>
        <v>75.360846054587995</v>
      </c>
      <c r="K123" s="27"/>
      <c r="L123" s="30"/>
      <c r="N123" s="62"/>
      <c r="O123" s="62"/>
      <c r="P123" s="62"/>
      <c r="Q123" s="62"/>
      <c r="R123" s="62"/>
      <c r="S123" s="62"/>
      <c r="T123" s="62"/>
      <c r="U123" s="80"/>
      <c r="V123" s="62"/>
      <c r="W123" s="62"/>
      <c r="X123" s="62"/>
      <c r="Y123" s="62"/>
      <c r="Z123" s="62"/>
      <c r="AA123" s="79"/>
      <c r="AB123"/>
      <c r="AC123" s="56"/>
      <c r="AD123" s="70"/>
      <c r="AE123" s="71"/>
      <c r="AF123" s="72"/>
      <c r="AG123" s="72"/>
      <c r="AH123" s="128"/>
      <c r="AI123"/>
      <c r="AJ123" s="62"/>
      <c r="AK123" s="62"/>
      <c r="AL123" s="62"/>
      <c r="AM123" s="62"/>
      <c r="AN123" s="62"/>
      <c r="AO123" s="79"/>
    </row>
    <row r="124" spans="1:41" x14ac:dyDescent="0.25">
      <c r="A124" s="24" t="s">
        <v>9</v>
      </c>
      <c r="B124" s="25">
        <v>41</v>
      </c>
      <c r="C124" s="26">
        <v>0</v>
      </c>
      <c r="D124" s="27">
        <v>0</v>
      </c>
      <c r="E124" s="27">
        <v>0</v>
      </c>
      <c r="F124" s="27">
        <v>0</v>
      </c>
      <c r="G124" s="28"/>
      <c r="H124" s="28"/>
      <c r="I124" s="28"/>
      <c r="J124" s="26">
        <f t="array" ref="J124">SUM($G$83:$I$83*DecCours*DecPasse^(B124-1))</f>
        <v>73.792666559967032</v>
      </c>
      <c r="K124" s="27"/>
      <c r="L124" s="30"/>
      <c r="N124" s="62"/>
      <c r="O124" s="62"/>
      <c r="P124" s="62"/>
      <c r="Q124" s="62"/>
      <c r="R124" s="62"/>
      <c r="S124" s="62"/>
      <c r="T124" s="62"/>
      <c r="U124" s="80"/>
      <c r="V124" s="62"/>
      <c r="W124" s="62"/>
      <c r="X124" s="62"/>
      <c r="Y124" s="62"/>
      <c r="Z124" s="62"/>
      <c r="AA124" s="79"/>
      <c r="AB124"/>
      <c r="AC124" s="56"/>
      <c r="AD124" s="70"/>
      <c r="AE124" s="71"/>
      <c r="AF124" s="72"/>
      <c r="AG124" s="72"/>
      <c r="AH124" s="128"/>
      <c r="AI124"/>
      <c r="AJ124" s="62"/>
      <c r="AK124" s="62"/>
      <c r="AL124" s="62"/>
      <c r="AM124" s="62"/>
      <c r="AN124" s="62"/>
      <c r="AO124" s="79"/>
    </row>
    <row r="125" spans="1:41" x14ac:dyDescent="0.25">
      <c r="A125" s="24" t="s">
        <v>9</v>
      </c>
      <c r="B125" s="25">
        <v>42</v>
      </c>
      <c r="C125" s="26">
        <v>0</v>
      </c>
      <c r="D125" s="27">
        <v>0</v>
      </c>
      <c r="E125" s="27">
        <v>0</v>
      </c>
      <c r="F125" s="27">
        <v>0</v>
      </c>
      <c r="G125" s="28"/>
      <c r="H125" s="28"/>
      <c r="I125" s="28"/>
      <c r="J125" s="26">
        <f t="array" ref="J125">SUM($G$83:$I$83*DecCours*DecPasse^(B125-1))</f>
        <v>72.257715859706295</v>
      </c>
      <c r="K125" s="27"/>
      <c r="L125" s="30"/>
      <c r="N125" s="62"/>
      <c r="O125" s="62"/>
      <c r="P125" s="62"/>
      <c r="Q125" s="62"/>
      <c r="R125" s="62"/>
      <c r="S125" s="62"/>
      <c r="T125" s="62"/>
      <c r="U125" s="80"/>
      <c r="V125" s="62"/>
      <c r="W125" s="62"/>
      <c r="X125" s="62"/>
      <c r="Y125" s="62"/>
      <c r="Z125" s="62"/>
      <c r="AA125" s="79"/>
      <c r="AB125"/>
      <c r="AC125" s="56"/>
      <c r="AD125" s="70"/>
      <c r="AE125" s="71"/>
      <c r="AF125" s="72"/>
      <c r="AG125" s="72"/>
      <c r="AH125" s="128"/>
      <c r="AI125"/>
      <c r="AJ125" s="62"/>
      <c r="AK125" s="62"/>
      <c r="AL125" s="62"/>
      <c r="AM125" s="62"/>
      <c r="AN125" s="62"/>
      <c r="AO125" s="79"/>
    </row>
    <row r="126" spans="1:41" x14ac:dyDescent="0.25">
      <c r="A126" s="24" t="s">
        <v>9</v>
      </c>
      <c r="B126" s="25">
        <v>43</v>
      </c>
      <c r="C126" s="26">
        <v>0</v>
      </c>
      <c r="D126" s="27">
        <v>0</v>
      </c>
      <c r="E126" s="27">
        <v>0</v>
      </c>
      <c r="F126" s="27">
        <v>0</v>
      </c>
      <c r="G126" s="28"/>
      <c r="H126" s="28"/>
      <c r="I126" s="28"/>
      <c r="J126" s="26">
        <f t="array" ref="J126">SUM($G$83:$I$83*DecCours*DecPasse^(B126-1))</f>
        <v>70.755272910790097</v>
      </c>
      <c r="K126" s="27"/>
      <c r="L126" s="30"/>
      <c r="N126" s="62"/>
      <c r="O126" s="62"/>
      <c r="P126" s="62"/>
      <c r="Q126" s="62"/>
      <c r="R126" s="62"/>
      <c r="S126" s="62"/>
      <c r="T126" s="62"/>
      <c r="U126" s="80"/>
      <c r="V126" s="62"/>
      <c r="W126" s="62"/>
      <c r="X126" s="62"/>
      <c r="Y126" s="62"/>
      <c r="Z126" s="62"/>
      <c r="AA126" s="79"/>
      <c r="AB126"/>
      <c r="AC126" s="56"/>
      <c r="AD126" s="70"/>
      <c r="AE126" s="71"/>
      <c r="AF126" s="72"/>
      <c r="AG126" s="72"/>
      <c r="AH126" s="128"/>
      <c r="AI126"/>
      <c r="AJ126" s="62"/>
      <c r="AK126" s="62"/>
      <c r="AL126" s="62"/>
      <c r="AM126" s="62"/>
      <c r="AN126" s="62"/>
      <c r="AO126" s="79"/>
    </row>
    <row r="127" spans="1:41" x14ac:dyDescent="0.25">
      <c r="A127" s="24" t="s">
        <v>9</v>
      </c>
      <c r="B127" s="25">
        <v>44</v>
      </c>
      <c r="C127" s="26">
        <v>0</v>
      </c>
      <c r="D127" s="27">
        <v>0</v>
      </c>
      <c r="E127" s="27">
        <v>0</v>
      </c>
      <c r="F127" s="27">
        <v>0</v>
      </c>
      <c r="G127" s="28"/>
      <c r="H127" s="28"/>
      <c r="I127" s="28"/>
      <c r="J127" s="26">
        <f t="array" ref="J127">SUM($G$83:$I$83*DecCours*DecPasse^(B127-1))</f>
        <v>69.284633204129321</v>
      </c>
      <c r="K127" s="27"/>
      <c r="L127" s="30"/>
      <c r="N127" s="62"/>
      <c r="O127" s="62"/>
      <c r="P127" s="62"/>
      <c r="Q127" s="62"/>
      <c r="R127" s="62"/>
      <c r="S127" s="62"/>
      <c r="T127" s="62"/>
      <c r="U127" s="80"/>
      <c r="V127" s="62"/>
      <c r="W127" s="62"/>
      <c r="X127" s="62"/>
      <c r="Y127" s="62"/>
      <c r="Z127" s="62"/>
      <c r="AA127" s="79"/>
      <c r="AB127"/>
      <c r="AC127" s="56"/>
      <c r="AD127" s="70"/>
      <c r="AE127" s="71"/>
      <c r="AF127" s="72"/>
      <c r="AG127" s="72"/>
      <c r="AH127" s="128"/>
      <c r="AI127"/>
      <c r="AJ127" s="62"/>
      <c r="AK127" s="62"/>
      <c r="AL127" s="62"/>
      <c r="AM127" s="62"/>
      <c r="AN127" s="62"/>
      <c r="AO127" s="79"/>
    </row>
    <row r="128" spans="1:41" x14ac:dyDescent="0.25">
      <c r="A128" s="24" t="s">
        <v>9</v>
      </c>
      <c r="B128" s="25">
        <v>45</v>
      </c>
      <c r="C128" s="26">
        <v>0</v>
      </c>
      <c r="D128" s="27">
        <v>0</v>
      </c>
      <c r="E128" s="27">
        <v>0</v>
      </c>
      <c r="F128" s="27">
        <v>0</v>
      </c>
      <c r="G128" s="28"/>
      <c r="H128" s="28"/>
      <c r="I128" s="28"/>
      <c r="J128" s="26">
        <f t="array" ref="J128">SUM($G$83:$I$83*DecCours*DecPasse^(B128-1))</f>
        <v>67.84510822967296</v>
      </c>
      <c r="K128" s="27"/>
      <c r="L128" s="30"/>
      <c r="N128" s="62"/>
      <c r="O128" s="62"/>
      <c r="P128" s="62"/>
      <c r="Q128" s="62"/>
      <c r="R128" s="62"/>
      <c r="S128" s="62"/>
      <c r="T128" s="62"/>
      <c r="U128" s="80"/>
      <c r="V128" s="62"/>
      <c r="W128" s="62"/>
      <c r="X128" s="62"/>
      <c r="Y128" s="62"/>
      <c r="Z128" s="62"/>
      <c r="AA128" s="79"/>
      <c r="AB128"/>
      <c r="AC128" s="56"/>
      <c r="AD128" s="70"/>
      <c r="AE128" s="71"/>
      <c r="AF128" s="72"/>
      <c r="AG128" s="72"/>
      <c r="AH128" s="128"/>
      <c r="AI128"/>
      <c r="AJ128" s="62"/>
      <c r="AK128" s="62"/>
      <c r="AL128" s="62"/>
      <c r="AM128" s="62"/>
      <c r="AN128" s="62"/>
      <c r="AO128" s="79"/>
    </row>
    <row r="129" spans="1:41" x14ac:dyDescent="0.25">
      <c r="A129" s="24" t="s">
        <v>9</v>
      </c>
      <c r="B129" s="25">
        <v>46</v>
      </c>
      <c r="C129" s="26">
        <v>0</v>
      </c>
      <c r="D129" s="27">
        <v>0</v>
      </c>
      <c r="E129" s="27">
        <v>0</v>
      </c>
      <c r="F129" s="27">
        <v>0</v>
      </c>
      <c r="G129" s="28"/>
      <c r="H129" s="28"/>
      <c r="I129" s="28"/>
      <c r="J129" s="26">
        <f t="array" ref="J129">SUM($G$83:$I$83*DecCours*DecPasse^(B129-1))</f>
        <v>66.436025000293029</v>
      </c>
      <c r="K129" s="27"/>
      <c r="L129" s="30"/>
      <c r="N129" s="62"/>
      <c r="O129" s="62"/>
      <c r="P129" s="62"/>
      <c r="Q129" s="62"/>
      <c r="R129" s="62"/>
      <c r="S129" s="62"/>
      <c r="T129" s="62"/>
      <c r="U129" s="80"/>
      <c r="V129" s="62"/>
      <c r="W129" s="62"/>
      <c r="X129" s="62"/>
      <c r="Y129" s="62"/>
      <c r="Z129" s="62"/>
      <c r="AA129" s="79"/>
      <c r="AB129"/>
      <c r="AC129" s="56"/>
      <c r="AD129" s="70"/>
      <c r="AE129" s="71"/>
      <c r="AF129" s="72"/>
      <c r="AG129" s="72"/>
      <c r="AH129" s="128"/>
      <c r="AI129"/>
      <c r="AJ129" s="62"/>
      <c r="AK129" s="62"/>
      <c r="AL129" s="62"/>
      <c r="AM129" s="62"/>
      <c r="AN129" s="62"/>
      <c r="AO129" s="79"/>
    </row>
    <row r="130" spans="1:41" x14ac:dyDescent="0.25">
      <c r="A130" s="24" t="s">
        <v>9</v>
      </c>
      <c r="B130" s="25">
        <v>47</v>
      </c>
      <c r="C130" s="26">
        <v>0</v>
      </c>
      <c r="D130" s="27">
        <v>0</v>
      </c>
      <c r="E130" s="27">
        <v>0</v>
      </c>
      <c r="F130" s="27">
        <v>0</v>
      </c>
      <c r="G130" s="28"/>
      <c r="H130" s="28"/>
      <c r="I130" s="28"/>
      <c r="J130" s="26">
        <f t="array" ref="J130">SUM($G$83:$I$83*DecCours*DecPasse^(B130-1))</f>
        <v>65.056725619514751</v>
      </c>
      <c r="K130" s="27"/>
      <c r="L130" s="30"/>
      <c r="N130" s="62"/>
      <c r="O130" s="62"/>
      <c r="P130" s="62"/>
      <c r="Q130" s="62"/>
      <c r="R130" s="62"/>
      <c r="S130" s="62"/>
      <c r="T130" s="62"/>
      <c r="U130" s="80"/>
      <c r="V130" s="62"/>
      <c r="W130" s="62"/>
      <c r="X130" s="62"/>
      <c r="Y130" s="62"/>
      <c r="Z130" s="62"/>
      <c r="AA130" s="79"/>
      <c r="AB130"/>
      <c r="AC130" s="56"/>
      <c r="AD130" s="70"/>
      <c r="AE130" s="71"/>
      <c r="AF130" s="72"/>
      <c r="AG130" s="72"/>
      <c r="AH130" s="128"/>
      <c r="AI130"/>
      <c r="AJ130" s="62"/>
      <c r="AK130" s="62"/>
      <c r="AL130" s="62"/>
      <c r="AM130" s="62"/>
      <c r="AN130" s="62"/>
      <c r="AO130" s="79"/>
    </row>
    <row r="131" spans="1:41" x14ac:dyDescent="0.25">
      <c r="A131" s="24" t="s">
        <v>9</v>
      </c>
      <c r="B131" s="25">
        <v>48</v>
      </c>
      <c r="C131" s="26">
        <v>0</v>
      </c>
      <c r="D131" s="27">
        <v>0</v>
      </c>
      <c r="E131" s="27">
        <v>0</v>
      </c>
      <c r="F131" s="27">
        <v>0</v>
      </c>
      <c r="G131" s="28"/>
      <c r="H131" s="28"/>
      <c r="I131" s="28"/>
      <c r="J131" s="26">
        <f t="array" ref="J131">SUM($G$83:$I$83*DecCours*DecPasse^(B131-1))</f>
        <v>63.706566882481901</v>
      </c>
      <c r="K131" s="27"/>
      <c r="L131" s="30"/>
      <c r="N131" s="62"/>
      <c r="O131" s="62"/>
      <c r="P131" s="62"/>
      <c r="Q131" s="62"/>
      <c r="R131" s="62"/>
      <c r="S131" s="62"/>
      <c r="T131" s="62"/>
      <c r="U131" s="80"/>
      <c r="V131" s="62"/>
      <c r="W131" s="62"/>
      <c r="X131" s="62"/>
      <c r="Y131" s="62"/>
      <c r="Z131" s="62"/>
      <c r="AA131" s="79"/>
      <c r="AB131"/>
      <c r="AC131" s="56"/>
      <c r="AD131" s="70"/>
      <c r="AE131" s="71"/>
      <c r="AF131" s="72"/>
      <c r="AG131" s="72"/>
      <c r="AH131" s="128"/>
      <c r="AI131"/>
      <c r="AJ131" s="62"/>
      <c r="AK131" s="62"/>
      <c r="AL131" s="62"/>
      <c r="AM131" s="62"/>
      <c r="AN131" s="62"/>
      <c r="AO131" s="79"/>
    </row>
    <row r="132" spans="1:41" x14ac:dyDescent="0.25">
      <c r="A132" s="24" t="s">
        <v>9</v>
      </c>
      <c r="B132" s="25">
        <v>49</v>
      </c>
      <c r="C132" s="26">
        <v>0</v>
      </c>
      <c r="D132" s="27">
        <v>0</v>
      </c>
      <c r="E132" s="27">
        <v>0</v>
      </c>
      <c r="F132" s="27">
        <v>0</v>
      </c>
      <c r="G132" s="28"/>
      <c r="H132" s="28"/>
      <c r="I132" s="28"/>
      <c r="J132" s="26">
        <f t="array" ref="J132">SUM($G$83:$I$83*DecCours*DecPasse^(B132-1))</f>
        <v>62.384919902601041</v>
      </c>
      <c r="K132" s="27"/>
      <c r="L132" s="30"/>
      <c r="N132" s="62"/>
      <c r="O132" s="62"/>
      <c r="P132" s="62"/>
      <c r="Q132" s="62"/>
      <c r="R132" s="62"/>
      <c r="S132" s="62"/>
      <c r="T132" s="62"/>
      <c r="U132" s="80"/>
      <c r="V132" s="62"/>
      <c r="W132" s="62"/>
      <c r="X132" s="62"/>
      <c r="Y132" s="62"/>
      <c r="Z132" s="62"/>
      <c r="AA132" s="79"/>
      <c r="AB132"/>
      <c r="AC132" s="56"/>
      <c r="AD132" s="70"/>
      <c r="AE132" s="71"/>
      <c r="AF132" s="72"/>
      <c r="AG132" s="72"/>
      <c r="AH132" s="128"/>
      <c r="AI132"/>
      <c r="AJ132" s="62"/>
      <c r="AK132" s="62"/>
      <c r="AL132" s="62"/>
      <c r="AM132" s="62"/>
      <c r="AN132" s="62"/>
      <c r="AO132" s="79"/>
    </row>
    <row r="133" spans="1:41" x14ac:dyDescent="0.25">
      <c r="A133" s="24" t="s">
        <v>9</v>
      </c>
      <c r="B133" s="25">
        <v>50</v>
      </c>
      <c r="C133" s="26">
        <v>0</v>
      </c>
      <c r="D133" s="27">
        <v>0</v>
      </c>
      <c r="E133" s="27">
        <v>0</v>
      </c>
      <c r="F133" s="27">
        <v>0</v>
      </c>
      <c r="G133" s="28"/>
      <c r="H133" s="28"/>
      <c r="I133" s="28"/>
      <c r="J133" s="26">
        <f t="array" ref="J133">SUM($G$83:$I$83*DecCours*DecPasse^(B133-1))</f>
        <v>61.09116975846932</v>
      </c>
      <c r="K133" s="27"/>
      <c r="L133" s="30"/>
      <c r="N133" s="62"/>
      <c r="O133" s="62"/>
      <c r="P133" s="62"/>
      <c r="Q133" s="62"/>
      <c r="R133" s="62"/>
      <c r="S133" s="62"/>
      <c r="T133" s="62"/>
      <c r="U133" s="80"/>
      <c r="V133" s="62"/>
      <c r="W133" s="62"/>
      <c r="X133" s="62"/>
      <c r="Y133" s="62"/>
      <c r="Z133" s="62"/>
      <c r="AA133" s="79"/>
      <c r="AB133"/>
      <c r="AC133" s="56"/>
      <c r="AD133" s="70"/>
      <c r="AE133" s="71"/>
      <c r="AF133" s="72"/>
      <c r="AG133" s="72"/>
      <c r="AH133" s="128"/>
      <c r="AI133"/>
      <c r="AJ133" s="62"/>
      <c r="AK133" s="62"/>
      <c r="AL133" s="62"/>
      <c r="AM133" s="62"/>
      <c r="AN133" s="62"/>
      <c r="AO133" s="79"/>
    </row>
    <row r="134" spans="1:41" x14ac:dyDescent="0.25">
      <c r="A134" s="24" t="s">
        <v>9</v>
      </c>
      <c r="B134" s="25">
        <v>51</v>
      </c>
      <c r="C134" s="26">
        <v>0</v>
      </c>
      <c r="D134" s="27">
        <v>0</v>
      </c>
      <c r="E134" s="27">
        <v>0</v>
      </c>
      <c r="F134" s="27">
        <v>0</v>
      </c>
      <c r="G134" s="28"/>
      <c r="H134" s="28"/>
      <c r="I134" s="28"/>
      <c r="J134" s="26">
        <f t="array" ref="J134">SUM($G$83:$I$83*DecCours*DecPasse^(B134-1))</f>
        <v>59.824715157220211</v>
      </c>
      <c r="K134" s="27"/>
      <c r="L134" s="30"/>
      <c r="N134" s="62"/>
      <c r="O134" s="62"/>
      <c r="P134" s="62"/>
      <c r="Q134" s="62"/>
      <c r="R134" s="62"/>
      <c r="S134" s="62"/>
      <c r="T134" s="62"/>
      <c r="U134" s="80"/>
      <c r="V134" s="62"/>
      <c r="W134" s="62"/>
      <c r="X134" s="62"/>
      <c r="Y134" s="62"/>
      <c r="Z134" s="62"/>
      <c r="AA134" s="79"/>
      <c r="AB134"/>
      <c r="AC134" s="56"/>
      <c r="AD134" s="70"/>
      <c r="AE134" s="71"/>
      <c r="AF134" s="72"/>
      <c r="AG134" s="72"/>
      <c r="AH134" s="128"/>
      <c r="AI134"/>
      <c r="AJ134" s="62"/>
      <c r="AK134" s="62"/>
      <c r="AL134" s="62"/>
      <c r="AM134" s="62"/>
      <c r="AN134" s="62"/>
      <c r="AO134" s="79"/>
    </row>
    <row r="135" spans="1:41" x14ac:dyDescent="0.25">
      <c r="A135" s="24" t="s">
        <v>9</v>
      </c>
      <c r="B135" s="25">
        <v>52</v>
      </c>
      <c r="C135" s="26">
        <v>0</v>
      </c>
      <c r="D135" s="27">
        <v>0</v>
      </c>
      <c r="E135" s="27">
        <v>0</v>
      </c>
      <c r="F135" s="27">
        <v>0</v>
      </c>
      <c r="G135" s="28"/>
      <c r="H135" s="28"/>
      <c r="I135" s="28"/>
      <c r="J135" s="26">
        <f t="array" ref="J135">SUM($G$83:$I$83*DecCours*DecPasse^(B135-1))</f>
        <v>58.584968111503528</v>
      </c>
      <c r="K135" s="27"/>
      <c r="L135" s="30"/>
      <c r="N135" s="62"/>
      <c r="O135" s="62"/>
      <c r="P135" s="62"/>
      <c r="Q135" s="62"/>
      <c r="R135" s="62"/>
      <c r="S135" s="62"/>
      <c r="T135" s="62"/>
      <c r="U135" s="80"/>
      <c r="V135" s="62"/>
      <c r="W135" s="62"/>
      <c r="X135" s="62"/>
      <c r="Y135" s="62"/>
      <c r="Z135" s="62"/>
      <c r="AA135" s="79"/>
      <c r="AB135"/>
      <c r="AC135" s="56"/>
      <c r="AD135" s="70"/>
      <c r="AE135" s="71"/>
      <c r="AF135" s="72"/>
      <c r="AG135" s="72"/>
      <c r="AH135" s="128"/>
      <c r="AI135"/>
      <c r="AJ135" s="62"/>
      <c r="AK135" s="62"/>
      <c r="AL135" s="62"/>
      <c r="AM135" s="62"/>
      <c r="AN135" s="62"/>
      <c r="AO135" s="79"/>
    </row>
    <row r="136" spans="1:41" x14ac:dyDescent="0.25">
      <c r="A136" s="24" t="s">
        <v>9</v>
      </c>
      <c r="B136" s="25">
        <v>53</v>
      </c>
      <c r="C136" s="26">
        <v>0</v>
      </c>
      <c r="D136" s="27">
        <v>0</v>
      </c>
      <c r="E136" s="27">
        <v>0</v>
      </c>
      <c r="F136" s="27">
        <v>0</v>
      </c>
      <c r="G136" s="28"/>
      <c r="H136" s="28"/>
      <c r="I136" s="28"/>
      <c r="J136" s="26">
        <f t="array" ref="J136">SUM($G$83:$I$83*DecCours*DecPasse^(B136-1))</f>
        <v>57.37135362808344</v>
      </c>
      <c r="K136" s="27"/>
      <c r="L136" s="30"/>
      <c r="N136" s="62"/>
      <c r="O136" s="62"/>
      <c r="P136" s="62"/>
      <c r="Q136" s="62"/>
      <c r="R136" s="62"/>
      <c r="S136" s="62"/>
      <c r="T136" s="62"/>
      <c r="U136" s="80"/>
      <c r="V136" s="62"/>
      <c r="W136" s="62"/>
      <c r="X136" s="62"/>
      <c r="Y136" s="62"/>
      <c r="Z136" s="62"/>
      <c r="AA136" s="79"/>
      <c r="AB136"/>
      <c r="AC136" s="56"/>
      <c r="AD136" s="70"/>
      <c r="AE136" s="71"/>
      <c r="AF136" s="72"/>
      <c r="AG136" s="72"/>
      <c r="AH136" s="128"/>
      <c r="AI136"/>
      <c r="AJ136" s="62"/>
      <c r="AK136" s="62"/>
      <c r="AL136" s="62"/>
      <c r="AM136" s="62"/>
      <c r="AN136" s="62"/>
      <c r="AO136" s="79"/>
    </row>
    <row r="137" spans="1:41" x14ac:dyDescent="0.25">
      <c r="A137" s="24" t="s">
        <v>9</v>
      </c>
      <c r="B137" s="25">
        <v>54</v>
      </c>
      <c r="C137" s="26">
        <v>0</v>
      </c>
      <c r="D137" s="27">
        <v>0</v>
      </c>
      <c r="E137" s="27">
        <v>0</v>
      </c>
      <c r="F137" s="27">
        <v>0</v>
      </c>
      <c r="G137" s="28"/>
      <c r="H137" s="28"/>
      <c r="I137" s="28"/>
      <c r="J137" s="26">
        <f t="array" ref="J137">SUM($G$83:$I$83*DecCours*DecPasse^(B137-1))</f>
        <v>56.18330940658123</v>
      </c>
      <c r="K137" s="27"/>
      <c r="L137" s="30"/>
      <c r="N137" s="62"/>
      <c r="O137" s="62"/>
      <c r="P137" s="62"/>
      <c r="Q137" s="62"/>
      <c r="R137" s="62"/>
      <c r="S137" s="62"/>
      <c r="T137" s="62"/>
      <c r="U137" s="80"/>
      <c r="V137" s="62"/>
      <c r="W137" s="62"/>
      <c r="X137" s="62"/>
      <c r="Y137" s="62"/>
      <c r="Z137" s="62"/>
      <c r="AA137" s="79"/>
      <c r="AB137"/>
      <c r="AC137" s="56"/>
      <c r="AD137" s="70"/>
      <c r="AE137" s="71"/>
      <c r="AF137" s="72"/>
      <c r="AG137" s="72"/>
      <c r="AH137" s="128"/>
      <c r="AI137"/>
      <c r="AJ137" s="62"/>
      <c r="AK137" s="62"/>
      <c r="AL137" s="62"/>
      <c r="AM137" s="62"/>
      <c r="AN137" s="62"/>
      <c r="AO137" s="79"/>
    </row>
    <row r="138" spans="1:41" x14ac:dyDescent="0.25">
      <c r="A138" s="24" t="s">
        <v>9</v>
      </c>
      <c r="B138" s="25">
        <v>55</v>
      </c>
      <c r="C138" s="26">
        <v>0</v>
      </c>
      <c r="D138" s="27">
        <v>0</v>
      </c>
      <c r="E138" s="27">
        <v>0</v>
      </c>
      <c r="F138" s="27">
        <v>0</v>
      </c>
      <c r="G138" s="28"/>
      <c r="H138" s="28"/>
      <c r="I138" s="28"/>
      <c r="J138" s="26">
        <f t="array" ref="J138">SUM($G$83:$I$83*DecCours*DecPasse^(B138-1))</f>
        <v>55.020285547275009</v>
      </c>
      <c r="K138" s="27"/>
      <c r="L138" s="30"/>
      <c r="N138" s="62"/>
      <c r="O138" s="62"/>
      <c r="P138" s="62"/>
      <c r="Q138" s="62"/>
      <c r="R138" s="62"/>
      <c r="S138" s="62"/>
      <c r="T138" s="62"/>
      <c r="U138" s="80"/>
      <c r="V138" s="62"/>
      <c r="W138" s="62"/>
      <c r="X138" s="62"/>
      <c r="Y138" s="62"/>
      <c r="Z138" s="62"/>
      <c r="AA138" s="79"/>
      <c r="AB138"/>
      <c r="AC138" s="56"/>
      <c r="AD138" s="70"/>
      <c r="AE138" s="71"/>
      <c r="AF138" s="72"/>
      <c r="AG138" s="72"/>
      <c r="AH138" s="128"/>
      <c r="AI138"/>
      <c r="AJ138" s="62"/>
      <c r="AK138" s="62"/>
      <c r="AL138" s="62"/>
      <c r="AM138" s="62"/>
      <c r="AN138" s="62"/>
      <c r="AO138" s="79"/>
    </row>
    <row r="139" spans="1:41" x14ac:dyDescent="0.25">
      <c r="A139" s="24" t="s">
        <v>9</v>
      </c>
      <c r="B139" s="25">
        <v>56</v>
      </c>
      <c r="C139" s="26">
        <v>0</v>
      </c>
      <c r="D139" s="27">
        <v>0</v>
      </c>
      <c r="E139" s="27">
        <v>0</v>
      </c>
      <c r="F139" s="27">
        <v>0</v>
      </c>
      <c r="G139" s="28"/>
      <c r="H139" s="28"/>
      <c r="I139" s="28"/>
      <c r="J139" s="26">
        <f t="array" ref="J139">SUM($G$83:$I$83*DecCours*DecPasse^(B139-1))</f>
        <v>53.881744267142217</v>
      </c>
      <c r="K139" s="27"/>
      <c r="L139" s="30"/>
      <c r="N139" s="62"/>
      <c r="O139" s="62"/>
      <c r="P139" s="62"/>
      <c r="Q139" s="62"/>
      <c r="R139" s="62"/>
      <c r="S139" s="62"/>
      <c r="T139" s="62"/>
      <c r="U139" s="80"/>
      <c r="V139" s="62"/>
      <c r="W139" s="62"/>
      <c r="X139" s="62"/>
      <c r="Y139" s="62"/>
      <c r="Z139" s="62"/>
      <c r="AA139" s="79"/>
      <c r="AB139"/>
      <c r="AC139" s="56"/>
      <c r="AD139" s="70"/>
      <c r="AE139" s="71"/>
      <c r="AF139" s="72"/>
      <c r="AG139" s="72"/>
      <c r="AH139" s="128"/>
      <c r="AI139"/>
      <c r="AJ139" s="62"/>
      <c r="AK139" s="62"/>
      <c r="AL139" s="62"/>
      <c r="AM139" s="62"/>
      <c r="AN139" s="62"/>
      <c r="AO139" s="79"/>
    </row>
    <row r="140" spans="1:41" x14ac:dyDescent="0.25">
      <c r="A140" s="24" t="s">
        <v>9</v>
      </c>
      <c r="B140" s="25">
        <v>57</v>
      </c>
      <c r="C140" s="26">
        <v>0</v>
      </c>
      <c r="D140" s="27">
        <v>0</v>
      </c>
      <c r="E140" s="27">
        <v>0</v>
      </c>
      <c r="F140" s="27">
        <v>0</v>
      </c>
      <c r="G140" s="28"/>
      <c r="H140" s="28"/>
      <c r="I140" s="28"/>
      <c r="J140" s="26">
        <f t="array" ref="J140">SUM($G$83:$I$83*DecCours*DecPasse^(B140-1))</f>
        <v>52.76715962352538</v>
      </c>
      <c r="K140" s="27"/>
      <c r="L140" s="30"/>
      <c r="N140" s="62"/>
      <c r="O140" s="62"/>
      <c r="P140" s="62"/>
      <c r="Q140" s="62"/>
      <c r="R140" s="62"/>
      <c r="S140" s="62"/>
      <c r="T140" s="62"/>
      <c r="U140" s="80"/>
      <c r="V140" s="62"/>
      <c r="W140" s="62"/>
      <c r="X140" s="62"/>
      <c r="Y140" s="62"/>
      <c r="Z140" s="62"/>
      <c r="AA140" s="79"/>
      <c r="AB140"/>
      <c r="AC140" s="56"/>
      <c r="AD140" s="70"/>
      <c r="AE140" s="71"/>
      <c r="AF140" s="72"/>
      <c r="AG140" s="72"/>
      <c r="AH140" s="128"/>
      <c r="AI140"/>
      <c r="AJ140" s="62"/>
      <c r="AK140" s="62"/>
      <c r="AL140" s="62"/>
      <c r="AM140" s="62"/>
      <c r="AN140" s="62"/>
      <c r="AO140" s="79"/>
    </row>
    <row r="141" spans="1:41" x14ac:dyDescent="0.25">
      <c r="A141" s="24" t="s">
        <v>9</v>
      </c>
      <c r="B141" s="25">
        <v>58</v>
      </c>
      <c r="C141" s="26">
        <v>0</v>
      </c>
      <c r="D141" s="27">
        <v>0</v>
      </c>
      <c r="E141" s="27">
        <v>0</v>
      </c>
      <c r="F141" s="27">
        <v>0</v>
      </c>
      <c r="G141" s="28"/>
      <c r="H141" s="28"/>
      <c r="I141" s="28"/>
      <c r="J141" s="26">
        <f t="array" ref="J141">SUM($G$83:$I$83*DecCours*DecPasse^(B141-1))</f>
        <v>51.676017244940184</v>
      </c>
      <c r="K141" s="27"/>
      <c r="L141" s="30"/>
      <c r="N141" s="62"/>
      <c r="O141" s="62"/>
      <c r="P141" s="62"/>
      <c r="Q141" s="62"/>
      <c r="R141" s="62"/>
      <c r="S141" s="62"/>
      <c r="T141" s="62"/>
      <c r="U141" s="80"/>
      <c r="V141" s="62"/>
      <c r="W141" s="62"/>
      <c r="X141" s="62"/>
      <c r="Y141" s="62"/>
      <c r="Z141" s="62"/>
      <c r="AA141" s="79"/>
      <c r="AB141"/>
      <c r="AC141" s="56"/>
      <c r="AD141" s="70"/>
      <c r="AE141" s="71"/>
      <c r="AF141" s="72"/>
      <c r="AG141" s="72"/>
      <c r="AH141" s="128"/>
      <c r="AI141"/>
      <c r="AJ141" s="62"/>
      <c r="AK141" s="62"/>
      <c r="AL141" s="62"/>
      <c r="AM141" s="62"/>
      <c r="AN141" s="62"/>
      <c r="AO141" s="79"/>
    </row>
    <row r="142" spans="1:41" x14ac:dyDescent="0.25">
      <c r="A142" s="24" t="s">
        <v>9</v>
      </c>
      <c r="B142" s="25">
        <v>59</v>
      </c>
      <c r="C142" s="26">
        <v>0</v>
      </c>
      <c r="D142" s="27">
        <v>0</v>
      </c>
      <c r="E142" s="27">
        <v>0</v>
      </c>
      <c r="F142" s="27">
        <v>0</v>
      </c>
      <c r="G142" s="28"/>
      <c r="H142" s="28"/>
      <c r="I142" s="28"/>
      <c r="J142" s="26">
        <f t="array" ref="J142">SUM($G$83:$I$83*DecCours*DecPasse^(B142-1))</f>
        <v>50.607814068644132</v>
      </c>
      <c r="K142" s="27"/>
      <c r="L142" s="30"/>
      <c r="N142" s="62"/>
      <c r="O142" s="62"/>
      <c r="P142" s="62"/>
      <c r="Q142" s="62"/>
      <c r="R142" s="62"/>
      <c r="S142" s="62"/>
      <c r="T142" s="62"/>
      <c r="U142" s="80"/>
      <c r="V142" s="62"/>
      <c r="W142" s="62"/>
      <c r="X142" s="62"/>
      <c r="Y142" s="62"/>
      <c r="Z142" s="62"/>
      <c r="AA142" s="79"/>
      <c r="AB142"/>
      <c r="AC142" s="56"/>
      <c r="AD142" s="70"/>
      <c r="AE142" s="71"/>
      <c r="AF142" s="72"/>
      <c r="AG142" s="72"/>
      <c r="AH142" s="128"/>
      <c r="AI142"/>
      <c r="AJ142" s="62"/>
      <c r="AK142" s="62"/>
      <c r="AL142" s="62"/>
      <c r="AM142" s="62"/>
      <c r="AN142" s="62"/>
      <c r="AO142" s="79"/>
    </row>
    <row r="143" spans="1:41" x14ac:dyDescent="0.25">
      <c r="A143" s="24" t="s">
        <v>9</v>
      </c>
      <c r="B143" s="25">
        <v>60</v>
      </c>
      <c r="C143" s="26">
        <v>0</v>
      </c>
      <c r="D143" s="27">
        <v>0</v>
      </c>
      <c r="E143" s="27">
        <v>0</v>
      </c>
      <c r="F143" s="27">
        <v>0</v>
      </c>
      <c r="G143" s="28"/>
      <c r="H143" s="28"/>
      <c r="I143" s="28"/>
      <c r="J143" s="26">
        <f t="array" ref="J143">SUM($G$83:$I$83*DecCours*DecPasse^(B143-1))</f>
        <v>49.562058084654936</v>
      </c>
      <c r="K143" s="27"/>
      <c r="L143" s="30"/>
      <c r="N143" s="62"/>
      <c r="O143" s="62"/>
      <c r="P143" s="62"/>
      <c r="Q143" s="62"/>
      <c r="R143" s="62"/>
      <c r="S143" s="62"/>
      <c r="T143" s="62"/>
      <c r="U143" s="80"/>
      <c r="V143" s="62"/>
      <c r="W143" s="62"/>
      <c r="X143" s="62"/>
      <c r="Y143" s="62"/>
      <c r="Z143" s="62"/>
      <c r="AA143" s="79"/>
      <c r="AB143"/>
      <c r="AC143" s="56"/>
      <c r="AD143" s="70"/>
      <c r="AE143" s="71"/>
      <c r="AF143" s="72"/>
      <c r="AG143" s="72"/>
      <c r="AH143" s="128"/>
      <c r="AI143"/>
      <c r="AJ143" s="62"/>
      <c r="AK143" s="62"/>
      <c r="AL143" s="62"/>
      <c r="AM143" s="62"/>
      <c r="AN143" s="62"/>
      <c r="AO143" s="79"/>
    </row>
    <row r="144" spans="1:41" ht="17.100000000000001" customHeight="1" x14ac:dyDescent="0.25">
      <c r="A144" s="24" t="s">
        <v>9</v>
      </c>
      <c r="B144" s="25">
        <v>61</v>
      </c>
      <c r="C144" s="26">
        <v>0</v>
      </c>
      <c r="D144" s="27">
        <v>0</v>
      </c>
      <c r="E144" s="27">
        <v>0</v>
      </c>
      <c r="F144" s="27">
        <v>0</v>
      </c>
      <c r="G144" s="28"/>
      <c r="H144" s="28"/>
      <c r="I144" s="28"/>
      <c r="J144" s="26">
        <f t="array" ref="J144">SUM($G$83:$I$83*DecCours*DecPasse^(B144-1))</f>
        <v>48.538268085959523</v>
      </c>
      <c r="K144" s="27"/>
      <c r="L144" s="30"/>
      <c r="N144" s="62"/>
      <c r="O144" s="62"/>
      <c r="P144" s="62"/>
      <c r="Q144" s="62"/>
      <c r="R144" s="62"/>
      <c r="S144" s="62"/>
      <c r="T144" s="62"/>
      <c r="U144" s="80"/>
      <c r="V144" s="62"/>
      <c r="W144" s="62"/>
      <c r="X144" s="62"/>
      <c r="Y144" s="62"/>
      <c r="Z144" s="62"/>
      <c r="AA144" s="79"/>
      <c r="AB144"/>
      <c r="AC144" s="56"/>
      <c r="AD144" s="70"/>
      <c r="AE144" s="71"/>
      <c r="AF144" s="72"/>
      <c r="AG144" s="72"/>
      <c r="AH144" s="128"/>
      <c r="AI144"/>
      <c r="AJ144" s="62"/>
      <c r="AK144" s="62"/>
      <c r="AL144" s="62"/>
      <c r="AM144" s="62"/>
      <c r="AN144" s="62"/>
      <c r="AO144" s="79"/>
    </row>
    <row r="145" spans="1:41" x14ac:dyDescent="0.25">
      <c r="A145" s="24" t="s">
        <v>9</v>
      </c>
      <c r="B145" s="25">
        <v>62</v>
      </c>
      <c r="C145" s="26">
        <v>0</v>
      </c>
      <c r="D145" s="27">
        <v>0</v>
      </c>
      <c r="E145" s="27">
        <v>0</v>
      </c>
      <c r="F145" s="27">
        <v>0</v>
      </c>
      <c r="G145" s="28"/>
      <c r="H145" s="28"/>
      <c r="I145" s="28"/>
      <c r="J145" s="26">
        <f t="array" ref="J145">SUM($G$83:$I$83*DecCours*DecPasse^(B145-1))</f>
        <v>47.535973424690965</v>
      </c>
      <c r="K145" s="27"/>
      <c r="L145" s="30"/>
      <c r="N145" s="62"/>
      <c r="O145" s="62"/>
      <c r="P145" s="62"/>
      <c r="Q145" s="62"/>
      <c r="R145" s="62"/>
      <c r="S145" s="62"/>
      <c r="T145" s="62"/>
      <c r="U145" s="80"/>
      <c r="V145" s="62"/>
      <c r="W145" s="62"/>
      <c r="X145" s="62"/>
      <c r="Y145" s="62"/>
      <c r="Z145" s="62"/>
      <c r="AA145" s="79"/>
      <c r="AB145"/>
      <c r="AC145" s="56"/>
      <c r="AD145" s="70"/>
      <c r="AE145" s="71"/>
      <c r="AF145" s="72"/>
      <c r="AG145" s="72"/>
      <c r="AH145" s="128"/>
      <c r="AI145"/>
      <c r="AJ145" s="62"/>
      <c r="AK145" s="62"/>
      <c r="AL145" s="62"/>
      <c r="AM145" s="62"/>
      <c r="AN145" s="62"/>
      <c r="AO145" s="79"/>
    </row>
    <row r="146" spans="1:41" x14ac:dyDescent="0.25">
      <c r="A146" s="24" t="s">
        <v>9</v>
      </c>
      <c r="B146" s="25">
        <v>63</v>
      </c>
      <c r="C146" s="26">
        <v>0</v>
      </c>
      <c r="D146" s="27">
        <v>0</v>
      </c>
      <c r="E146" s="27">
        <v>0</v>
      </c>
      <c r="F146" s="27">
        <v>0</v>
      </c>
      <c r="G146" s="28"/>
      <c r="H146" s="28"/>
      <c r="I146" s="28"/>
      <c r="J146" s="26">
        <f t="array" ref="J146">SUM($G$83:$I$83*DecCours*DecPasse^(B146-1))</f>
        <v>46.554713774078962</v>
      </c>
      <c r="K146" s="27"/>
      <c r="L146" s="30"/>
      <c r="N146" s="62"/>
      <c r="O146" s="62"/>
      <c r="P146" s="62"/>
      <c r="Q146" s="62"/>
      <c r="R146" s="62"/>
      <c r="S146" s="62"/>
      <c r="T146" s="62"/>
      <c r="U146" s="80"/>
      <c r="V146" s="62"/>
      <c r="W146" s="62"/>
      <c r="X146" s="62"/>
      <c r="Y146" s="62"/>
      <c r="Z146" s="62"/>
      <c r="AA146" s="79"/>
      <c r="AB146"/>
      <c r="AC146" s="56"/>
      <c r="AD146" s="70"/>
      <c r="AE146" s="71"/>
      <c r="AF146" s="72"/>
      <c r="AG146" s="72"/>
      <c r="AH146" s="128"/>
      <c r="AI146"/>
      <c r="AJ146" s="62"/>
      <c r="AK146" s="62"/>
      <c r="AL146" s="62"/>
      <c r="AM146" s="62"/>
      <c r="AN146" s="62"/>
      <c r="AO146" s="79"/>
    </row>
    <row r="147" spans="1:41" x14ac:dyDescent="0.25">
      <c r="A147" s="24" t="s">
        <v>9</v>
      </c>
      <c r="B147" s="25">
        <v>64</v>
      </c>
      <c r="C147" s="26">
        <v>0</v>
      </c>
      <c r="D147" s="27">
        <v>0</v>
      </c>
      <c r="E147" s="27">
        <v>0</v>
      </c>
      <c r="F147" s="27">
        <v>0</v>
      </c>
      <c r="G147" s="28"/>
      <c r="H147" s="28"/>
      <c r="I147" s="28"/>
      <c r="J147" s="26">
        <f t="array" ref="J147">SUM($G$83:$I$83*DecCours*DecPasse^(B147-1))</f>
        <v>45.59403889599858</v>
      </c>
      <c r="K147" s="27"/>
      <c r="L147" s="30"/>
      <c r="N147" s="62"/>
      <c r="O147" s="62"/>
      <c r="P147" s="62"/>
      <c r="Q147" s="62"/>
      <c r="R147" s="62"/>
      <c r="S147" s="62"/>
      <c r="T147" s="62"/>
      <c r="U147" s="80"/>
      <c r="V147" s="62"/>
      <c r="W147" s="62"/>
      <c r="X147" s="62"/>
      <c r="Y147" s="62"/>
      <c r="Z147" s="62"/>
      <c r="AA147" s="79"/>
      <c r="AB147"/>
      <c r="AC147" s="56"/>
      <c r="AD147" s="70"/>
      <c r="AE147" s="71"/>
      <c r="AF147" s="72"/>
      <c r="AG147" s="72"/>
      <c r="AH147" s="128"/>
      <c r="AI147"/>
      <c r="AJ147" s="62"/>
      <c r="AK147" s="62"/>
      <c r="AL147" s="62"/>
      <c r="AM147" s="62"/>
      <c r="AN147" s="62"/>
      <c r="AO147" s="79"/>
    </row>
    <row r="148" spans="1:41" x14ac:dyDescent="0.25">
      <c r="A148" s="163" t="s">
        <v>9</v>
      </c>
      <c r="B148" s="26">
        <v>65</v>
      </c>
      <c r="C148" s="26">
        <f>C79*66</f>
        <v>70.62</v>
      </c>
      <c r="D148" s="27">
        <v>0.1</v>
      </c>
      <c r="E148" s="27">
        <v>0</v>
      </c>
      <c r="F148" s="27">
        <v>0</v>
      </c>
      <c r="G148" s="28">
        <f>$C$148*D148*InfraBoul*TauxC*MasseMol</f>
        <v>6.3958180000000011</v>
      </c>
      <c r="H148" s="28">
        <f>$C$148*E148*InfraBoul*TauxC*MasseMol</f>
        <v>0</v>
      </c>
      <c r="I148" s="28">
        <f>$C$148*F148*InfraBoul*TauxC*MasseMol</f>
        <v>0</v>
      </c>
      <c r="J148" s="26">
        <f t="array" ref="J148">SUM($G$83:$I$83*DecCours*DecPasse^(B148-1))</f>
        <v>44.653508413958178</v>
      </c>
      <c r="K148" s="29"/>
      <c r="L148" s="26"/>
      <c r="M148" s="6"/>
      <c r="N148" s="62"/>
      <c r="O148" s="62"/>
      <c r="P148" s="62"/>
      <c r="Q148" s="62"/>
      <c r="R148" s="62"/>
      <c r="S148" s="62"/>
      <c r="T148" s="62"/>
      <c r="U148" s="80"/>
      <c r="V148" s="62"/>
      <c r="W148" s="62"/>
      <c r="X148" s="62"/>
      <c r="Y148" s="62"/>
      <c r="Z148" s="62"/>
      <c r="AA148" s="79"/>
      <c r="AB148"/>
      <c r="AC148" s="56">
        <v>79</v>
      </c>
      <c r="AD148" s="70">
        <f>AD83+($AD$200-$AD$81)/($AC$200-$AC$81)</f>
        <v>541.80000000000007</v>
      </c>
      <c r="AE148" s="71">
        <f>AD148*1.3</f>
        <v>704.34000000000015</v>
      </c>
      <c r="AF148" s="72">
        <f>AE148*InfraCed</f>
        <v>253.56240000000005</v>
      </c>
      <c r="AG148" s="72">
        <f>EXP(-1.0587  + 0.8836*LN(AF148) + 0.284)</f>
        <v>61.348145886656177</v>
      </c>
      <c r="AH148" s="128">
        <f>((AF148+AG148)*TauxC + Csol + Clitiere)*MasseMol</f>
        <v>841.80253408592625</v>
      </c>
      <c r="AI148"/>
      <c r="AJ148" s="62"/>
      <c r="AK148" s="62"/>
      <c r="AL148" s="62"/>
      <c r="AM148" s="62"/>
      <c r="AN148" s="62"/>
      <c r="AO148" s="79"/>
    </row>
    <row r="149" spans="1:41" ht="16.5" thickBot="1" x14ac:dyDescent="0.3">
      <c r="A149" s="18"/>
      <c r="B149" s="19">
        <v>66</v>
      </c>
      <c r="C149" s="20">
        <v>0</v>
      </c>
      <c r="D149" s="21">
        <v>0</v>
      </c>
      <c r="E149" s="21">
        <v>0</v>
      </c>
      <c r="F149" s="21">
        <v>0</v>
      </c>
      <c r="G149" s="22"/>
      <c r="H149" s="22"/>
      <c r="I149" s="22"/>
      <c r="J149" s="20">
        <f t="array" ref="J149">SUM($G$83:$I$83*DecCours*DecPasse^(B149-1)) + SUM(G148:I148*DecCours)</f>
        <v>50.065593563974488</v>
      </c>
      <c r="K149" s="23"/>
      <c r="L149" s="31"/>
      <c r="M149" s="6"/>
      <c r="N149" s="62"/>
      <c r="O149" s="62"/>
      <c r="P149" s="62"/>
      <c r="Q149" s="62"/>
      <c r="R149" s="62"/>
      <c r="S149" s="62"/>
      <c r="T149" s="62"/>
      <c r="U149" s="80"/>
      <c r="V149" s="62"/>
      <c r="W149" s="62"/>
      <c r="X149" s="62"/>
      <c r="Y149" s="62"/>
      <c r="Z149" s="62"/>
      <c r="AA149" s="79"/>
      <c r="AB149"/>
      <c r="AC149" s="56"/>
      <c r="AD149" s="70"/>
      <c r="AE149" s="71"/>
      <c r="AF149" s="72"/>
      <c r="AG149" s="72"/>
      <c r="AH149" s="128"/>
      <c r="AI149"/>
      <c r="AJ149" s="62"/>
      <c r="AK149" s="62"/>
      <c r="AL149" s="62"/>
      <c r="AM149" s="62"/>
      <c r="AN149" s="62"/>
      <c r="AO149" s="79"/>
    </row>
    <row r="150" spans="1:41" x14ac:dyDescent="0.25">
      <c r="A150" s="24" t="s">
        <v>10</v>
      </c>
      <c r="B150" s="25">
        <v>0</v>
      </c>
      <c r="C150" s="26">
        <f>'[1]itinéraires bas carbone'!C9*Analyse_carbone!C79</f>
        <v>374.5</v>
      </c>
      <c r="D150" s="27">
        <v>0.4975</v>
      </c>
      <c r="E150" s="27">
        <v>0.255</v>
      </c>
      <c r="F150" s="27">
        <v>0.1275</v>
      </c>
      <c r="G150" s="28">
        <f>(0.4675*InfraRx + 0.03*InfraFs)*C150*TauxC*MasseMol</f>
        <v>139.223651875</v>
      </c>
      <c r="H150" s="28">
        <f>E150*C150*InfraRx*TauxC*MasseMol</f>
        <v>69.856421249999997</v>
      </c>
      <c r="I150" s="28">
        <f>F150*C150*InfraRx*TauxC*MasseMol</f>
        <v>34.928210624999998</v>
      </c>
      <c r="J150" s="26">
        <v>0</v>
      </c>
      <c r="K150" s="27">
        <v>0.12</v>
      </c>
      <c r="L150" s="30">
        <f>C150*(D150*Paramètres!B18+Paramètres!C18*Analyse_carbone!E150+Analyse_carbone!F150*Paramètres!D18+Paramètres!E18*Analyse_carbone!K150)</f>
        <v>331.19843750000001</v>
      </c>
      <c r="M150" s="6"/>
      <c r="N150" s="62"/>
      <c r="O150" s="62"/>
      <c r="P150" s="62"/>
      <c r="Q150" s="62"/>
      <c r="R150" s="62"/>
      <c r="S150" s="62"/>
      <c r="T150" s="62"/>
      <c r="U150" s="80"/>
      <c r="V150" s="62"/>
      <c r="W150" s="62"/>
      <c r="X150" s="62"/>
      <c r="Y150" s="62"/>
      <c r="Z150" s="62"/>
      <c r="AA150" s="79"/>
      <c r="AB150"/>
      <c r="AC150" s="56">
        <v>80</v>
      </c>
      <c r="AD150" s="70">
        <f>AD148+($AD$200-$AD$81)/($AC$200-$AC$81)</f>
        <v>545.40000000000009</v>
      </c>
      <c r="AE150" s="71">
        <f>AD150*1.3</f>
        <v>709.0200000000001</v>
      </c>
      <c r="AF150" s="72">
        <f>AE150*InfraCed</f>
        <v>255.24720000000002</v>
      </c>
      <c r="AG150" s="72">
        <f>EXP(-1.0587  + 0.8836*LN(AF150) + 0.284)</f>
        <v>61.708187819081218</v>
      </c>
      <c r="AH150" s="128">
        <f>((AF150+AG150)*TauxC + Csol + Clitiere)*MasseMol</f>
        <v>845.36396711823318</v>
      </c>
      <c r="AI150"/>
      <c r="AJ150" s="62"/>
      <c r="AK150" s="62"/>
      <c r="AL150" s="62"/>
      <c r="AM150" s="62"/>
      <c r="AN150" s="62"/>
      <c r="AO150" s="79"/>
    </row>
    <row r="151" spans="1:41" x14ac:dyDescent="0.25">
      <c r="A151" s="24" t="s">
        <v>10</v>
      </c>
      <c r="B151" s="25">
        <v>1</v>
      </c>
      <c r="C151" s="26">
        <v>0</v>
      </c>
      <c r="D151" s="27">
        <v>0</v>
      </c>
      <c r="E151" s="27">
        <v>0</v>
      </c>
      <c r="F151" s="27">
        <v>0</v>
      </c>
      <c r="G151" s="28"/>
      <c r="H151" s="28"/>
      <c r="I151" s="28"/>
      <c r="J151" s="26">
        <f t="array" ref="J151">SUM(G150:I150*DecCours)</f>
        <v>231.33899103674037</v>
      </c>
      <c r="K151" s="27"/>
      <c r="L151" s="30"/>
      <c r="M151" s="6"/>
      <c r="N151" s="62"/>
      <c r="O151" s="62"/>
      <c r="P151" s="62"/>
      <c r="Q151" s="62"/>
      <c r="R151" s="62"/>
      <c r="S151" s="62"/>
      <c r="T151" s="62"/>
      <c r="U151" s="80"/>
      <c r="V151" s="62"/>
      <c r="W151" s="62"/>
      <c r="X151" s="62"/>
      <c r="Y151" s="62"/>
      <c r="Z151" s="62"/>
      <c r="AA151" s="79"/>
      <c r="AB151"/>
      <c r="AC151" s="56"/>
      <c r="AD151" s="70"/>
      <c r="AE151" s="71"/>
      <c r="AF151" s="72"/>
      <c r="AG151" s="72"/>
      <c r="AH151" s="128"/>
      <c r="AI151"/>
      <c r="AJ151" s="62"/>
      <c r="AK151" s="62"/>
      <c r="AL151" s="62"/>
      <c r="AM151" s="62"/>
      <c r="AN151" s="62"/>
      <c r="AO151" s="79"/>
    </row>
    <row r="152" spans="1:41" x14ac:dyDescent="0.25">
      <c r="A152" s="24" t="s">
        <v>10</v>
      </c>
      <c r="B152" s="25">
        <v>2</v>
      </c>
      <c r="C152" s="26">
        <v>0</v>
      </c>
      <c r="D152" s="27">
        <v>0</v>
      </c>
      <c r="E152" s="27">
        <v>0</v>
      </c>
      <c r="F152" s="27">
        <v>0</v>
      </c>
      <c r="G152" s="28"/>
      <c r="H152" s="28"/>
      <c r="I152" s="28"/>
      <c r="J152" s="26">
        <f t="array" ref="J152">SUM($G$150:$I$150*DecCours*DecPasse^(B152-1))</f>
        <v>210.40238773311137</v>
      </c>
      <c r="K152" s="27"/>
      <c r="L152" s="30"/>
      <c r="M152" s="6"/>
      <c r="N152" s="62"/>
      <c r="O152" s="62"/>
      <c r="P152" s="62"/>
      <c r="Q152" s="62"/>
      <c r="R152" s="62"/>
      <c r="S152" s="62"/>
      <c r="T152" s="62"/>
      <c r="U152" s="80"/>
      <c r="V152" s="62"/>
      <c r="W152" s="62"/>
      <c r="X152" s="62"/>
      <c r="Y152" s="62"/>
      <c r="Z152" s="62"/>
      <c r="AA152" s="79"/>
      <c r="AB152"/>
      <c r="AC152" s="56"/>
      <c r="AD152" s="70"/>
      <c r="AE152" s="71"/>
      <c r="AF152" s="72"/>
      <c r="AG152" s="72"/>
      <c r="AH152" s="128"/>
      <c r="AI152"/>
      <c r="AJ152" s="62"/>
      <c r="AK152" s="62"/>
      <c r="AL152" s="62"/>
      <c r="AM152" s="62"/>
      <c r="AN152" s="62"/>
      <c r="AO152" s="79"/>
    </row>
    <row r="153" spans="1:41" x14ac:dyDescent="0.25">
      <c r="A153" s="24" t="s">
        <v>10</v>
      </c>
      <c r="B153" s="25">
        <v>3</v>
      </c>
      <c r="C153" s="26">
        <v>0</v>
      </c>
      <c r="D153" s="27">
        <v>0</v>
      </c>
      <c r="E153" s="27">
        <v>0</v>
      </c>
      <c r="F153" s="27">
        <v>0</v>
      </c>
      <c r="G153" s="28"/>
      <c r="H153" s="28"/>
      <c r="I153" s="28"/>
      <c r="J153" s="26">
        <f t="array" ref="J153">SUM($G$150:$I$150*DecCours*DecPasse^(B153-1))</f>
        <v>194.6090782591892</v>
      </c>
      <c r="K153" s="27"/>
      <c r="L153" s="30"/>
      <c r="M153" s="6"/>
      <c r="N153" s="62"/>
      <c r="O153" s="62"/>
      <c r="P153" s="62"/>
      <c r="Q153" s="62"/>
      <c r="R153" s="62"/>
      <c r="S153" s="62"/>
      <c r="T153" s="62"/>
      <c r="U153" s="80"/>
      <c r="V153" s="62"/>
      <c r="W153" s="62"/>
      <c r="X153" s="62"/>
      <c r="Y153" s="62"/>
      <c r="Z153" s="62"/>
      <c r="AA153" s="79"/>
      <c r="AB153"/>
      <c r="AC153" s="56"/>
      <c r="AD153" s="70"/>
      <c r="AE153" s="71"/>
      <c r="AF153" s="72"/>
      <c r="AG153" s="72"/>
      <c r="AH153" s="128"/>
      <c r="AI153"/>
      <c r="AJ153" s="62"/>
      <c r="AK153" s="62"/>
      <c r="AL153" s="62"/>
      <c r="AM153" s="62"/>
      <c r="AN153" s="62"/>
      <c r="AO153" s="79"/>
    </row>
    <row r="154" spans="1:41" x14ac:dyDescent="0.25">
      <c r="A154" s="24" t="s">
        <v>10</v>
      </c>
      <c r="B154" s="25">
        <v>4</v>
      </c>
      <c r="C154" s="26">
        <v>0</v>
      </c>
      <c r="D154" s="27">
        <v>0</v>
      </c>
      <c r="E154" s="27">
        <v>0</v>
      </c>
      <c r="F154" s="27">
        <v>0</v>
      </c>
      <c r="G154" s="28"/>
      <c r="H154" s="28"/>
      <c r="I154" s="28"/>
      <c r="J154" s="26">
        <f t="array" ref="J154">SUM($G$150:$I$150*DecCours*DecPasse^(B154-1))</f>
        <v>182.47395340042834</v>
      </c>
      <c r="K154" s="27"/>
      <c r="L154" s="30"/>
      <c r="M154" s="6"/>
      <c r="N154" s="62"/>
      <c r="O154" s="62"/>
      <c r="P154" s="62"/>
      <c r="Q154" s="62"/>
      <c r="R154" s="62"/>
      <c r="S154" s="62"/>
      <c r="T154" s="62"/>
      <c r="U154" s="80"/>
      <c r="V154" s="62"/>
      <c r="W154" s="62"/>
      <c r="X154" s="62"/>
      <c r="Y154" s="62"/>
      <c r="Z154" s="62"/>
      <c r="AA154" s="79"/>
      <c r="AB154"/>
      <c r="AC154" s="56"/>
      <c r="AD154" s="70"/>
      <c r="AE154" s="71"/>
      <c r="AF154" s="72"/>
      <c r="AG154" s="72"/>
      <c r="AH154" s="128"/>
      <c r="AI154"/>
      <c r="AJ154" s="62"/>
      <c r="AK154" s="62"/>
      <c r="AL154" s="62"/>
      <c r="AM154" s="62"/>
      <c r="AN154" s="62"/>
      <c r="AO154" s="79"/>
    </row>
    <row r="155" spans="1:41" x14ac:dyDescent="0.25">
      <c r="A155" s="24" t="s">
        <v>10</v>
      </c>
      <c r="B155" s="25">
        <v>5</v>
      </c>
      <c r="C155" s="26">
        <v>0</v>
      </c>
      <c r="D155" s="27">
        <v>0</v>
      </c>
      <c r="E155" s="27">
        <v>0</v>
      </c>
      <c r="F155" s="27">
        <v>0</v>
      </c>
      <c r="G155" s="28"/>
      <c r="H155" s="28"/>
      <c r="I155" s="28"/>
      <c r="J155" s="26">
        <f t="array" ref="J155">SUM($G$150:$I$150*DecCours*DecPasse^(B155-1))</f>
        <v>172.94641124373612</v>
      </c>
      <c r="K155" s="27"/>
      <c r="L155" s="30"/>
      <c r="M155" s="6"/>
      <c r="N155" s="62"/>
      <c r="O155" s="62"/>
      <c r="P155" s="62"/>
      <c r="Q155" s="62"/>
      <c r="R155" s="62"/>
      <c r="S155" s="62"/>
      <c r="T155" s="62"/>
      <c r="U155" s="80"/>
      <c r="V155" s="62"/>
      <c r="W155" s="62"/>
      <c r="X155" s="62"/>
      <c r="Y155" s="62"/>
      <c r="Z155" s="62"/>
      <c r="AA155" s="79"/>
      <c r="AB155"/>
      <c r="AC155" s="56"/>
      <c r="AD155" s="70"/>
      <c r="AE155" s="71"/>
      <c r="AF155" s="72"/>
      <c r="AG155" s="72"/>
      <c r="AH155" s="128"/>
      <c r="AI155"/>
      <c r="AJ155" s="62"/>
      <c r="AK155" s="62"/>
      <c r="AL155" s="62"/>
      <c r="AM155" s="62"/>
      <c r="AN155" s="62"/>
      <c r="AO155" s="79"/>
    </row>
    <row r="156" spans="1:41" x14ac:dyDescent="0.25">
      <c r="A156" s="24" t="s">
        <v>10</v>
      </c>
      <c r="B156" s="25">
        <v>6</v>
      </c>
      <c r="C156" s="26">
        <v>0</v>
      </c>
      <c r="D156" s="27">
        <v>0</v>
      </c>
      <c r="E156" s="27">
        <v>0</v>
      </c>
      <c r="F156" s="27">
        <v>0</v>
      </c>
      <c r="G156" s="28"/>
      <c r="H156" s="28"/>
      <c r="I156" s="28"/>
      <c r="J156" s="26">
        <f t="array" ref="J156">SUM($G$150:$I$150*DecCours*DecPasse^(B156-1))</f>
        <v>165.28310362059068</v>
      </c>
      <c r="K156" s="27"/>
      <c r="L156" s="30"/>
      <c r="M156" s="6"/>
      <c r="N156" s="62"/>
      <c r="O156" s="62"/>
      <c r="P156" s="62"/>
      <c r="Q156" s="62"/>
      <c r="R156" s="62"/>
      <c r="S156" s="62"/>
      <c r="T156" s="62"/>
      <c r="U156" s="80"/>
      <c r="V156" s="62"/>
      <c r="W156" s="62"/>
      <c r="X156" s="62"/>
      <c r="Y156" s="62"/>
      <c r="Z156" s="62"/>
      <c r="AA156" s="79"/>
      <c r="AB156"/>
      <c r="AC156" s="56"/>
      <c r="AD156" s="70"/>
      <c r="AE156" s="71"/>
      <c r="AF156" s="72"/>
      <c r="AG156" s="72"/>
      <c r="AH156" s="128"/>
      <c r="AI156"/>
      <c r="AJ156" s="62"/>
      <c r="AK156" s="62"/>
      <c r="AL156" s="62"/>
      <c r="AM156" s="62"/>
      <c r="AN156" s="62"/>
      <c r="AO156" s="79"/>
    </row>
    <row r="157" spans="1:41" x14ac:dyDescent="0.25">
      <c r="A157" s="24" t="s">
        <v>10</v>
      </c>
      <c r="B157" s="25">
        <v>7</v>
      </c>
      <c r="C157" s="26">
        <v>0</v>
      </c>
      <c r="D157" s="27">
        <v>0</v>
      </c>
      <c r="E157" s="27">
        <v>0</v>
      </c>
      <c r="F157" s="27">
        <v>0</v>
      </c>
      <c r="G157" s="28"/>
      <c r="H157" s="28"/>
      <c r="I157" s="28"/>
      <c r="J157" s="26">
        <f t="array" ref="J157">SUM($G$150:$I$150*DecCours*DecPasse^(B157-1))</f>
        <v>158.95795400494194</v>
      </c>
      <c r="K157" s="27"/>
      <c r="L157" s="30"/>
      <c r="M157" s="6"/>
      <c r="N157" s="62"/>
      <c r="O157" s="62"/>
      <c r="P157" s="62"/>
      <c r="Q157" s="62"/>
      <c r="R157" s="62"/>
      <c r="S157" s="62"/>
      <c r="T157" s="62"/>
      <c r="U157" s="80"/>
      <c r="V157" s="62"/>
      <c r="W157" s="62"/>
      <c r="X157" s="62"/>
      <c r="Y157" s="62"/>
      <c r="Z157" s="62"/>
      <c r="AA157" s="79"/>
      <c r="AB157"/>
      <c r="AC157" s="56"/>
      <c r="AD157" s="70"/>
      <c r="AE157" s="71"/>
      <c r="AF157" s="72"/>
      <c r="AG157" s="72"/>
      <c r="AH157" s="128"/>
      <c r="AI157"/>
      <c r="AJ157" s="62"/>
      <c r="AK157" s="62"/>
      <c r="AL157" s="62"/>
      <c r="AM157" s="62"/>
      <c r="AN157" s="62"/>
      <c r="AO157" s="79"/>
    </row>
    <row r="158" spans="1:41" x14ac:dyDescent="0.25">
      <c r="A158" s="24" t="s">
        <v>10</v>
      </c>
      <c r="B158" s="25">
        <v>8</v>
      </c>
      <c r="C158" s="26">
        <v>0</v>
      </c>
      <c r="D158" s="27">
        <v>0</v>
      </c>
      <c r="E158" s="27">
        <v>0</v>
      </c>
      <c r="F158" s="27">
        <v>0</v>
      </c>
      <c r="G158" s="28"/>
      <c r="H158" s="28"/>
      <c r="I158" s="28"/>
      <c r="J158" s="26">
        <f t="array" ref="J158">SUM($G$150:$I$150*DecCours*DecPasse^(B158-1))</f>
        <v>153.59853031550159</v>
      </c>
      <c r="K158" s="27"/>
      <c r="L158" s="30"/>
      <c r="M158" s="6"/>
      <c r="N158" s="62"/>
      <c r="O158" s="62"/>
      <c r="P158" s="62"/>
      <c r="Q158" s="62"/>
      <c r="R158" s="62"/>
      <c r="S158" s="62"/>
      <c r="T158" s="62"/>
      <c r="U158" s="80"/>
      <c r="V158" s="62"/>
      <c r="W158" s="62"/>
      <c r="X158" s="62"/>
      <c r="Y158" s="62"/>
      <c r="Z158" s="62"/>
      <c r="AA158" s="79"/>
      <c r="AB158"/>
      <c r="AC158" s="56"/>
      <c r="AD158" s="70"/>
      <c r="AE158" s="71"/>
      <c r="AF158" s="72"/>
      <c r="AG158" s="72"/>
      <c r="AH158" s="128"/>
      <c r="AI158"/>
      <c r="AJ158" s="62"/>
      <c r="AK158" s="62"/>
      <c r="AL158" s="62"/>
      <c r="AM158" s="62"/>
      <c r="AN158" s="62"/>
      <c r="AO158" s="79"/>
    </row>
    <row r="159" spans="1:41" x14ac:dyDescent="0.25">
      <c r="A159" s="24" t="s">
        <v>10</v>
      </c>
      <c r="B159" s="25">
        <v>9</v>
      </c>
      <c r="C159" s="26">
        <v>0</v>
      </c>
      <c r="D159" s="27">
        <v>0</v>
      </c>
      <c r="E159" s="27">
        <v>0</v>
      </c>
      <c r="F159" s="27">
        <v>0</v>
      </c>
      <c r="G159" s="28"/>
      <c r="H159" s="28"/>
      <c r="I159" s="28"/>
      <c r="J159" s="26">
        <f t="array" ref="J159">SUM($G$150:$I$150*DecCours*DecPasse^(B159-1))</f>
        <v>148.94105345546353</v>
      </c>
      <c r="K159" s="27"/>
      <c r="L159" s="30"/>
      <c r="M159" s="6"/>
      <c r="N159" s="62"/>
      <c r="O159" s="62"/>
      <c r="P159" s="62"/>
      <c r="Q159" s="62"/>
      <c r="R159" s="62"/>
      <c r="S159" s="62"/>
      <c r="T159" s="62"/>
      <c r="U159" s="80"/>
      <c r="V159" s="62"/>
      <c r="W159" s="62"/>
      <c r="X159" s="62"/>
      <c r="Y159" s="62"/>
      <c r="Z159" s="62"/>
      <c r="AA159" s="79"/>
      <c r="AB159"/>
      <c r="AC159" s="56"/>
      <c r="AD159" s="70"/>
      <c r="AE159" s="71"/>
      <c r="AF159" s="72"/>
      <c r="AG159" s="72"/>
      <c r="AH159" s="128"/>
      <c r="AI159"/>
      <c r="AJ159" s="62"/>
      <c r="AK159" s="62"/>
      <c r="AL159" s="62"/>
      <c r="AM159" s="62"/>
      <c r="AN159" s="62"/>
      <c r="AO159" s="79"/>
    </row>
    <row r="160" spans="1:41" x14ac:dyDescent="0.25">
      <c r="A160" s="24" t="s">
        <v>10</v>
      </c>
      <c r="B160" s="25">
        <v>10</v>
      </c>
      <c r="C160" s="26">
        <v>0</v>
      </c>
      <c r="D160" s="27">
        <v>0</v>
      </c>
      <c r="E160" s="27">
        <v>0</v>
      </c>
      <c r="F160" s="27">
        <v>0</v>
      </c>
      <c r="G160" s="28"/>
      <c r="H160" s="28"/>
      <c r="I160" s="28"/>
      <c r="J160" s="26">
        <f t="array" ref="J160">SUM($G$150:$I$150*DecCours*DecPasse^(B160-1))</f>
        <v>144.79858331421096</v>
      </c>
      <c r="K160" s="27"/>
      <c r="L160" s="30"/>
      <c r="M160" s="6"/>
      <c r="N160" s="62"/>
      <c r="O160" s="62"/>
      <c r="P160" s="62"/>
      <c r="Q160" s="62"/>
      <c r="R160" s="62"/>
      <c r="S160" s="62"/>
      <c r="T160" s="62"/>
      <c r="U160" s="80"/>
      <c r="V160" s="62"/>
      <c r="W160" s="62"/>
      <c r="X160" s="62"/>
      <c r="Y160" s="62"/>
      <c r="Z160" s="62"/>
      <c r="AA160" s="79"/>
      <c r="AB160"/>
      <c r="AC160" s="56"/>
      <c r="AD160" s="70"/>
      <c r="AE160" s="71"/>
      <c r="AF160" s="72"/>
      <c r="AG160" s="72"/>
      <c r="AH160" s="128"/>
      <c r="AI160"/>
      <c r="AJ160" s="62"/>
      <c r="AK160" s="62"/>
      <c r="AL160" s="62"/>
      <c r="AM160" s="62"/>
      <c r="AN160" s="62"/>
      <c r="AO160" s="79"/>
    </row>
    <row r="161" spans="1:41" x14ac:dyDescent="0.25">
      <c r="A161" s="24" t="s">
        <v>10</v>
      </c>
      <c r="B161" s="25">
        <v>11</v>
      </c>
      <c r="C161" s="26">
        <v>0</v>
      </c>
      <c r="D161" s="27">
        <v>0</v>
      </c>
      <c r="E161" s="27">
        <v>0</v>
      </c>
      <c r="F161" s="27">
        <v>0</v>
      </c>
      <c r="G161" s="28"/>
      <c r="H161" s="28"/>
      <c r="I161" s="28"/>
      <c r="J161" s="26">
        <f t="array" ref="J161">SUM($G$150:$I$150*DecCours*DecPasse^(B161-1))</f>
        <v>141.03852264729124</v>
      </c>
      <c r="K161" s="27"/>
      <c r="L161" s="30"/>
      <c r="M161" s="6"/>
      <c r="N161" s="62"/>
      <c r="O161" s="62"/>
      <c r="P161" s="62"/>
      <c r="Q161" s="62"/>
      <c r="R161" s="62"/>
      <c r="S161" s="62"/>
      <c r="T161" s="62"/>
      <c r="U161" s="80"/>
      <c r="V161" s="62"/>
      <c r="W161" s="62"/>
      <c r="X161" s="62"/>
      <c r="Y161" s="62"/>
      <c r="Z161" s="62"/>
      <c r="AA161" s="79"/>
      <c r="AB161"/>
      <c r="AC161" s="56"/>
      <c r="AD161" s="70"/>
      <c r="AE161" s="71"/>
      <c r="AF161" s="72"/>
      <c r="AG161" s="72"/>
      <c r="AH161" s="128"/>
      <c r="AI161"/>
      <c r="AJ161" s="62"/>
      <c r="AK161" s="62"/>
      <c r="AL161" s="62"/>
      <c r="AM161" s="62"/>
      <c r="AN161" s="62"/>
      <c r="AO161" s="79"/>
    </row>
    <row r="162" spans="1:41" x14ac:dyDescent="0.25">
      <c r="A162" s="24" t="s">
        <v>10</v>
      </c>
      <c r="B162" s="25">
        <v>12</v>
      </c>
      <c r="C162" s="26">
        <v>0</v>
      </c>
      <c r="D162" s="27">
        <v>0</v>
      </c>
      <c r="E162" s="27">
        <v>0</v>
      </c>
      <c r="F162" s="27">
        <v>0</v>
      </c>
      <c r="G162" s="28"/>
      <c r="H162" s="28"/>
      <c r="I162" s="28"/>
      <c r="J162" s="26">
        <f t="array" ref="J162">SUM($G$150:$I$150*DecCours*DecPasse^(B162-1))</f>
        <v>137.56670969670165</v>
      </c>
      <c r="K162" s="27"/>
      <c r="L162" s="30"/>
      <c r="M162" s="6"/>
      <c r="N162" s="62"/>
      <c r="O162" s="62"/>
      <c r="P162" s="62"/>
      <c r="Q162" s="62"/>
      <c r="R162" s="62"/>
      <c r="S162" s="62"/>
      <c r="T162" s="62"/>
      <c r="U162" s="80"/>
      <c r="V162" s="62"/>
      <c r="W162" s="62"/>
      <c r="X162" s="62"/>
      <c r="Y162" s="62"/>
      <c r="Z162" s="62"/>
      <c r="AA162" s="79"/>
      <c r="AB162"/>
      <c r="AC162" s="56"/>
      <c r="AD162" s="70"/>
      <c r="AE162" s="71"/>
      <c r="AF162" s="72"/>
      <c r="AG162" s="72"/>
      <c r="AH162" s="128"/>
      <c r="AI162"/>
      <c r="AJ162" s="62"/>
      <c r="AK162" s="62"/>
      <c r="AL162" s="62"/>
      <c r="AM162" s="62"/>
      <c r="AN162" s="62"/>
      <c r="AO162" s="79"/>
    </row>
    <row r="163" spans="1:41" x14ac:dyDescent="0.25">
      <c r="A163" s="24" t="s">
        <v>10</v>
      </c>
      <c r="B163" s="25">
        <v>13</v>
      </c>
      <c r="C163" s="26">
        <v>0</v>
      </c>
      <c r="D163" s="27">
        <v>0</v>
      </c>
      <c r="E163" s="27">
        <v>0</v>
      </c>
      <c r="F163" s="27">
        <v>0</v>
      </c>
      <c r="G163" s="28"/>
      <c r="H163" s="28"/>
      <c r="I163" s="28"/>
      <c r="J163" s="26">
        <f t="array" ref="J163">SUM($G$150:$I$150*DecCours*DecPasse^(B163-1))</f>
        <v>134.31616975939846</v>
      </c>
      <c r="K163" s="27"/>
      <c r="L163" s="30"/>
      <c r="M163" s="6"/>
      <c r="N163" s="62"/>
      <c r="O163" s="62"/>
      <c r="P163" s="62"/>
      <c r="Q163" s="62"/>
      <c r="R163" s="62"/>
      <c r="S163" s="62"/>
      <c r="T163" s="62"/>
      <c r="U163" s="80"/>
      <c r="V163" s="62"/>
      <c r="W163" s="62"/>
      <c r="X163" s="62"/>
      <c r="Y163" s="62"/>
      <c r="Z163" s="62"/>
      <c r="AA163" s="79"/>
      <c r="AB163"/>
      <c r="AC163" s="56"/>
      <c r="AD163" s="70"/>
      <c r="AE163" s="71"/>
      <c r="AF163" s="72"/>
      <c r="AG163" s="72"/>
      <c r="AH163" s="128"/>
      <c r="AI163"/>
      <c r="AJ163" s="62"/>
      <c r="AK163" s="62"/>
      <c r="AL163" s="62"/>
      <c r="AM163" s="62"/>
      <c r="AN163" s="62"/>
      <c r="AO163" s="79"/>
    </row>
    <row r="164" spans="1:41" x14ac:dyDescent="0.25">
      <c r="A164" s="24" t="s">
        <v>10</v>
      </c>
      <c r="B164" s="25">
        <v>14</v>
      </c>
      <c r="C164" s="26">
        <v>0</v>
      </c>
      <c r="D164" s="27">
        <v>0</v>
      </c>
      <c r="E164" s="27">
        <v>0</v>
      </c>
      <c r="F164" s="27">
        <v>0</v>
      </c>
      <c r="G164" s="28"/>
      <c r="H164" s="28"/>
      <c r="I164" s="28"/>
      <c r="J164" s="26">
        <f t="array" ref="J164">SUM($G$150:$I$150*DecCours*DecPasse^(B164-1))</f>
        <v>131.23916113482764</v>
      </c>
      <c r="K164" s="27"/>
      <c r="L164" s="30"/>
      <c r="M164" s="6"/>
      <c r="N164" s="62"/>
      <c r="O164" s="62"/>
      <c r="P164" s="62"/>
      <c r="Q164" s="62"/>
      <c r="R164" s="62"/>
      <c r="S164" s="62"/>
      <c r="T164" s="62"/>
      <c r="U164" s="80"/>
      <c r="V164" s="62"/>
      <c r="W164" s="62"/>
      <c r="X164" s="62"/>
      <c r="Y164" s="62"/>
      <c r="Z164" s="62"/>
      <c r="AA164" s="79"/>
      <c r="AB164"/>
      <c r="AC164" s="56"/>
      <c r="AD164" s="70"/>
      <c r="AE164" s="71"/>
      <c r="AF164" s="72"/>
      <c r="AG164" s="72"/>
      <c r="AH164" s="128"/>
      <c r="AI164"/>
      <c r="AJ164" s="62"/>
      <c r="AK164" s="62"/>
      <c r="AL164" s="62"/>
      <c r="AM164" s="62"/>
      <c r="AN164" s="62"/>
      <c r="AO164" s="79"/>
    </row>
    <row r="165" spans="1:41" x14ac:dyDescent="0.25">
      <c r="A165" s="24" t="s">
        <v>10</v>
      </c>
      <c r="B165" s="25">
        <v>15</v>
      </c>
      <c r="C165" s="26">
        <v>0</v>
      </c>
      <c r="D165" s="27">
        <v>0</v>
      </c>
      <c r="E165" s="27">
        <v>0</v>
      </c>
      <c r="F165" s="27">
        <v>0</v>
      </c>
      <c r="G165" s="28"/>
      <c r="H165" s="28"/>
      <c r="I165" s="28"/>
      <c r="J165" s="26">
        <f t="array" ref="J165">SUM($G$150:$I$150*DecCours*DecPasse^(B165-1))</f>
        <v>128.30155055521743</v>
      </c>
      <c r="K165" s="27"/>
      <c r="L165" s="30"/>
      <c r="M165" s="6"/>
      <c r="N165" s="62"/>
      <c r="O165" s="62"/>
      <c r="P165" s="62"/>
      <c r="Q165" s="62"/>
      <c r="R165" s="62"/>
      <c r="S165" s="62"/>
      <c r="T165" s="62"/>
      <c r="U165" s="80"/>
      <c r="V165" s="62"/>
      <c r="W165" s="62"/>
      <c r="X165" s="62"/>
      <c r="Y165" s="62"/>
      <c r="Z165" s="62"/>
      <c r="AA165" s="79"/>
      <c r="AB165"/>
      <c r="AC165" s="56"/>
      <c r="AD165" s="70"/>
      <c r="AE165" s="71"/>
      <c r="AF165" s="72"/>
      <c r="AG165" s="72"/>
      <c r="AH165" s="128"/>
      <c r="AI165"/>
      <c r="AJ165" s="62"/>
      <c r="AK165" s="62"/>
      <c r="AL165" s="62"/>
      <c r="AM165" s="62"/>
      <c r="AN165" s="62"/>
      <c r="AO165" s="79"/>
    </row>
    <row r="166" spans="1:41" x14ac:dyDescent="0.25">
      <c r="A166" s="24" t="s">
        <v>10</v>
      </c>
      <c r="B166" s="25">
        <v>16</v>
      </c>
      <c r="C166" s="26">
        <v>0</v>
      </c>
      <c r="D166" s="27">
        <v>0</v>
      </c>
      <c r="E166" s="27">
        <v>0</v>
      </c>
      <c r="F166" s="27">
        <v>0</v>
      </c>
      <c r="G166" s="28"/>
      <c r="H166" s="28"/>
      <c r="I166" s="28"/>
      <c r="J166" s="26">
        <f t="array" ref="J166">SUM($G$150:$I$150*DecCours*DecPasse^(B166-1))</f>
        <v>125.47883581381899</v>
      </c>
      <c r="K166" s="27"/>
      <c r="L166" s="30"/>
      <c r="M166" s="6"/>
      <c r="N166" s="62"/>
      <c r="O166" s="62"/>
      <c r="P166" s="62"/>
      <c r="Q166" s="62"/>
      <c r="R166" s="62"/>
      <c r="S166" s="62"/>
      <c r="T166" s="62"/>
      <c r="U166" s="80"/>
      <c r="V166" s="62"/>
      <c r="W166" s="62"/>
      <c r="X166" s="62"/>
      <c r="Y166" s="62"/>
      <c r="Z166" s="62"/>
      <c r="AA166" s="79"/>
      <c r="AB166"/>
      <c r="AC166" s="56"/>
      <c r="AD166" s="70"/>
      <c r="AE166" s="71"/>
      <c r="AF166" s="72"/>
      <c r="AG166" s="72"/>
      <c r="AH166" s="128"/>
      <c r="AI166"/>
      <c r="AJ166" s="62"/>
      <c r="AK166" s="62"/>
      <c r="AL166" s="62"/>
      <c r="AM166" s="62"/>
      <c r="AN166" s="62"/>
      <c r="AO166" s="79"/>
    </row>
    <row r="167" spans="1:41" x14ac:dyDescent="0.25">
      <c r="A167" s="24" t="s">
        <v>10</v>
      </c>
      <c r="B167" s="25">
        <v>17</v>
      </c>
      <c r="C167" s="26">
        <v>0</v>
      </c>
      <c r="D167" s="27">
        <v>0</v>
      </c>
      <c r="E167" s="27">
        <v>0</v>
      </c>
      <c r="F167" s="27">
        <v>0</v>
      </c>
      <c r="G167" s="28"/>
      <c r="H167" s="28"/>
      <c r="I167" s="28"/>
      <c r="J167" s="26">
        <f t="array" ref="J167">SUM($G$150:$I$150*DecCours*DecPasse^(B167-1))</f>
        <v>122.75333314275932</v>
      </c>
      <c r="K167" s="27"/>
      <c r="L167" s="30"/>
      <c r="M167" s="6"/>
      <c r="N167" s="62"/>
      <c r="O167" s="62"/>
      <c r="P167" s="62"/>
      <c r="Q167" s="62"/>
      <c r="R167" s="62"/>
      <c r="S167" s="62"/>
      <c r="T167" s="62"/>
      <c r="U167" s="80"/>
      <c r="V167" s="62"/>
      <c r="W167" s="62"/>
      <c r="X167" s="62"/>
      <c r="Y167" s="62"/>
      <c r="Z167" s="62"/>
      <c r="AA167" s="79"/>
      <c r="AB167"/>
      <c r="AC167" s="56"/>
      <c r="AD167" s="70"/>
      <c r="AE167" s="71"/>
      <c r="AF167" s="72"/>
      <c r="AG167" s="72"/>
      <c r="AH167" s="128"/>
      <c r="AI167"/>
      <c r="AJ167" s="62"/>
      <c r="AK167" s="62"/>
      <c r="AL167" s="62"/>
      <c r="AM167" s="62"/>
      <c r="AN167" s="62"/>
      <c r="AO167" s="79"/>
    </row>
    <row r="168" spans="1:41" x14ac:dyDescent="0.25">
      <c r="A168" s="24" t="s">
        <v>10</v>
      </c>
      <c r="B168" s="25">
        <v>18</v>
      </c>
      <c r="C168" s="26">
        <v>0</v>
      </c>
      <c r="D168" s="27">
        <v>0</v>
      </c>
      <c r="E168" s="27">
        <v>0</v>
      </c>
      <c r="F168" s="27">
        <v>0</v>
      </c>
      <c r="G168" s="28"/>
      <c r="H168" s="28"/>
      <c r="I168" s="28"/>
      <c r="J168" s="26">
        <f t="array" ref="J168">SUM($G$150:$I$150*DecCours*DecPasse^(B168-1))</f>
        <v>120.11218819789883</v>
      </c>
      <c r="K168" s="27"/>
      <c r="L168" s="30"/>
      <c r="M168" s="6"/>
      <c r="N168" s="62"/>
      <c r="O168" s="62"/>
      <c r="P168" s="62"/>
      <c r="Q168" s="62"/>
      <c r="R168" s="62"/>
      <c r="S168" s="62"/>
      <c r="T168" s="62"/>
      <c r="U168" s="80"/>
      <c r="V168" s="62"/>
      <c r="W168" s="62"/>
      <c r="X168" s="62"/>
      <c r="Y168" s="62"/>
      <c r="Z168" s="62"/>
      <c r="AA168" s="79"/>
      <c r="AB168"/>
      <c r="AC168" s="56"/>
      <c r="AD168" s="70"/>
      <c r="AE168" s="71"/>
      <c r="AF168" s="72"/>
      <c r="AG168" s="72"/>
      <c r="AH168" s="128"/>
      <c r="AI168"/>
      <c r="AJ168" s="62"/>
      <c r="AK168" s="62"/>
      <c r="AL168" s="62"/>
      <c r="AM168" s="62"/>
      <c r="AN168" s="62"/>
      <c r="AO168" s="79"/>
    </row>
    <row r="169" spans="1:41" x14ac:dyDescent="0.25">
      <c r="A169" s="24" t="s">
        <v>10</v>
      </c>
      <c r="B169" s="25">
        <v>19</v>
      </c>
      <c r="C169" s="26">
        <v>0</v>
      </c>
      <c r="D169" s="27">
        <v>0</v>
      </c>
      <c r="E169" s="27">
        <v>0</v>
      </c>
      <c r="F169" s="27">
        <v>0</v>
      </c>
      <c r="G169" s="28"/>
      <c r="H169" s="28"/>
      <c r="I169" s="28"/>
      <c r="J169" s="26">
        <f t="array" ref="J169">SUM($G$150:$I$150*DecCours*DecPasse^(B169-1))</f>
        <v>117.54596942632871</v>
      </c>
      <c r="K169" s="27"/>
      <c r="L169" s="30"/>
      <c r="M169" s="6"/>
      <c r="N169" s="62"/>
      <c r="O169" s="62"/>
      <c r="P169" s="62"/>
      <c r="Q169" s="62"/>
      <c r="R169" s="62"/>
      <c r="S169" s="62"/>
      <c r="T169" s="62"/>
      <c r="U169" s="80"/>
      <c r="V169" s="62"/>
      <c r="W169" s="62"/>
      <c r="X169" s="62"/>
      <c r="Y169" s="62"/>
      <c r="Z169" s="62"/>
      <c r="AA169" s="79"/>
      <c r="AB169"/>
      <c r="AC169" s="56"/>
      <c r="AD169" s="70"/>
      <c r="AE169" s="71"/>
      <c r="AF169" s="72"/>
      <c r="AG169" s="72"/>
      <c r="AH169" s="128"/>
      <c r="AI169"/>
      <c r="AJ169" s="62"/>
      <c r="AK169" s="62"/>
      <c r="AL169" s="62"/>
      <c r="AM169" s="62"/>
      <c r="AN169" s="62"/>
      <c r="AO169" s="79"/>
    </row>
    <row r="170" spans="1:41" x14ac:dyDescent="0.25">
      <c r="A170" s="24" t="s">
        <v>10</v>
      </c>
      <c r="B170" s="25">
        <v>20</v>
      </c>
      <c r="C170" s="26">
        <v>0</v>
      </c>
      <c r="D170" s="27">
        <v>0</v>
      </c>
      <c r="E170" s="27">
        <v>0</v>
      </c>
      <c r="F170" s="27">
        <v>0</v>
      </c>
      <c r="G170" s="28"/>
      <c r="H170" s="28"/>
      <c r="I170" s="28"/>
      <c r="J170" s="26">
        <f t="array" ref="J170">SUM($G$150:$I$150*DecCours*DecPasse^(B170-1))</f>
        <v>115.0476732450132</v>
      </c>
      <c r="K170" s="27"/>
      <c r="L170" s="30"/>
      <c r="M170" s="6"/>
      <c r="N170" s="62"/>
      <c r="O170" s="62"/>
      <c r="P170" s="62"/>
      <c r="Q170" s="62"/>
      <c r="R170" s="62"/>
      <c r="S170" s="62"/>
      <c r="T170" s="62"/>
      <c r="U170" s="80"/>
      <c r="V170" s="62"/>
      <c r="W170" s="62"/>
      <c r="X170" s="62"/>
      <c r="Y170" s="62"/>
      <c r="Z170" s="62"/>
      <c r="AA170" s="79"/>
      <c r="AB170"/>
      <c r="AC170" s="56"/>
      <c r="AD170" s="70"/>
      <c r="AE170" s="71"/>
      <c r="AF170" s="72"/>
      <c r="AG170" s="72"/>
      <c r="AH170" s="128"/>
      <c r="AI170"/>
      <c r="AJ170" s="62"/>
      <c r="AK170" s="62"/>
      <c r="AL170" s="62"/>
      <c r="AM170" s="62"/>
      <c r="AN170" s="62"/>
      <c r="AO170" s="79"/>
    </row>
    <row r="171" spans="1:41" x14ac:dyDescent="0.25">
      <c r="A171" s="24" t="s">
        <v>10</v>
      </c>
      <c r="B171" s="25">
        <v>21</v>
      </c>
      <c r="C171" s="26">
        <v>0</v>
      </c>
      <c r="D171" s="27">
        <v>0</v>
      </c>
      <c r="E171" s="27">
        <v>0</v>
      </c>
      <c r="F171" s="27">
        <v>0</v>
      </c>
      <c r="G171" s="28"/>
      <c r="H171" s="28"/>
      <c r="I171" s="28"/>
      <c r="J171" s="26">
        <f t="array" ref="J171">SUM($G$150:$I$150*DecCours*DecPasse^(B171-1))</f>
        <v>112.6120204182085</v>
      </c>
      <c r="K171" s="27"/>
      <c r="L171" s="30"/>
      <c r="M171" s="6"/>
      <c r="N171" s="62"/>
      <c r="O171" s="62"/>
      <c r="P171" s="62"/>
      <c r="Q171" s="62"/>
      <c r="R171" s="62"/>
      <c r="S171" s="62"/>
      <c r="T171" s="62"/>
      <c r="U171" s="80"/>
      <c r="V171" s="62"/>
      <c r="W171" s="62"/>
      <c r="X171" s="62"/>
      <c r="Y171" s="62"/>
      <c r="Z171" s="62"/>
      <c r="AA171" s="79"/>
      <c r="AB171"/>
      <c r="AC171" s="56"/>
      <c r="AD171" s="70"/>
      <c r="AE171" s="71"/>
      <c r="AF171" s="72"/>
      <c r="AG171" s="72"/>
      <c r="AH171" s="128"/>
      <c r="AI171"/>
      <c r="AJ171" s="62"/>
      <c r="AK171" s="62"/>
      <c r="AL171" s="62"/>
      <c r="AM171" s="62"/>
      <c r="AN171" s="62"/>
      <c r="AO171" s="79"/>
    </row>
    <row r="172" spans="1:41" x14ac:dyDescent="0.25">
      <c r="A172" s="24" t="s">
        <v>10</v>
      </c>
      <c r="B172" s="25">
        <v>22</v>
      </c>
      <c r="C172" s="26">
        <v>0</v>
      </c>
      <c r="D172" s="27">
        <v>0</v>
      </c>
      <c r="E172" s="27">
        <v>0</v>
      </c>
      <c r="F172" s="27">
        <v>0</v>
      </c>
      <c r="G172" s="28"/>
      <c r="H172" s="28"/>
      <c r="I172" s="28"/>
      <c r="J172" s="26">
        <f t="array" ref="J172">SUM($G$150:$I$150*DecCours*DecPasse^(B172-1))</f>
        <v>110.23495834772783</v>
      </c>
      <c r="K172" s="27"/>
      <c r="L172" s="30"/>
      <c r="M172" s="6"/>
      <c r="N172" s="62"/>
      <c r="O172" s="62"/>
      <c r="P172" s="62"/>
      <c r="Q172" s="62"/>
      <c r="R172" s="62"/>
      <c r="S172" s="62"/>
      <c r="T172" s="62"/>
      <c r="U172" s="80"/>
      <c r="V172" s="62"/>
      <c r="W172" s="62"/>
      <c r="X172" s="62"/>
      <c r="Y172" s="62"/>
      <c r="Z172" s="62"/>
      <c r="AA172" s="79"/>
      <c r="AB172"/>
      <c r="AC172" s="56"/>
      <c r="AD172" s="70"/>
      <c r="AE172" s="71"/>
      <c r="AF172" s="72"/>
      <c r="AG172" s="72"/>
      <c r="AH172" s="128"/>
      <c r="AI172"/>
      <c r="AJ172" s="62"/>
      <c r="AK172" s="62"/>
      <c r="AL172" s="62"/>
      <c r="AM172" s="62"/>
      <c r="AN172" s="62"/>
      <c r="AO172" s="79"/>
    </row>
    <row r="173" spans="1:41" x14ac:dyDescent="0.25">
      <c r="A173" s="24" t="s">
        <v>10</v>
      </c>
      <c r="B173" s="25">
        <v>23</v>
      </c>
      <c r="C173" s="26">
        <v>0</v>
      </c>
      <c r="D173" s="27">
        <v>0</v>
      </c>
      <c r="E173" s="27">
        <v>0</v>
      </c>
      <c r="F173" s="27">
        <v>0</v>
      </c>
      <c r="G173" s="28"/>
      <c r="H173" s="28"/>
      <c r="I173" s="28"/>
      <c r="J173" s="26">
        <f t="array" ref="J173">SUM($G$150:$I$150*DecCours*DecPasse^(B173-1))</f>
        <v>107.91330896969221</v>
      </c>
      <c r="K173" s="27"/>
      <c r="L173" s="30"/>
      <c r="M173" s="6"/>
      <c r="N173" s="62"/>
      <c r="O173" s="62"/>
      <c r="P173" s="62"/>
      <c r="Q173" s="62"/>
      <c r="R173" s="62"/>
      <c r="S173" s="62"/>
      <c r="T173" s="62"/>
      <c r="U173" s="80"/>
      <c r="V173" s="62"/>
      <c r="W173" s="62"/>
      <c r="X173" s="62"/>
      <c r="Y173" s="62"/>
      <c r="Z173" s="62"/>
      <c r="AA173" s="79"/>
      <c r="AB173"/>
      <c r="AC173" s="56"/>
      <c r="AD173" s="70"/>
      <c r="AE173" s="71"/>
      <c r="AF173" s="72"/>
      <c r="AG173" s="72"/>
      <c r="AH173" s="128"/>
      <c r="AI173"/>
      <c r="AJ173" s="62"/>
      <c r="AK173" s="62"/>
      <c r="AL173" s="62"/>
      <c r="AM173" s="62"/>
      <c r="AN173" s="62"/>
      <c r="AO173" s="79"/>
    </row>
    <row r="174" spans="1:41" x14ac:dyDescent="0.25">
      <c r="A174" s="24" t="s">
        <v>10</v>
      </c>
      <c r="B174" s="25">
        <v>24</v>
      </c>
      <c r="C174" s="26">
        <v>0</v>
      </c>
      <c r="D174" s="27">
        <v>0</v>
      </c>
      <c r="E174" s="27">
        <v>0</v>
      </c>
      <c r="F174" s="27">
        <v>0</v>
      </c>
      <c r="G174" s="28"/>
      <c r="H174" s="28"/>
      <c r="I174" s="28"/>
      <c r="J174" s="26">
        <f t="array" ref="J174">SUM($G$150:$I$150*DecCours*DecPasse^(B174-1))</f>
        <v>105.64451961462869</v>
      </c>
      <c r="K174" s="27"/>
      <c r="L174" s="30"/>
      <c r="M174" s="6"/>
      <c r="N174" s="62"/>
      <c r="O174" s="62"/>
      <c r="P174" s="62"/>
      <c r="Q174" s="62"/>
      <c r="R174" s="62"/>
      <c r="S174" s="62"/>
      <c r="T174" s="62"/>
      <c r="U174" s="80"/>
      <c r="V174" s="62"/>
      <c r="W174" s="62"/>
      <c r="X174" s="62"/>
      <c r="Y174" s="62"/>
      <c r="Z174" s="62"/>
      <c r="AA174" s="79"/>
      <c r="AB174"/>
      <c r="AC174" s="56"/>
      <c r="AD174" s="70"/>
      <c r="AE174" s="71"/>
      <c r="AF174" s="72"/>
      <c r="AG174" s="72"/>
      <c r="AH174" s="128"/>
      <c r="AI174"/>
      <c r="AJ174" s="62"/>
      <c r="AK174" s="62"/>
      <c r="AL174" s="62"/>
      <c r="AM174" s="62"/>
      <c r="AN174" s="62"/>
      <c r="AO174" s="79"/>
    </row>
    <row r="175" spans="1:41" x14ac:dyDescent="0.25">
      <c r="A175" s="24" t="s">
        <v>10</v>
      </c>
      <c r="B175" s="25">
        <v>25</v>
      </c>
      <c r="C175" s="26">
        <f>36*C79</f>
        <v>38.520000000000003</v>
      </c>
      <c r="D175" s="27">
        <f>30%*0.84</f>
        <v>0.252</v>
      </c>
      <c r="E175" s="27">
        <v>0</v>
      </c>
      <c r="F175" s="27">
        <v>0.7</v>
      </c>
      <c r="G175" s="28">
        <f>$C$175*D175*InfraPinL*TauxC*MasseMol</f>
        <v>7.7769568799999993</v>
      </c>
      <c r="H175" s="28">
        <f>$C$175*E175*InfraPinL*TauxC*MasseMol</f>
        <v>0</v>
      </c>
      <c r="I175" s="28">
        <f>$C$175*F175*InfraPinL*TauxC*MasseMol</f>
        <v>21.602658000000002</v>
      </c>
      <c r="J175" s="26">
        <f t="array" ref="J175">SUM($G$150:$I$150*DecCours*DecPasse^(B175-1))</f>
        <v>103.42648667756649</v>
      </c>
      <c r="K175" s="29"/>
      <c r="L175" s="30">
        <f t="array" ref="L175">C175*(SUM(D175:F175*CoefSubst))</f>
        <v>35.516980799999999</v>
      </c>
      <c r="M175" s="6"/>
      <c r="N175" s="62"/>
      <c r="O175" s="62"/>
      <c r="P175" s="62"/>
      <c r="Q175" s="62"/>
      <c r="R175" s="62"/>
      <c r="S175" s="62"/>
      <c r="T175" s="62"/>
      <c r="U175" s="80"/>
      <c r="V175" s="62"/>
      <c r="W175" s="62"/>
      <c r="X175" s="62"/>
      <c r="Y175" s="62"/>
      <c r="Z175" s="62"/>
      <c r="AA175" s="79"/>
      <c r="AB175"/>
      <c r="AC175" s="56">
        <v>81</v>
      </c>
      <c r="AD175" s="70">
        <f>AD150+($AD$200-$AD$81)/($AC$200-$AC$81)</f>
        <v>549.00000000000011</v>
      </c>
      <c r="AE175" s="71">
        <f>AD175*1.3</f>
        <v>713.70000000000016</v>
      </c>
      <c r="AF175" s="72">
        <f>AE175*InfraCed</f>
        <v>256.93200000000007</v>
      </c>
      <c r="AG175" s="72">
        <f>EXP(-1.0587  + 0.8836*LN(AF175) + 0.284)</f>
        <v>62.067953229346614</v>
      </c>
      <c r="AH175" s="128">
        <f>((AF175+AG175)*TauxC + Csol + Clitiere)*MasseMol</f>
        <v>848.92491854111211</v>
      </c>
      <c r="AI175"/>
      <c r="AJ175" s="62"/>
      <c r="AK175" s="62"/>
      <c r="AL175" s="62"/>
      <c r="AM175" s="62"/>
      <c r="AN175" s="62"/>
      <c r="AO175" s="79"/>
    </row>
    <row r="176" spans="1:41" x14ac:dyDescent="0.25">
      <c r="A176" s="24" t="s">
        <v>10</v>
      </c>
      <c r="B176" s="25">
        <v>26</v>
      </c>
      <c r="C176" s="26">
        <v>0</v>
      </c>
      <c r="D176" s="27">
        <v>0</v>
      </c>
      <c r="E176" s="27">
        <v>0</v>
      </c>
      <c r="F176" s="27">
        <v>0</v>
      </c>
      <c r="G176" s="28"/>
      <c r="H176" s="28"/>
      <c r="I176" s="28"/>
      <c r="J176" s="26">
        <f t="array" ref="J176">SUM($G$150:$I$150*DecCours*DecPasse^(B176-1)) + SUM(G175:I175*DecCours)</f>
        <v>130.26381552836446</v>
      </c>
      <c r="K176" s="29"/>
      <c r="L176" s="30"/>
      <c r="M176" s="6"/>
      <c r="N176" s="62"/>
      <c r="O176" s="62"/>
      <c r="P176" s="62"/>
      <c r="Q176" s="62"/>
      <c r="R176" s="62"/>
      <c r="S176" s="62"/>
      <c r="T176" s="62"/>
      <c r="U176" s="80"/>
      <c r="V176" s="62"/>
      <c r="W176" s="62"/>
      <c r="X176" s="62"/>
      <c r="Y176" s="62"/>
      <c r="Z176" s="62"/>
      <c r="AA176" s="79"/>
      <c r="AB176"/>
      <c r="AC176" s="56"/>
      <c r="AD176" s="70"/>
      <c r="AE176" s="71"/>
      <c r="AF176" s="72"/>
      <c r="AG176" s="72"/>
      <c r="AH176" s="128"/>
      <c r="AI176"/>
      <c r="AJ176" s="62"/>
      <c r="AK176" s="62"/>
      <c r="AL176" s="62"/>
      <c r="AM176" s="62"/>
      <c r="AN176" s="62"/>
      <c r="AO176" s="79"/>
    </row>
    <row r="177" spans="1:41" x14ac:dyDescent="0.25">
      <c r="A177" s="24" t="s">
        <v>10</v>
      </c>
      <c r="B177" s="25">
        <v>27</v>
      </c>
      <c r="C177" s="26">
        <v>0</v>
      </c>
      <c r="D177" s="27">
        <v>0</v>
      </c>
      <c r="E177" s="27">
        <v>0</v>
      </c>
      <c r="F177" s="27">
        <v>0</v>
      </c>
      <c r="G177" s="28"/>
      <c r="H177" s="28"/>
      <c r="I177" s="28"/>
      <c r="J177" s="26">
        <f t="array" ref="J177">SUM($G$150:$I$150*DecCours*DecPasse^(B177-1)) + SUM($G$175:$I$175*DecCours*DecPasse^(B177-$B$175-1))</f>
        <v>127.40858007461802</v>
      </c>
      <c r="K177" s="29"/>
      <c r="L177" s="30"/>
      <c r="M177" s="6"/>
      <c r="N177" s="62"/>
      <c r="O177" s="62"/>
      <c r="P177" s="62"/>
      <c r="Q177" s="62"/>
      <c r="R177" s="62"/>
      <c r="S177" s="62"/>
      <c r="T177" s="62"/>
      <c r="U177" s="80"/>
      <c r="V177" s="62"/>
      <c r="W177" s="62"/>
      <c r="X177" s="62"/>
      <c r="Y177" s="62"/>
      <c r="Z177" s="62"/>
      <c r="AA177" s="79"/>
      <c r="AB177"/>
      <c r="AC177" s="56"/>
      <c r="AD177" s="70"/>
      <c r="AE177" s="71"/>
      <c r="AF177" s="72"/>
      <c r="AG177" s="72"/>
      <c r="AH177" s="128"/>
      <c r="AI177"/>
      <c r="AJ177" s="62"/>
      <c r="AK177" s="62"/>
      <c r="AL177" s="62"/>
      <c r="AM177" s="62"/>
      <c r="AN177" s="62"/>
      <c r="AO177" s="79"/>
    </row>
    <row r="178" spans="1:41" x14ac:dyDescent="0.25">
      <c r="A178" s="24" t="s">
        <v>10</v>
      </c>
      <c r="B178" s="25">
        <v>28</v>
      </c>
      <c r="C178" s="26">
        <v>0</v>
      </c>
      <c r="D178" s="27">
        <v>0</v>
      </c>
      <c r="E178" s="27">
        <v>0</v>
      </c>
      <c r="F178" s="27">
        <v>0</v>
      </c>
      <c r="G178" s="28"/>
      <c r="H178" s="28"/>
      <c r="I178" s="28"/>
      <c r="J178" s="26">
        <f t="array" ref="J178">SUM($G$150:$I$150*DecCours*DecPasse^(B178-1)) + SUM($G$175:$I$175*DecCours*DecPasse^(B178-$B$175-1))</f>
        <v>124.61830018230366</v>
      </c>
      <c r="K178" s="29"/>
      <c r="L178" s="30"/>
      <c r="M178" s="6"/>
      <c r="N178" s="62"/>
      <c r="O178" s="62"/>
      <c r="P178" s="62"/>
      <c r="Q178" s="62"/>
      <c r="R178" s="62"/>
      <c r="S178" s="62"/>
      <c r="T178" s="62"/>
      <c r="U178" s="80"/>
      <c r="V178" s="62"/>
      <c r="W178" s="62"/>
      <c r="X178" s="62"/>
      <c r="Y178" s="62"/>
      <c r="Z178" s="62"/>
      <c r="AA178" s="79"/>
      <c r="AB178"/>
      <c r="AC178" s="56"/>
      <c r="AD178" s="70"/>
      <c r="AE178" s="71"/>
      <c r="AF178" s="72"/>
      <c r="AG178" s="72"/>
      <c r="AH178" s="128"/>
      <c r="AI178"/>
      <c r="AJ178" s="62"/>
      <c r="AK178" s="62"/>
      <c r="AL178" s="62"/>
      <c r="AM178" s="62"/>
      <c r="AN178" s="62"/>
      <c r="AO178" s="79"/>
    </row>
    <row r="179" spans="1:41" x14ac:dyDescent="0.25">
      <c r="A179" s="24" t="s">
        <v>10</v>
      </c>
      <c r="B179" s="25">
        <v>29</v>
      </c>
      <c r="C179" s="26">
        <v>0</v>
      </c>
      <c r="D179" s="27">
        <v>0</v>
      </c>
      <c r="E179" s="27">
        <v>0</v>
      </c>
      <c r="F179" s="27">
        <v>0</v>
      </c>
      <c r="G179" s="28"/>
      <c r="H179" s="28"/>
      <c r="I179" s="28"/>
      <c r="J179" s="26">
        <f t="array" ref="J179">SUM($G$150:$I$150*DecCours*DecPasse^(B179-1)) + SUM($G$175:$I$175*DecCours*DecPasse^(B179-$B$175-1))</f>
        <v>121.89124030642222</v>
      </c>
      <c r="K179" s="29"/>
      <c r="L179" s="30"/>
      <c r="M179" s="6"/>
      <c r="N179" s="62"/>
      <c r="O179" s="62"/>
      <c r="P179" s="62"/>
      <c r="Q179" s="62"/>
      <c r="R179" s="62"/>
      <c r="S179" s="62"/>
      <c r="T179" s="62"/>
      <c r="U179" s="80"/>
      <c r="V179" s="62"/>
      <c r="W179" s="62"/>
      <c r="X179" s="62"/>
      <c r="Y179" s="62"/>
      <c r="Z179" s="62"/>
      <c r="AA179" s="79"/>
      <c r="AB179"/>
      <c r="AC179" s="56"/>
      <c r="AD179" s="70"/>
      <c r="AE179" s="71"/>
      <c r="AF179" s="72"/>
      <c r="AG179" s="72"/>
      <c r="AH179" s="128"/>
      <c r="AI179"/>
      <c r="AJ179" s="62"/>
      <c r="AK179" s="62"/>
      <c r="AL179" s="62"/>
      <c r="AM179" s="62"/>
      <c r="AN179" s="62"/>
      <c r="AO179" s="79"/>
    </row>
    <row r="180" spans="1:41" x14ac:dyDescent="0.25">
      <c r="A180" s="24" t="s">
        <v>10</v>
      </c>
      <c r="B180" s="25">
        <v>30</v>
      </c>
      <c r="C180" s="26">
        <f>54*C79</f>
        <v>57.78</v>
      </c>
      <c r="D180" s="27">
        <f>30%*0.84</f>
        <v>0.252</v>
      </c>
      <c r="E180" s="27">
        <v>0</v>
      </c>
      <c r="F180" s="27">
        <v>0.7</v>
      </c>
      <c r="G180" s="28">
        <f>$C$180*D180*InfraPinL*TauxC*MasseMol</f>
        <v>11.66543532</v>
      </c>
      <c r="H180" s="28">
        <f>$C$180*E180*InfraPinL*TauxC*MasseMol</f>
        <v>0</v>
      </c>
      <c r="I180" s="28">
        <f>$C$180*F180*InfraPinL*TauxC*MasseMol</f>
        <v>32.403987000000001</v>
      </c>
      <c r="J180" s="26">
        <f t="array" ref="J180">SUM($G$150:$I$150*DecCours*DecPasse^(B180-1)) + SUM($G$175:$I$175*DecCours*DecPasse^(B180-$B$175-1))</f>
        <v>119.22577501152824</v>
      </c>
      <c r="K180" s="29"/>
      <c r="L180" s="30">
        <f t="array" ref="L180">C180*(SUM(D180:F180*CoefSubst))</f>
        <v>53.275471199999998</v>
      </c>
      <c r="M180" s="6"/>
      <c r="N180" s="62"/>
      <c r="O180" s="62"/>
      <c r="P180" s="62"/>
      <c r="Q180" s="62"/>
      <c r="R180" s="62"/>
      <c r="S180" s="62"/>
      <c r="T180" s="62"/>
      <c r="U180" s="80"/>
      <c r="V180" s="62"/>
      <c r="W180" s="62"/>
      <c r="X180" s="62"/>
      <c r="Y180" s="62"/>
      <c r="Z180" s="62"/>
      <c r="AA180" s="79"/>
      <c r="AB180"/>
      <c r="AC180" s="56">
        <v>82</v>
      </c>
      <c r="AD180" s="70">
        <f>AD175+($AD$200-$AD$81)/($AC$200-$AC$81)</f>
        <v>552.60000000000014</v>
      </c>
      <c r="AE180" s="71">
        <f>AD180*1.3</f>
        <v>718.38000000000022</v>
      </c>
      <c r="AF180" s="72">
        <f>AE180*InfraCed</f>
        <v>258.61680000000007</v>
      </c>
      <c r="AG180" s="72">
        <f>EXP(-1.0587  + 0.8836*LN(AF180) + 0.284)</f>
        <v>62.427444141032439</v>
      </c>
      <c r="AH180" s="128">
        <f>((AF180+AG180)*TauxC + Csol + Clitiere)*MasseMol</f>
        <v>852.48539187896483</v>
      </c>
      <c r="AI180"/>
      <c r="AJ180" s="62"/>
      <c r="AK180" s="62"/>
      <c r="AL180" s="62"/>
      <c r="AM180" s="62"/>
      <c r="AN180" s="62"/>
      <c r="AO180" s="79"/>
    </row>
    <row r="181" spans="1:41" x14ac:dyDescent="0.25">
      <c r="A181" s="24" t="s">
        <v>10</v>
      </c>
      <c r="B181" s="25">
        <v>31</v>
      </c>
      <c r="C181" s="26">
        <v>0</v>
      </c>
      <c r="D181" s="27">
        <v>0</v>
      </c>
      <c r="E181" s="27">
        <v>0</v>
      </c>
      <c r="F181" s="27">
        <v>0</v>
      </c>
      <c r="G181" s="28"/>
      <c r="H181" s="28"/>
      <c r="I181" s="28"/>
      <c r="J181" s="26">
        <f t="array" ref="J181">SUM($G$150:$I$150*DecCours*DecPasse^(B181-1)) + SUM($G$175:$I$175*DecCours*DecPasse^(B181-$B$175-1)) + SUM(G180:I180*DecCours)</f>
        <v>160.12994327655491</v>
      </c>
      <c r="K181" s="29"/>
      <c r="L181" s="30"/>
      <c r="M181" s="6"/>
      <c r="N181" s="62"/>
      <c r="O181" s="62"/>
      <c r="P181" s="62"/>
      <c r="Q181" s="62"/>
      <c r="R181" s="62"/>
      <c r="S181" s="62"/>
      <c r="T181" s="62"/>
      <c r="U181" s="80"/>
      <c r="V181" s="62"/>
      <c r="W181" s="62"/>
      <c r="X181" s="62"/>
      <c r="Y181" s="62"/>
      <c r="Z181" s="62"/>
      <c r="AA181" s="79"/>
      <c r="AB181"/>
      <c r="AC181" s="56"/>
      <c r="AD181" s="70"/>
      <c r="AE181" s="71"/>
      <c r="AF181" s="72"/>
      <c r="AG181" s="72"/>
      <c r="AH181" s="128"/>
      <c r="AI181"/>
      <c r="AJ181" s="62"/>
      <c r="AK181" s="62"/>
      <c r="AL181" s="62"/>
      <c r="AM181" s="62"/>
      <c r="AN181" s="62"/>
      <c r="AO181" s="79"/>
    </row>
    <row r="182" spans="1:41" x14ac:dyDescent="0.25">
      <c r="A182" s="24" t="s">
        <v>10</v>
      </c>
      <c r="B182" s="25">
        <v>32</v>
      </c>
      <c r="C182" s="26">
        <v>0</v>
      </c>
      <c r="D182" s="27">
        <v>0</v>
      </c>
      <c r="E182" s="27">
        <v>0</v>
      </c>
      <c r="F182" s="27">
        <v>0</v>
      </c>
      <c r="G182" s="28"/>
      <c r="H182" s="28"/>
      <c r="I182" s="28"/>
      <c r="J182" s="26">
        <f t="array" ref="J182">SUM($G$150:$I$150*DecCours*DecPasse^(B182-1)) + SUM($G$175:$I$175*DecCours*DecPasse^(B182-$B$175-1)) + SUM($G$180:$I$180*DecCours*DecPasse^(B182-$B$180-1))</f>
        <v>156.4827041169853</v>
      </c>
      <c r="K182" s="29"/>
      <c r="L182" s="30"/>
      <c r="M182" s="6"/>
      <c r="N182" s="62"/>
      <c r="O182" s="62"/>
      <c r="P182" s="62"/>
      <c r="Q182" s="62"/>
      <c r="R182" s="62"/>
      <c r="S182" s="62"/>
      <c r="T182" s="62"/>
      <c r="U182" s="80"/>
      <c r="V182" s="62"/>
      <c r="W182" s="62"/>
      <c r="X182" s="62"/>
      <c r="Y182" s="62"/>
      <c r="Z182" s="62"/>
      <c r="AA182" s="79"/>
      <c r="AB182"/>
      <c r="AC182" s="56"/>
      <c r="AD182" s="70"/>
      <c r="AE182" s="71"/>
      <c r="AF182" s="72"/>
      <c r="AG182" s="72"/>
      <c r="AH182" s="128"/>
      <c r="AI182"/>
      <c r="AJ182" s="62"/>
      <c r="AK182" s="62"/>
      <c r="AL182" s="62"/>
      <c r="AM182" s="62"/>
      <c r="AN182" s="62"/>
      <c r="AO182" s="79"/>
    </row>
    <row r="183" spans="1:41" x14ac:dyDescent="0.25">
      <c r="A183" s="24" t="s">
        <v>10</v>
      </c>
      <c r="B183" s="25">
        <v>33</v>
      </c>
      <c r="C183" s="26">
        <v>0</v>
      </c>
      <c r="D183" s="27">
        <v>0</v>
      </c>
      <c r="E183" s="27">
        <v>0</v>
      </c>
      <c r="F183" s="27">
        <v>0</v>
      </c>
      <c r="G183" s="28"/>
      <c r="H183" s="28"/>
      <c r="I183" s="28"/>
      <c r="J183" s="26">
        <f t="array" ref="J183">SUM($G$150:$I$150*DecCours*DecPasse^(B183-1)) + SUM($G$175:$I$175*DecCours*DecPasse^(B183-$B$175-1)) + SUM($G$180:$I$180*DecCours*DecPasse^(B183-$B$180-1))</f>
        <v>152.92098493853592</v>
      </c>
      <c r="K183" s="29"/>
      <c r="L183" s="30"/>
      <c r="M183" s="6"/>
      <c r="N183" s="62"/>
      <c r="O183" s="62"/>
      <c r="P183" s="62"/>
      <c r="Q183" s="62"/>
      <c r="R183" s="62"/>
      <c r="S183" s="62"/>
      <c r="T183" s="62"/>
      <c r="U183" s="80"/>
      <c r="V183" s="62"/>
      <c r="W183" s="62"/>
      <c r="X183" s="62"/>
      <c r="Y183" s="62"/>
      <c r="Z183" s="62"/>
      <c r="AA183" s="79"/>
      <c r="AB183"/>
      <c r="AC183" s="56"/>
      <c r="AD183" s="70"/>
      <c r="AE183" s="71"/>
      <c r="AF183" s="72"/>
      <c r="AG183" s="72"/>
      <c r="AH183" s="128"/>
      <c r="AI183"/>
      <c r="AJ183" s="62"/>
      <c r="AK183" s="62"/>
      <c r="AL183" s="62"/>
      <c r="AM183" s="62"/>
      <c r="AN183" s="62"/>
      <c r="AO183" s="79"/>
    </row>
    <row r="184" spans="1:41" x14ac:dyDescent="0.25">
      <c r="A184" s="24" t="s">
        <v>10</v>
      </c>
      <c r="B184" s="25">
        <v>34</v>
      </c>
      <c r="C184" s="26">
        <v>0</v>
      </c>
      <c r="D184" s="27">
        <v>0</v>
      </c>
      <c r="E184" s="27">
        <v>0</v>
      </c>
      <c r="F184" s="27">
        <v>0</v>
      </c>
      <c r="G184" s="28"/>
      <c r="H184" s="28"/>
      <c r="I184" s="28"/>
      <c r="J184" s="26">
        <f t="array" ref="J184">SUM($G$150:$I$150*DecCours*DecPasse^(B184-1)) + SUM($G$175:$I$175*DecCours*DecPasse^(B184-$B$175-1)) + SUM($G$180:$I$180*DecCours*DecPasse^(B184-$B$180-1))</f>
        <v>149.4426876254841</v>
      </c>
      <c r="K184" s="29"/>
      <c r="L184" s="30"/>
      <c r="M184" s="6"/>
      <c r="N184" s="62"/>
      <c r="O184" s="62"/>
      <c r="P184" s="62"/>
      <c r="Q184" s="62"/>
      <c r="R184" s="62"/>
      <c r="S184" s="62"/>
      <c r="T184" s="62"/>
      <c r="U184" s="80"/>
      <c r="V184" s="62"/>
      <c r="W184" s="62"/>
      <c r="X184" s="62"/>
      <c r="Y184" s="62"/>
      <c r="Z184" s="62"/>
      <c r="AA184" s="79"/>
      <c r="AB184"/>
      <c r="AC184" s="56"/>
      <c r="AD184" s="70"/>
      <c r="AE184" s="71"/>
      <c r="AF184" s="72"/>
      <c r="AG184" s="72"/>
      <c r="AH184" s="128"/>
      <c r="AI184"/>
      <c r="AJ184" s="62"/>
      <c r="AK184" s="62"/>
      <c r="AL184" s="62"/>
      <c r="AM184" s="62"/>
      <c r="AN184" s="62"/>
      <c r="AO184" s="79"/>
    </row>
    <row r="185" spans="1:41" x14ac:dyDescent="0.25">
      <c r="A185" s="24" t="s">
        <v>10</v>
      </c>
      <c r="B185" s="25">
        <v>35</v>
      </c>
      <c r="C185" s="26">
        <f>52*C79</f>
        <v>55.64</v>
      </c>
      <c r="D185" s="27">
        <f>50%*0.84</f>
        <v>0.42</v>
      </c>
      <c r="E185" s="27">
        <f>30%*0.84</f>
        <v>0.252</v>
      </c>
      <c r="F185" s="27">
        <v>0.2</v>
      </c>
      <c r="G185" s="28">
        <f>$C$185*D185*InfraPinL*TauxC*MasseMol</f>
        <v>18.7223036</v>
      </c>
      <c r="H185" s="28">
        <f>$C$185*E185*InfraPinL*TauxC*MasseMol</f>
        <v>11.23338216</v>
      </c>
      <c r="I185" s="28">
        <f>$C$185*F185*InfraPinL*TauxC*MasseMol</f>
        <v>8.915382666666666</v>
      </c>
      <c r="J185" s="26">
        <f t="array" ref="J185">SUM($G$150:$I$150*DecCours*DecPasse^(B185-1)) + SUM($G$175:$I$175*DecCours*DecPasse^(B185-$B$175-1)) + SUM($G$180:$I$180*DecCours*DecPasse^(B185-$B$180-1))</f>
        <v>146.04577793666365</v>
      </c>
      <c r="K185" s="29"/>
      <c r="L185" s="30"/>
      <c r="M185" s="6"/>
      <c r="N185" s="62"/>
      <c r="O185" s="62"/>
      <c r="P185" s="62"/>
      <c r="Q185" s="62"/>
      <c r="R185" s="62"/>
      <c r="S185" s="62"/>
      <c r="T185" s="62"/>
      <c r="U185" s="80"/>
      <c r="V185" s="62"/>
      <c r="W185" s="62"/>
      <c r="X185" s="62"/>
      <c r="Y185" s="62"/>
      <c r="Z185" s="62"/>
      <c r="AA185" s="79"/>
      <c r="AB185"/>
      <c r="AC185" s="56">
        <v>83</v>
      </c>
      <c r="AD185" s="70">
        <f>AD180+($AD$200-$AD$81)/($AC$200-$AC$81)</f>
        <v>556.20000000000016</v>
      </c>
      <c r="AE185" s="71">
        <f>AD185*1.3</f>
        <v>723.06000000000029</v>
      </c>
      <c r="AF185" s="72">
        <f>AE185*InfraCed</f>
        <v>260.30160000000012</v>
      </c>
      <c r="AG185" s="72">
        <f>EXP(-1.0587  + 0.8836*LN(AF185) + 0.284)</f>
        <v>62.786662549828797</v>
      </c>
      <c r="AH185" s="128">
        <f>((AF185+AG185)*TauxC + Csol + Clitiere)*MasseMol</f>
        <v>856.04539060761863</v>
      </c>
      <c r="AI185"/>
      <c r="AJ185" s="62"/>
      <c r="AK185" s="62"/>
      <c r="AL185" s="62"/>
      <c r="AM185" s="62"/>
      <c r="AN185" s="62"/>
      <c r="AO185" s="79"/>
    </row>
    <row r="186" spans="1:41" x14ac:dyDescent="0.25">
      <c r="A186" s="24" t="s">
        <v>10</v>
      </c>
      <c r="B186" s="25">
        <v>36</v>
      </c>
      <c r="C186" s="26">
        <v>0</v>
      </c>
      <c r="D186" s="27">
        <v>0</v>
      </c>
      <c r="E186" s="27">
        <v>0</v>
      </c>
      <c r="F186" s="27">
        <v>0</v>
      </c>
      <c r="G186" s="28"/>
      <c r="H186" s="28"/>
      <c r="I186" s="28"/>
      <c r="J186" s="26">
        <f t="array" ref="J186">SUM($G$150:$I$150*DecCours*DecPasse^(B186-1)) + SUM($G$175:$I$175*DecCours*DecPasse^(B186-$B$175-1)) + SUM($G$180:$I$180*DecCours*DecPasse^(B186-$B$180-1)) + SUM(G185:I185*DecCours)</f>
        <v>179.55279211583786</v>
      </c>
      <c r="K186" s="29"/>
      <c r="L186" s="30"/>
      <c r="M186" s="6"/>
      <c r="N186" s="62"/>
      <c r="O186" s="62"/>
      <c r="P186" s="62"/>
      <c r="Q186" s="62"/>
      <c r="R186" s="62"/>
      <c r="S186" s="62"/>
      <c r="T186" s="62"/>
      <c r="U186" s="80"/>
      <c r="V186" s="62"/>
      <c r="W186" s="62"/>
      <c r="X186" s="62"/>
      <c r="Y186" s="62"/>
      <c r="Z186" s="62"/>
      <c r="AA186" s="79"/>
      <c r="AB186"/>
      <c r="AC186" s="56"/>
      <c r="AD186" s="70"/>
      <c r="AE186" s="71"/>
      <c r="AF186" s="72"/>
      <c r="AG186" s="72"/>
      <c r="AH186" s="128"/>
      <c r="AI186"/>
      <c r="AJ186" s="62"/>
      <c r="AK186" s="62"/>
      <c r="AL186" s="62"/>
      <c r="AM186" s="62"/>
      <c r="AN186" s="62"/>
      <c r="AO186" s="79"/>
    </row>
    <row r="187" spans="1:41" x14ac:dyDescent="0.25">
      <c r="A187" s="24" t="s">
        <v>10</v>
      </c>
      <c r="B187" s="25">
        <v>37</v>
      </c>
      <c r="C187" s="26">
        <v>0</v>
      </c>
      <c r="D187" s="27">
        <v>0</v>
      </c>
      <c r="E187" s="27">
        <v>0</v>
      </c>
      <c r="F187" s="27">
        <v>0</v>
      </c>
      <c r="G187" s="28"/>
      <c r="H187" s="28"/>
      <c r="I187" s="28"/>
      <c r="J187" s="26">
        <f t="array" ref="J187">SUM($G$150:$I$150*DecCours*DecPasse^(B187-1)) + SUM($G$175:$I$175*DecCours*DecPasse^(B187-$B$175-1)) + SUM($G$180:$I$180*DecCours*DecPasse^(B187-$B$180-1)) + SUM($G$185:$I$185*DecCours*DecPasse^(B187-$B$185-1))</f>
        <v>172.92825225618748</v>
      </c>
      <c r="K187" s="29"/>
      <c r="L187" s="30"/>
      <c r="M187" s="6"/>
      <c r="N187" s="62"/>
      <c r="O187" s="62"/>
      <c r="P187" s="62"/>
      <c r="Q187" s="62"/>
      <c r="R187" s="62"/>
      <c r="S187" s="62"/>
      <c r="T187" s="62"/>
      <c r="U187" s="80"/>
      <c r="V187" s="62"/>
      <c r="W187" s="62"/>
      <c r="X187" s="62"/>
      <c r="Y187" s="62"/>
      <c r="Z187" s="62"/>
      <c r="AA187" s="79"/>
      <c r="AB187"/>
      <c r="AC187" s="56"/>
      <c r="AD187" s="70"/>
      <c r="AE187" s="71"/>
      <c r="AF187" s="72"/>
      <c r="AG187" s="72"/>
      <c r="AH187" s="128"/>
      <c r="AI187"/>
      <c r="AJ187" s="62"/>
      <c r="AK187" s="62"/>
      <c r="AL187" s="62"/>
      <c r="AM187" s="62"/>
      <c r="AN187" s="62"/>
      <c r="AO187" s="79"/>
    </row>
    <row r="188" spans="1:41" x14ac:dyDescent="0.25">
      <c r="A188" s="24" t="s">
        <v>10</v>
      </c>
      <c r="B188" s="25">
        <v>38</v>
      </c>
      <c r="C188" s="26">
        <v>0</v>
      </c>
      <c r="D188" s="27">
        <v>0</v>
      </c>
      <c r="E188" s="27">
        <v>0</v>
      </c>
      <c r="F188" s="27">
        <v>0</v>
      </c>
      <c r="G188" s="28"/>
      <c r="H188" s="28"/>
      <c r="I188" s="28"/>
      <c r="J188" s="26">
        <f t="array" ref="J188">SUM($G$150:$I$150*DecCours*DecPasse^(B188-1)) + SUM($G$175:$I$175*DecCours*DecPasse^(B188-$B$175-1)) + SUM($G$180:$I$180*DecCours*DecPasse^(B188-$B$180-1)) + SUM($G$185:$I$185*DecCours*DecPasse^(B188-$B$185-1))</f>
        <v>167.20744768025082</v>
      </c>
      <c r="K188" s="29"/>
      <c r="L188" s="30"/>
      <c r="M188" s="6"/>
      <c r="N188" s="62"/>
      <c r="O188" s="62"/>
      <c r="P188" s="62"/>
      <c r="Q188" s="62"/>
      <c r="R188" s="62"/>
      <c r="S188" s="62"/>
      <c r="T188" s="62"/>
      <c r="U188" s="80"/>
      <c r="V188" s="62"/>
      <c r="W188" s="62"/>
      <c r="X188" s="62"/>
      <c r="Y188" s="62"/>
      <c r="Z188" s="62"/>
      <c r="AA188" s="79"/>
      <c r="AB188"/>
      <c r="AC188" s="56"/>
      <c r="AD188" s="70"/>
      <c r="AE188" s="71"/>
      <c r="AF188" s="72"/>
      <c r="AG188" s="72"/>
      <c r="AH188" s="128"/>
      <c r="AI188"/>
      <c r="AJ188" s="62"/>
      <c r="AK188" s="62"/>
      <c r="AL188" s="62"/>
      <c r="AM188" s="62"/>
      <c r="AN188" s="62"/>
      <c r="AO188" s="79"/>
    </row>
    <row r="189" spans="1:41" x14ac:dyDescent="0.25">
      <c r="A189" s="24" t="s">
        <v>10</v>
      </c>
      <c r="B189" s="25">
        <v>39</v>
      </c>
      <c r="C189" s="26">
        <v>0</v>
      </c>
      <c r="D189" s="27">
        <v>0</v>
      </c>
      <c r="E189" s="27">
        <v>0</v>
      </c>
      <c r="F189" s="27">
        <v>0</v>
      </c>
      <c r="G189" s="28"/>
      <c r="H189" s="28"/>
      <c r="I189" s="28"/>
      <c r="J189" s="26">
        <f t="array" ref="J189">SUM($G$150:$I$150*DecCours*DecPasse^(B189-1)) + SUM($G$175:$I$175*DecCours*DecPasse^(B189-$B$175-1)) + SUM($G$180:$I$180*DecCours*DecPasse^(B189-$B$180-1)) + SUM($G$185:$I$185*DecCours*DecPasse^(B189-$B$185-1))</f>
        <v>162.14970348270327</v>
      </c>
      <c r="K189" s="29"/>
      <c r="L189" s="30"/>
      <c r="M189" s="6"/>
      <c r="N189" s="62"/>
      <c r="O189" s="62"/>
      <c r="P189" s="62"/>
      <c r="Q189" s="62"/>
      <c r="R189" s="62"/>
      <c r="S189" s="62"/>
      <c r="T189" s="62"/>
      <c r="U189" s="80"/>
      <c r="V189" s="62"/>
      <c r="W189" s="62"/>
      <c r="X189" s="62"/>
      <c r="Y189" s="62"/>
      <c r="Z189" s="62"/>
      <c r="AA189" s="79"/>
      <c r="AB189"/>
      <c r="AC189" s="56"/>
      <c r="AD189" s="70"/>
      <c r="AE189" s="71"/>
      <c r="AF189" s="72"/>
      <c r="AG189" s="72"/>
      <c r="AH189" s="128"/>
      <c r="AI189"/>
      <c r="AJ189" s="62"/>
      <c r="AK189" s="62"/>
      <c r="AL189" s="62"/>
      <c r="AM189" s="62"/>
      <c r="AN189" s="62"/>
      <c r="AO189" s="79"/>
    </row>
    <row r="190" spans="1:41" x14ac:dyDescent="0.25">
      <c r="A190" s="24" t="s">
        <v>10</v>
      </c>
      <c r="B190" s="25">
        <v>40</v>
      </c>
      <c r="C190" s="26">
        <f>48*C79</f>
        <v>51.36</v>
      </c>
      <c r="D190" s="27">
        <f>50%*0.84</f>
        <v>0.42</v>
      </c>
      <c r="E190" s="27">
        <f>30%*0.84</f>
        <v>0.252</v>
      </c>
      <c r="F190" s="27">
        <v>0.2</v>
      </c>
      <c r="G190" s="28">
        <f>$C$190*D190*InfraPinL*TauxC*MasseMol</f>
        <v>17.282126399999996</v>
      </c>
      <c r="H190" s="28">
        <f>$C$190*E190*InfraPinL*TauxC*MasseMol</f>
        <v>10.36927584</v>
      </c>
      <c r="I190" s="28">
        <f>$C$190*F190*InfraPinL*TauxC*MasseMol</f>
        <v>8.2295840000000009</v>
      </c>
      <c r="J190" s="26">
        <f t="array" ref="J190">SUM($G$150:$I$150*DecCours*DecPasse^(B190-1)) + SUM($G$175:$I$175*DecCours*DecPasse^(B190-$B$175-1)) + SUM($G$180:$I$180*DecCours*DecPasse^(B190-$B$180-1)) + SUM($G$185:$I$185*DecCours*DecPasse^(B190-$B$185-1))</f>
        <v>157.58426463520843</v>
      </c>
      <c r="K190" s="29"/>
      <c r="L190" s="30"/>
      <c r="M190" s="6"/>
      <c r="N190" s="62"/>
      <c r="O190" s="62"/>
      <c r="P190" s="62"/>
      <c r="Q190" s="62"/>
      <c r="R190" s="62"/>
      <c r="S190" s="62"/>
      <c r="T190" s="62"/>
      <c r="U190" s="80"/>
      <c r="V190" s="62"/>
      <c r="W190" s="62"/>
      <c r="X190" s="62"/>
      <c r="Y190" s="62"/>
      <c r="Z190" s="62"/>
      <c r="AA190" s="79"/>
      <c r="AB190"/>
      <c r="AC190" s="56">
        <v>84</v>
      </c>
      <c r="AD190" s="70">
        <f>AD185+($AD$200-$AD$81)/($AC$200-$AC$81)</f>
        <v>559.80000000000018</v>
      </c>
      <c r="AE190" s="71">
        <f>AD190*1.3</f>
        <v>727.74000000000024</v>
      </c>
      <c r="AF190" s="72">
        <f>AE190*InfraCed</f>
        <v>261.98640000000006</v>
      </c>
      <c r="AG190" s="72">
        <f>EXP(-1.0587  + 0.8836*LN(AF190) + 0.284)</f>
        <v>63.14561042409737</v>
      </c>
      <c r="AH190" s="128">
        <f>((AF190+AG190)*TauxC + Csol + Clitiere)*MasseMol</f>
        <v>859.60491815530304</v>
      </c>
      <c r="AI190"/>
      <c r="AJ190" s="62"/>
      <c r="AK190" s="62"/>
      <c r="AL190" s="62"/>
      <c r="AM190" s="62"/>
      <c r="AN190" s="62"/>
      <c r="AO190" s="79"/>
    </row>
    <row r="191" spans="1:41" x14ac:dyDescent="0.25">
      <c r="A191" s="24" t="s">
        <v>10</v>
      </c>
      <c r="B191" s="25">
        <v>41</v>
      </c>
      <c r="C191" s="26">
        <v>0</v>
      </c>
      <c r="D191" s="27">
        <v>0</v>
      </c>
      <c r="E191" s="27">
        <v>0</v>
      </c>
      <c r="F191" s="27">
        <v>0</v>
      </c>
      <c r="G191" s="28"/>
      <c r="H191" s="28"/>
      <c r="I191" s="28"/>
      <c r="J191" s="26">
        <f t="array" ref="J191">SUM($G$150:$I$150*DecCours*DecPasse^(B191-1)) + SUM($G$175:$I$175*DecCours*DecPasse^(B191-$B$175-1)) + SUM($G$180:$I$180*DecCours*DecPasse^(B191-$B$180-1)) + SUM($G$185:$I$185*DecCours*DecPasse^(B191-$B$185-1)) + SUM(G190:I190*DecCours)</f>
        <v>187.38168793107519</v>
      </c>
      <c r="K191" s="29"/>
      <c r="L191" s="30"/>
      <c r="M191" s="6"/>
      <c r="N191" s="62"/>
      <c r="O191" s="62"/>
      <c r="P191" s="62"/>
      <c r="Q191" s="62"/>
      <c r="R191" s="62"/>
      <c r="S191" s="62"/>
      <c r="T191" s="62"/>
      <c r="U191" s="80"/>
      <c r="V191" s="62"/>
      <c r="W191" s="62"/>
      <c r="X191" s="62"/>
      <c r="Y191" s="62"/>
      <c r="Z191" s="62"/>
      <c r="AA191" s="79"/>
      <c r="AB191"/>
      <c r="AC191" s="56"/>
      <c r="AD191" s="70"/>
      <c r="AE191" s="71"/>
      <c r="AF191" s="72"/>
      <c r="AG191" s="72"/>
      <c r="AH191" s="128"/>
      <c r="AI191"/>
      <c r="AJ191" s="62"/>
      <c r="AK191" s="62"/>
      <c r="AL191" s="62"/>
      <c r="AM191" s="62"/>
      <c r="AN191" s="62"/>
      <c r="AO191" s="79"/>
    </row>
    <row r="192" spans="1:41" x14ac:dyDescent="0.25">
      <c r="A192" s="24" t="s">
        <v>10</v>
      </c>
      <c r="B192" s="25">
        <v>42</v>
      </c>
      <c r="C192" s="26">
        <v>0</v>
      </c>
      <c r="D192" s="27">
        <v>0</v>
      </c>
      <c r="E192" s="27">
        <v>0</v>
      </c>
      <c r="F192" s="27">
        <v>0</v>
      </c>
      <c r="G192" s="28"/>
      <c r="H192" s="28"/>
      <c r="I192" s="28"/>
      <c r="J192" s="26">
        <f t="array" ref="J192">SUM($G$150:$I$150*DecCours*DecPasse^(B192-1)) + SUM($G$175:$I$175*DecCours*DecPasse^(B192-$B$175-1)) + SUM($G$180:$I$180*DecCours*DecPasse^(B192-$B$180-1)) + SUM($G$185:$I$185*DecCours*DecPasse^(B192-$B$185-1)) + SUM($G$190:$I$190*DecCours*DecPasse^(B192-$B$190-1))</f>
        <v>180.34775773880756</v>
      </c>
      <c r="K192" s="29"/>
      <c r="L192" s="30"/>
      <c r="M192" s="6"/>
      <c r="N192" s="62"/>
      <c r="O192" s="62"/>
      <c r="P192" s="62"/>
      <c r="Q192" s="62"/>
      <c r="R192" s="62"/>
      <c r="S192" s="62"/>
      <c r="T192" s="62"/>
      <c r="U192" s="80"/>
      <c r="V192" s="62"/>
      <c r="W192" s="62"/>
      <c r="X192" s="62"/>
      <c r="Y192" s="62"/>
      <c r="Z192" s="62"/>
      <c r="AA192" s="79"/>
      <c r="AB192"/>
      <c r="AC192" s="56"/>
      <c r="AD192" s="70"/>
      <c r="AE192" s="71"/>
      <c r="AF192" s="72"/>
      <c r="AG192" s="72"/>
      <c r="AH192" s="128"/>
      <c r="AI192"/>
      <c r="AJ192" s="62"/>
      <c r="AK192" s="62"/>
      <c r="AL192" s="62"/>
      <c r="AM192" s="62"/>
      <c r="AN192" s="62"/>
      <c r="AO192" s="79"/>
    </row>
    <row r="193" spans="1:41" x14ac:dyDescent="0.25">
      <c r="A193" s="24" t="s">
        <v>10</v>
      </c>
      <c r="B193" s="25">
        <v>43</v>
      </c>
      <c r="C193" s="26">
        <v>0</v>
      </c>
      <c r="D193" s="27">
        <v>0</v>
      </c>
      <c r="E193" s="27">
        <v>0</v>
      </c>
      <c r="F193" s="27">
        <v>0</v>
      </c>
      <c r="G193" s="28"/>
      <c r="H193" s="28"/>
      <c r="I193" s="28"/>
      <c r="J193" s="26">
        <f t="array" ref="J193">SUM($G$150:$I$150*DecCours*DecPasse^(B193-1)) + SUM($G$175:$I$175*DecCours*DecPasse^(B193-$B$175-1)) + SUM($G$180:$I$180*DecCours*DecPasse^(B193-$B$180-1)) + SUM($G$185:$I$185*DecCours*DecPasse^(B193-$B$185-1)) + SUM($G$190:$I$190*DecCours*DecPasse^(B193-$B$190-1))</f>
        <v>174.30136167664904</v>
      </c>
      <c r="K193" s="29"/>
      <c r="L193" s="30"/>
      <c r="M193" s="6"/>
      <c r="N193" s="62"/>
      <c r="O193" s="62"/>
      <c r="P193" s="62"/>
      <c r="Q193" s="62"/>
      <c r="R193" s="62"/>
      <c r="S193" s="62"/>
      <c r="T193" s="62"/>
      <c r="U193" s="80"/>
      <c r="V193" s="62"/>
      <c r="W193" s="62"/>
      <c r="X193" s="62"/>
      <c r="Y193" s="62"/>
      <c r="Z193" s="62"/>
      <c r="AA193" s="79"/>
      <c r="AB193"/>
      <c r="AC193" s="56"/>
      <c r="AD193" s="70"/>
      <c r="AE193" s="71"/>
      <c r="AF193" s="72"/>
      <c r="AG193" s="72"/>
      <c r="AH193" s="128"/>
      <c r="AI193"/>
      <c r="AJ193" s="62"/>
      <c r="AK193" s="62"/>
      <c r="AL193" s="62"/>
      <c r="AM193" s="62"/>
      <c r="AN193" s="62"/>
      <c r="AO193" s="79"/>
    </row>
    <row r="194" spans="1:41" x14ac:dyDescent="0.25">
      <c r="A194" s="24" t="s">
        <v>10</v>
      </c>
      <c r="B194" s="25">
        <v>44</v>
      </c>
      <c r="C194" s="26">
        <v>0</v>
      </c>
      <c r="D194" s="27">
        <v>0</v>
      </c>
      <c r="E194" s="27">
        <v>0</v>
      </c>
      <c r="F194" s="27">
        <v>0</v>
      </c>
      <c r="G194" s="28"/>
      <c r="H194" s="28"/>
      <c r="I194" s="28"/>
      <c r="J194" s="26">
        <f t="array" ref="J194">SUM($G$150:$I$150*DecCours*DecPasse^(B194-1)) + SUM($G$175:$I$175*DecCours*DecPasse^(B194-$B$175-1)) + SUM($G$180:$I$180*DecCours*DecPasse^(B194-$B$180-1)) + SUM($G$185:$I$185*DecCours*DecPasse^(B194-$B$185-1)) + SUM($G$190:$I$190*DecCours*DecPasse^(B194-$B$190-1))</f>
        <v>168.97796614912022</v>
      </c>
      <c r="K194" s="29"/>
      <c r="L194" s="30"/>
      <c r="M194" s="6"/>
      <c r="N194" s="62"/>
      <c r="O194" s="62"/>
      <c r="P194" s="62"/>
      <c r="Q194" s="62"/>
      <c r="R194" s="62"/>
      <c r="S194" s="62"/>
      <c r="T194" s="62"/>
      <c r="U194" s="80"/>
      <c r="V194" s="62"/>
      <c r="W194" s="62"/>
      <c r="X194" s="62"/>
      <c r="Y194" s="62"/>
      <c r="Z194" s="62"/>
      <c r="AA194" s="79"/>
      <c r="AB194"/>
      <c r="AC194" s="56"/>
      <c r="AD194" s="70"/>
      <c r="AE194" s="71"/>
      <c r="AF194" s="72"/>
      <c r="AG194" s="72"/>
      <c r="AH194" s="128"/>
      <c r="AI194"/>
      <c r="AJ194" s="62"/>
      <c r="AK194" s="62"/>
      <c r="AL194" s="62"/>
      <c r="AM194" s="62"/>
      <c r="AN194" s="62"/>
      <c r="AO194" s="79"/>
    </row>
    <row r="195" spans="1:41" x14ac:dyDescent="0.25">
      <c r="A195" s="24" t="s">
        <v>10</v>
      </c>
      <c r="B195" s="25">
        <v>45</v>
      </c>
      <c r="C195" s="26">
        <f>57*C79</f>
        <v>60.99</v>
      </c>
      <c r="D195" s="27">
        <f>60%*0.84</f>
        <v>0.504</v>
      </c>
      <c r="E195" s="27">
        <f>20%*0.84</f>
        <v>0.16800000000000001</v>
      </c>
      <c r="F195" s="27">
        <v>0.2</v>
      </c>
      <c r="G195" s="28">
        <f>$C$195*D195*InfraPinL*TauxC*MasseMol</f>
        <v>24.627030119999997</v>
      </c>
      <c r="H195" s="28">
        <f>$C$195*E195*InfraPinL*TauxC*MasseMol</f>
        <v>8.2090100400000008</v>
      </c>
      <c r="I195" s="28">
        <f>$C$195*F195*InfraPinL*TauxC*MasseMol</f>
        <v>9.7726309999999987</v>
      </c>
      <c r="J195" s="26">
        <f t="array" ref="J195">SUM($G$150:$I$150*DecCours*DecPasse^(B195-1)) + SUM($G$175:$I$175*DecCours*DecPasse^(B195-$B$175-1)) + SUM($G$180:$I$180*DecCours*DecPasse^(B195-$B$180-1)) + SUM($G$185:$I$185*DecCours*DecPasse^(B195-$B$185-1)) + SUM($G$190:$I$190*DecCours*DecPasse^(B195-$B$190-1))</f>
        <v>164.18993266485515</v>
      </c>
      <c r="K195" s="29"/>
      <c r="L195" s="30"/>
      <c r="M195" s="6"/>
      <c r="N195" s="62"/>
      <c r="O195" s="62"/>
      <c r="P195" s="62"/>
      <c r="Q195" s="62"/>
      <c r="R195" s="62"/>
      <c r="S195" s="62"/>
      <c r="T195" s="62"/>
      <c r="U195" s="80"/>
      <c r="V195" s="62"/>
      <c r="W195" s="62"/>
      <c r="X195" s="62"/>
      <c r="Y195" s="62"/>
      <c r="Z195" s="62"/>
      <c r="AA195" s="79"/>
      <c r="AB195"/>
      <c r="AC195" s="56">
        <v>85</v>
      </c>
      <c r="AD195" s="70">
        <f>AD190+($AD$200-$AD$81)/($AC$200-$AC$81)</f>
        <v>563.4000000000002</v>
      </c>
      <c r="AE195" s="71">
        <f>AD195*1.3</f>
        <v>732.4200000000003</v>
      </c>
      <c r="AF195" s="72">
        <f>AE195*InfraCed</f>
        <v>263.67120000000011</v>
      </c>
      <c r="AG195" s="72">
        <f>EXP(-1.0587  + 0.8836*LN(AF195) + 0.284)</f>
        <v>63.504289705419772</v>
      </c>
      <c r="AH195" s="128">
        <f>((AF195+AG195)*TauxC + Csol + Clitiere)*MasseMol</f>
        <v>863.16397790360622</v>
      </c>
      <c r="AI195"/>
      <c r="AJ195" s="62"/>
      <c r="AK195" s="62"/>
      <c r="AL195" s="62"/>
      <c r="AM195" s="62"/>
      <c r="AN195" s="62"/>
      <c r="AO195" s="79"/>
    </row>
    <row r="196" spans="1:41" x14ac:dyDescent="0.25">
      <c r="A196" s="24" t="s">
        <v>10</v>
      </c>
      <c r="B196" s="25">
        <v>46</v>
      </c>
      <c r="C196" s="26">
        <v>0</v>
      </c>
      <c r="D196" s="27">
        <v>0</v>
      </c>
      <c r="E196" s="27">
        <v>0</v>
      </c>
      <c r="F196" s="27">
        <v>0</v>
      </c>
      <c r="G196" s="28"/>
      <c r="H196" s="28"/>
      <c r="I196" s="28"/>
      <c r="J196" s="26">
        <f t="array" ref="J196">SUM($G$150:$I$150*DecCours*DecPasse^(B196-1)) + SUM($G$175:$I$175*DecCours*DecPasse^(B196-$B$175-1)) + SUM($G$180:$I$180*DecCours*DecPasse^(B196-$B$180-1)) + SUM($G$185:$I$185*DecCours*DecPasse^(B196-$B$185-1)) + SUM($G$190:$I$190*DecCours*DecPasse^(B196-$B$190-1)) + SUM(G195:I195*DecCours)</f>
        <v>200.76470586332687</v>
      </c>
      <c r="K196" s="29"/>
      <c r="L196" s="30"/>
      <c r="M196" s="6"/>
      <c r="N196" s="62"/>
      <c r="O196" s="62"/>
      <c r="P196" s="62"/>
      <c r="Q196" s="62"/>
      <c r="R196" s="62"/>
      <c r="S196" s="62"/>
      <c r="T196" s="62"/>
      <c r="U196" s="80"/>
      <c r="V196" s="62"/>
      <c r="W196" s="62"/>
      <c r="X196" s="62"/>
      <c r="Y196" s="62"/>
      <c r="Z196" s="62"/>
      <c r="AA196" s="79"/>
      <c r="AB196"/>
      <c r="AC196" s="56"/>
      <c r="AD196" s="70"/>
      <c r="AE196" s="71"/>
      <c r="AF196" s="72"/>
      <c r="AG196" s="72"/>
      <c r="AH196" s="128"/>
      <c r="AI196"/>
      <c r="AJ196" s="62"/>
      <c r="AK196" s="62"/>
      <c r="AL196" s="62"/>
      <c r="AM196" s="62"/>
      <c r="AN196" s="62"/>
      <c r="AO196" s="79"/>
    </row>
    <row r="197" spans="1:41" x14ac:dyDescent="0.25">
      <c r="A197" s="24" t="s">
        <v>10</v>
      </c>
      <c r="B197" s="25">
        <v>47</v>
      </c>
      <c r="C197" s="26">
        <v>0</v>
      </c>
      <c r="D197" s="27">
        <v>0</v>
      </c>
      <c r="E197" s="27">
        <v>0</v>
      </c>
      <c r="F197" s="27">
        <v>0</v>
      </c>
      <c r="G197" s="28"/>
      <c r="H197" s="28"/>
      <c r="I197" s="28"/>
      <c r="J197" s="26">
        <f t="array" ref="J197">SUM($G$150:$I$150*DecCours*DecPasse^(B197-1)) + SUM($G$175:$I$175*DecCours*DecPasse^(B197-$B$175-1)) + SUM($G$180:$I$180*DecCours*DecPasse^(B197-$B$180-1)) + SUM($G$185:$I$185*DecCours*DecPasse^(B197-$B$185-1)) + SUM($G$190:$I$190*DecCours*DecPasse^(B197-$B$190-1)) + SUM($G$195:$I$195*DecCours*DecPasse^(B197-$B$195-1))</f>
        <v>193.9124268880955</v>
      </c>
      <c r="K197" s="29"/>
      <c r="L197" s="30"/>
      <c r="M197" s="6"/>
      <c r="N197" s="62"/>
      <c r="O197" s="62"/>
      <c r="P197" s="62"/>
      <c r="Q197" s="62"/>
      <c r="R197" s="62"/>
      <c r="S197" s="62"/>
      <c r="T197" s="62"/>
      <c r="U197" s="80"/>
      <c r="V197" s="62"/>
      <c r="W197" s="62"/>
      <c r="X197" s="62"/>
      <c r="Y197" s="62"/>
      <c r="Z197" s="62"/>
      <c r="AA197" s="79"/>
      <c r="AB197"/>
      <c r="AC197" s="56"/>
      <c r="AD197" s="70"/>
      <c r="AE197" s="71"/>
      <c r="AF197" s="72"/>
      <c r="AG197" s="72"/>
      <c r="AH197" s="128"/>
      <c r="AI197"/>
      <c r="AJ197" s="62"/>
      <c r="AK197" s="62"/>
      <c r="AL197" s="62"/>
      <c r="AM197" s="62"/>
      <c r="AN197" s="62"/>
      <c r="AO197" s="79"/>
    </row>
    <row r="198" spans="1:41" x14ac:dyDescent="0.25">
      <c r="A198" s="24" t="s">
        <v>10</v>
      </c>
      <c r="B198" s="25">
        <v>48</v>
      </c>
      <c r="C198" s="26">
        <v>0</v>
      </c>
      <c r="D198" s="27">
        <v>0</v>
      </c>
      <c r="E198" s="27">
        <v>0</v>
      </c>
      <c r="F198" s="27">
        <v>0</v>
      </c>
      <c r="G198" s="28"/>
      <c r="H198" s="28"/>
      <c r="I198" s="28"/>
      <c r="J198" s="26">
        <f t="array" ref="J198">SUM($G$150:$I$150*DecCours*DecPasse^(B198-1)) + SUM($G$175:$I$175*DecCours*DecPasse^(B198-$B$175-1)) + SUM($G$180:$I$180*DecCours*DecPasse^(B198-$B$180-1)) + SUM($G$185:$I$185*DecCours*DecPasse^(B198-$B$185-1)) + SUM($G$190:$I$190*DecCours*DecPasse^(B198-$B$190-1)) + SUM($G$195:$I$195*DecCours*DecPasse^(B198-$B$195-1))</f>
        <v>187.91164561076101</v>
      </c>
      <c r="K198" s="29"/>
      <c r="L198" s="30"/>
      <c r="M198" s="6"/>
      <c r="N198" s="62"/>
      <c r="O198" s="62"/>
      <c r="P198" s="62"/>
      <c r="Q198" s="62"/>
      <c r="R198" s="62"/>
      <c r="S198" s="62"/>
      <c r="T198" s="62"/>
      <c r="U198" s="80"/>
      <c r="V198" s="62"/>
      <c r="W198" s="62"/>
      <c r="X198" s="62"/>
      <c r="Y198" s="62"/>
      <c r="Z198" s="62"/>
      <c r="AA198" s="79"/>
      <c r="AB198"/>
      <c r="AC198" s="56"/>
      <c r="AD198" s="70"/>
      <c r="AE198" s="71"/>
      <c r="AF198" s="72"/>
      <c r="AG198" s="72"/>
      <c r="AH198" s="128"/>
      <c r="AI198"/>
      <c r="AJ198" s="62"/>
      <c r="AK198" s="62"/>
      <c r="AL198" s="62"/>
      <c r="AM198" s="62"/>
      <c r="AN198" s="62"/>
      <c r="AO198" s="79"/>
    </row>
    <row r="199" spans="1:41" x14ac:dyDescent="0.25">
      <c r="A199" s="24" t="s">
        <v>10</v>
      </c>
      <c r="B199" s="25">
        <v>49</v>
      </c>
      <c r="C199" s="26">
        <v>0</v>
      </c>
      <c r="D199" s="27">
        <v>0</v>
      </c>
      <c r="E199" s="27">
        <v>0</v>
      </c>
      <c r="F199" s="27">
        <v>0</v>
      </c>
      <c r="G199" s="28"/>
      <c r="H199" s="28"/>
      <c r="I199" s="28"/>
      <c r="J199" s="26">
        <f t="array" ref="J199">SUM($G$150:$I$150*DecCours*DecPasse^(B199-1)) + SUM($G$175:$I$175*DecCours*DecPasse^(B199-$B$175-1)) + SUM($G$180:$I$180*DecCours*DecPasse^(B199-$B$180-1)) + SUM($G$185:$I$185*DecCours*DecPasse^(B199-$B$185-1)) + SUM($G$190:$I$190*DecCours*DecPasse^(B199-$B$190-1)) + SUM($G$195:$I$195*DecCours*DecPasse^(B199-$B$195-1))</f>
        <v>182.53936263901579</v>
      </c>
      <c r="K199" s="29"/>
      <c r="L199" s="30"/>
      <c r="M199" s="6"/>
      <c r="N199" s="62"/>
      <c r="O199" s="62"/>
      <c r="P199" s="62"/>
      <c r="Q199" s="62"/>
      <c r="R199" s="62"/>
      <c r="S199" s="62"/>
      <c r="T199" s="62"/>
      <c r="U199" s="80"/>
      <c r="V199" s="62"/>
      <c r="W199" s="62"/>
      <c r="X199" s="62"/>
      <c r="Y199" s="62"/>
      <c r="Z199" s="62"/>
      <c r="AA199" s="79"/>
      <c r="AB199"/>
      <c r="AC199" s="56"/>
      <c r="AD199" s="70"/>
      <c r="AE199" s="71"/>
      <c r="AF199" s="72"/>
      <c r="AG199" s="72"/>
      <c r="AH199" s="128"/>
      <c r="AI199"/>
      <c r="AJ199" s="62"/>
      <c r="AK199" s="62"/>
      <c r="AL199" s="62"/>
      <c r="AM199" s="62"/>
      <c r="AN199" s="62"/>
      <c r="AO199" s="79"/>
    </row>
    <row r="200" spans="1:41" x14ac:dyDescent="0.25">
      <c r="A200" s="24" t="s">
        <v>10</v>
      </c>
      <c r="B200" s="25">
        <v>50</v>
      </c>
      <c r="C200" s="26">
        <f>47*C79</f>
        <v>50.290000000000006</v>
      </c>
      <c r="D200" s="27">
        <f>60%*0.84</f>
        <v>0.504</v>
      </c>
      <c r="E200" s="27">
        <f>20%*0.84</f>
        <v>0.16800000000000001</v>
      </c>
      <c r="F200" s="27">
        <v>0.2</v>
      </c>
      <c r="G200" s="28">
        <f>$C$200*D200*InfraPinL*TauxC*MasseMol</f>
        <v>20.306498520000002</v>
      </c>
      <c r="H200" s="28">
        <f>$C$200*E200*InfraPinL*TauxC*MasseMol</f>
        <v>6.7688328400000009</v>
      </c>
      <c r="I200" s="28">
        <f>$C$200*F200*InfraPinL*TauxC*MasseMol</f>
        <v>8.0581343333333351</v>
      </c>
      <c r="J200" s="26">
        <f t="array" ref="J200">SUM($G$150:$I$150*DecCours*DecPasse^(B200-1)) + SUM($G$175:$I$175*DecCours*DecPasse^(B200-$B$175-1)) + SUM($G$180:$I$180*DecCours*DecPasse^(B200-$B$180-1)) + SUM($G$185:$I$185*DecCours*DecPasse^(B200-$B$185-1)) + SUM($G$190:$I$190*DecCours*DecPasse^(B200-$B$190-1)) + SUM($G$195:$I$195*DecCours*DecPasse^(B200-$B$195-1))</f>
        <v>177.63727365880379</v>
      </c>
      <c r="K200" s="29"/>
      <c r="L200" s="30"/>
      <c r="M200" s="6"/>
      <c r="N200" s="62"/>
      <c r="O200" s="62"/>
      <c r="P200" s="62"/>
      <c r="Q200" s="62"/>
      <c r="R200" s="62"/>
      <c r="S200" s="62"/>
      <c r="T200" s="62"/>
      <c r="U200" s="80"/>
      <c r="V200" s="62"/>
      <c r="W200" s="62"/>
      <c r="X200" s="62"/>
      <c r="Y200" s="62"/>
      <c r="Z200" s="62"/>
      <c r="AA200" s="79"/>
      <c r="AB200"/>
      <c r="AC200" s="56">
        <v>86</v>
      </c>
      <c r="AD200" s="70">
        <v>567</v>
      </c>
      <c r="AE200" s="71">
        <f>AD200*1.3</f>
        <v>737.1</v>
      </c>
      <c r="AF200" s="72">
        <f>AE200*InfraCed</f>
        <v>265.35599999999999</v>
      </c>
      <c r="AG200" s="72">
        <f>EXP(-1.0587  + 0.8836*LN(AF200) + 0.284)</f>
        <v>63.862702309129887</v>
      </c>
      <c r="AH200" s="128">
        <f>((AF200+AG200)*TauxC + Csol + Clitiere)*MasseMol</f>
        <v>866.72257318840116</v>
      </c>
      <c r="AI200"/>
      <c r="AJ200" s="62"/>
      <c r="AK200" s="62"/>
      <c r="AL200" s="62"/>
      <c r="AM200" s="62"/>
      <c r="AN200" s="62"/>
      <c r="AO200" s="79"/>
    </row>
    <row r="201" spans="1:41" x14ac:dyDescent="0.25">
      <c r="A201" s="24" t="s">
        <v>10</v>
      </c>
      <c r="B201" s="25">
        <v>51</v>
      </c>
      <c r="C201" s="26">
        <v>0</v>
      </c>
      <c r="D201" s="27">
        <v>0</v>
      </c>
      <c r="E201" s="27">
        <v>0</v>
      </c>
      <c r="F201" s="27">
        <v>0</v>
      </c>
      <c r="G201" s="28"/>
      <c r="H201" s="28"/>
      <c r="I201" s="28"/>
      <c r="J201" s="26">
        <f t="array" ref="J201">SUM($G$150:$I$150*DecCours*DecPasse^(B201-1)) + SUM($G$175:$I$175*DecCours*DecPasse^(B201-$B$175-1)) + SUM($G$180:$I$180*DecCours*DecPasse^(B201-$B$180-1)) + SUM($G$185:$I$185*DecCours*DecPasse^(B201-$B$185-1)) + SUM($G$190:$I$190*DecCours*DecPasse^(B201-$B$190-1)) + SUM($G$195:$I$195*DecCours*DecPasse^(B201-$B$195-1)) + SUM($G$200:$I$200*DecCours)</f>
        <v>206.86744450679524</v>
      </c>
      <c r="K201" s="29"/>
      <c r="L201" s="30"/>
      <c r="M201" s="6"/>
      <c r="N201" s="62"/>
      <c r="O201" s="62"/>
      <c r="P201" s="62"/>
      <c r="Q201" s="62"/>
      <c r="R201" s="62"/>
      <c r="S201" s="62"/>
      <c r="T201" s="62"/>
      <c r="U201" s="80"/>
      <c r="V201" s="62"/>
      <c r="W201" s="62"/>
      <c r="X201" s="62"/>
      <c r="Y201" s="62"/>
      <c r="Z201" s="62"/>
      <c r="AA201" s="79"/>
      <c r="AB201"/>
      <c r="AC201" s="56"/>
      <c r="AD201" s="70"/>
      <c r="AE201" s="71"/>
      <c r="AF201" s="72"/>
      <c r="AG201" s="72"/>
      <c r="AH201" s="128"/>
      <c r="AI201"/>
      <c r="AJ201" s="62"/>
      <c r="AK201" s="62"/>
      <c r="AL201" s="62"/>
      <c r="AM201" s="62"/>
      <c r="AN201" s="62"/>
      <c r="AO201" s="79"/>
    </row>
    <row r="202" spans="1:41" x14ac:dyDescent="0.25">
      <c r="A202" s="24" t="s">
        <v>10</v>
      </c>
      <c r="B202" s="25">
        <v>52</v>
      </c>
      <c r="C202" s="26">
        <v>0</v>
      </c>
      <c r="D202" s="27">
        <v>0</v>
      </c>
      <c r="E202" s="27">
        <v>0</v>
      </c>
      <c r="F202" s="27">
        <v>0</v>
      </c>
      <c r="G202" s="28"/>
      <c r="H202" s="28"/>
      <c r="I202" s="28"/>
      <c r="J202" s="26">
        <f t="array" ref="J202">SUM($G$150:$I$150*DecCours*DecPasse^(B202-1)) + SUM($G$175:$I$175*DecCours*DecPasse^(B202-$B$175-1)) + SUM($G$180:$I$180*DecCours*DecPasse^(B202-$B$180-1)) + SUM($G$185:$I$185*DecCours*DecPasse^(B202-$B$185-1)) + SUM($G$190:$I$190*DecCours*DecPasse^(B202-$B$190-1)) + SUM($G$195:$I$195*DecCours*DecPasse^(B202-$B$195-1)) + SUM($G$200:$I$200*DecCours*DecPasse^(B202-$B$200-1))</f>
        <v>200.31341154987211</v>
      </c>
      <c r="K202" s="29"/>
      <c r="L202" s="30"/>
      <c r="M202" s="6"/>
      <c r="N202" s="62"/>
      <c r="O202" s="62"/>
      <c r="P202" s="62"/>
      <c r="Q202" s="62"/>
      <c r="R202" s="62"/>
      <c r="S202" s="62"/>
      <c r="T202" s="62"/>
      <c r="U202" s="80"/>
      <c r="V202" s="62"/>
      <c r="W202" s="62"/>
      <c r="X202" s="62"/>
      <c r="Y202" s="62"/>
      <c r="Z202" s="62"/>
      <c r="AA202" s="79"/>
      <c r="AB202"/>
      <c r="AC202" s="56"/>
      <c r="AD202" s="70"/>
      <c r="AE202" s="71"/>
      <c r="AF202" s="72"/>
      <c r="AG202" s="72"/>
      <c r="AH202" s="128"/>
      <c r="AI202"/>
      <c r="AJ202" s="62"/>
      <c r="AK202" s="62"/>
      <c r="AL202" s="62"/>
      <c r="AM202" s="62"/>
      <c r="AN202" s="62"/>
      <c r="AO202" s="79"/>
    </row>
    <row r="203" spans="1:41" x14ac:dyDescent="0.25">
      <c r="A203" s="24" t="s">
        <v>10</v>
      </c>
      <c r="B203" s="25">
        <v>53</v>
      </c>
      <c r="C203" s="26">
        <v>0</v>
      </c>
      <c r="D203" s="27">
        <v>0</v>
      </c>
      <c r="E203" s="27">
        <v>0</v>
      </c>
      <c r="F203" s="27">
        <v>0</v>
      </c>
      <c r="G203" s="28"/>
      <c r="H203" s="28"/>
      <c r="I203" s="28"/>
      <c r="J203" s="26">
        <f t="array" ref="J203">SUM($G$150:$I$150*DecCours*DecPasse^(B203-1)) + SUM($G$175:$I$175*DecCours*DecPasse^(B203-$B$175-1)) + SUM($G$180:$I$180*DecCours*DecPasse^(B203-$B$180-1)) + SUM($G$185:$I$185*DecCours*DecPasse^(B203-$B$185-1)) + SUM($G$190:$I$190*DecCours*DecPasse^(B203-$B$190-1)) + SUM($G$195:$I$195*DecCours*DecPasse^(B203-$B$195-1)) + SUM($G$200:$I$200*DecCours*DecPasse^(B203-$B$200-1))</f>
        <v>194.48400252720799</v>
      </c>
      <c r="K203" s="29"/>
      <c r="L203" s="30"/>
      <c r="M203" s="6"/>
      <c r="N203" s="62"/>
      <c r="O203" s="62"/>
      <c r="P203" s="62"/>
      <c r="Q203" s="62"/>
      <c r="R203" s="62"/>
      <c r="S203" s="62"/>
      <c r="T203" s="62"/>
      <c r="U203" s="80"/>
      <c r="V203" s="62"/>
      <c r="W203" s="62"/>
      <c r="X203" s="62"/>
      <c r="Y203" s="62"/>
      <c r="Z203" s="62"/>
      <c r="AA203" s="79"/>
      <c r="AB203"/>
      <c r="AC203" s="56"/>
      <c r="AD203" s="70"/>
      <c r="AE203" s="71"/>
      <c r="AF203" s="72"/>
      <c r="AG203" s="72"/>
      <c r="AH203" s="128"/>
      <c r="AI203"/>
      <c r="AJ203" s="62"/>
      <c r="AK203" s="62"/>
      <c r="AL203" s="62"/>
      <c r="AM203" s="62"/>
      <c r="AN203" s="62"/>
      <c r="AO203" s="79"/>
    </row>
    <row r="204" spans="1:41" x14ac:dyDescent="0.25">
      <c r="A204" s="24" t="s">
        <v>10</v>
      </c>
      <c r="B204" s="25">
        <v>54</v>
      </c>
      <c r="C204" s="26">
        <v>0</v>
      </c>
      <c r="D204" s="27">
        <v>0</v>
      </c>
      <c r="E204" s="27">
        <v>0</v>
      </c>
      <c r="F204" s="27">
        <v>0</v>
      </c>
      <c r="G204" s="28"/>
      <c r="H204" s="28"/>
      <c r="I204" s="28"/>
      <c r="J204" s="26">
        <f t="array" ref="J204">SUM($G$150:$I$150*DecCours*DecPasse^(B204-1)) + SUM($G$175:$I$175*DecCours*DecPasse^(B204-$B$175-1)) + SUM($G$180:$I$180*DecCours*DecPasse^(B204-$B$180-1)) + SUM($G$185:$I$185*DecCours*DecPasse^(B204-$B$185-1)) + SUM($G$190:$I$190*DecCours*DecPasse^(B204-$B$190-1)) + SUM($G$195:$I$195*DecCours*DecPasse^(B204-$B$195-1)) + SUM($G$200:$I$200*DecCours*DecPasse^(B204-$B$200-1))</f>
        <v>189.19411573697306</v>
      </c>
      <c r="K204" s="29"/>
      <c r="L204" s="30"/>
      <c r="M204" s="6"/>
      <c r="N204" s="62"/>
      <c r="O204" s="62"/>
      <c r="P204" s="62"/>
      <c r="Q204" s="62"/>
      <c r="R204" s="62"/>
      <c r="S204" s="62"/>
      <c r="T204" s="62"/>
      <c r="U204" s="80"/>
      <c r="V204" s="62"/>
      <c r="W204" s="62"/>
      <c r="X204" s="62"/>
      <c r="Y204" s="62"/>
      <c r="Z204" s="62"/>
      <c r="AA204" s="79"/>
      <c r="AB204"/>
      <c r="AC204" s="56"/>
      <c r="AD204" s="70"/>
      <c r="AE204" s="71"/>
      <c r="AF204" s="72"/>
      <c r="AG204" s="72"/>
      <c r="AH204" s="128"/>
      <c r="AI204"/>
      <c r="AJ204" s="62"/>
      <c r="AK204" s="62"/>
      <c r="AL204" s="62"/>
      <c r="AM204" s="62"/>
      <c r="AN204" s="62"/>
      <c r="AO204" s="79"/>
    </row>
    <row r="205" spans="1:41" x14ac:dyDescent="0.25">
      <c r="A205" s="24" t="s">
        <v>10</v>
      </c>
      <c r="B205" s="25">
        <v>55</v>
      </c>
      <c r="C205" s="26">
        <f>48*C79</f>
        <v>51.36</v>
      </c>
      <c r="D205" s="27">
        <f>60%*0.84</f>
        <v>0.504</v>
      </c>
      <c r="E205" s="27">
        <f>20%*0.84</f>
        <v>0.16800000000000001</v>
      </c>
      <c r="F205" s="27">
        <v>0.2</v>
      </c>
      <c r="G205" s="28">
        <f>$C$205*D205*InfraPinL*TauxC*MasseMol</f>
        <v>20.73855168</v>
      </c>
      <c r="H205" s="28">
        <f>$C$205*E205*InfraPinL*TauxC*MasseMol</f>
        <v>6.9128505599999999</v>
      </c>
      <c r="I205" s="28">
        <f>$C$205*F205*InfraPinL*TauxC*MasseMol</f>
        <v>8.2295840000000009</v>
      </c>
      <c r="J205" s="26">
        <f t="array" ref="J205">SUM($G$150:$I$150*DecCours*DecPasse^(B205-1)) + SUM($G$175:$I$175*DecCours*DecPasse^(B205-$B$175-1)) + SUM($G$180:$I$180*DecCours*DecPasse^(B205-$B$180-1)) + SUM($G$185:$I$185*DecCours*DecPasse^(B205-$B$185-1)) + SUM($G$190:$I$190*DecCours*DecPasse^(B205-$B$190-1)) + SUM($G$195:$I$195*DecCours*DecPasse^(B205-$B$195-1)) + SUM($G$200:$I$200*DecCours*DecPasse^(B205-$B$200-1))</f>
        <v>184.31223115418175</v>
      </c>
      <c r="K205" s="29"/>
      <c r="L205" s="30"/>
      <c r="M205" s="6"/>
      <c r="N205" s="62"/>
      <c r="O205" s="62"/>
      <c r="P205" s="62"/>
      <c r="Q205" s="62"/>
      <c r="R205" s="62"/>
      <c r="S205" s="62"/>
      <c r="T205" s="62"/>
      <c r="U205" s="80"/>
      <c r="V205" s="62"/>
      <c r="W205" s="62"/>
      <c r="X205" s="62"/>
      <c r="Y205" s="62"/>
      <c r="Z205" s="62"/>
      <c r="AA205" s="79"/>
      <c r="AB205"/>
      <c r="AC205" s="56">
        <v>87</v>
      </c>
      <c r="AD205" s="70">
        <f>AD200+($AD$222-$AD$200)/($AC$222-$AC$200)</f>
        <v>568</v>
      </c>
      <c r="AE205" s="71">
        <f>AD205*1.3</f>
        <v>738.4</v>
      </c>
      <c r="AF205" s="72">
        <f>AE205*InfraCed</f>
        <v>265.82399999999996</v>
      </c>
      <c r="AG205" s="72">
        <f>EXP(-1.0587  + 0.8836*LN(AF205) + 0.284)</f>
        <v>63.962214293903529</v>
      </c>
      <c r="AH205" s="128">
        <f>((AF205+AG205)*TauxC + Csol + Clitiere)*MasseMol</f>
        <v>867.71098989521511</v>
      </c>
      <c r="AI205"/>
      <c r="AJ205" s="62"/>
      <c r="AK205" s="62"/>
      <c r="AL205" s="62"/>
      <c r="AM205" s="62"/>
      <c r="AN205" s="62"/>
      <c r="AO205" s="79"/>
    </row>
    <row r="206" spans="1:41" x14ac:dyDescent="0.25">
      <c r="A206" s="24" t="s">
        <v>10</v>
      </c>
      <c r="B206" s="25">
        <v>56</v>
      </c>
      <c r="C206" s="26">
        <v>0</v>
      </c>
      <c r="D206" s="27">
        <v>0</v>
      </c>
      <c r="E206" s="27">
        <v>0</v>
      </c>
      <c r="F206" s="27">
        <v>0</v>
      </c>
      <c r="G206" s="28"/>
      <c r="H206" s="28"/>
      <c r="I206" s="28"/>
      <c r="J206" s="26">
        <f t="array" ref="J206">SUM($G$150:$I$150*DecCours*DecPasse^(B206-1)) + SUM($G$175:$I$175*DecCours*DecPasse^(B206-$B$175-1)) + SUM($G$180:$I$180*DecCours*DecPasse^(B206-$B$180-1)) + SUM($G$185:$I$185*DecCours*DecPasse^(B206-$B$185-1)) + SUM($G$190:$I$190*DecCours*DecPasse^(B206-$B$190-1)) + SUM($G$195:$I$195*DecCours*DecPasse^(B206-$B$195-1)) + SUM($G$200:$I$200*DecCours*DecPasse^(B206-$B$200-1)) + SUM($G$205:$I$205*DecCours)</f>
        <v>214.237949477461</v>
      </c>
      <c r="K206" s="29"/>
      <c r="L206" s="30"/>
      <c r="M206" s="6"/>
      <c r="N206" s="62"/>
      <c r="O206" s="62"/>
      <c r="P206" s="62"/>
      <c r="Q206" s="62"/>
      <c r="R206" s="62"/>
      <c r="S206" s="62"/>
      <c r="T206" s="62"/>
      <c r="U206" s="80"/>
      <c r="V206" s="62"/>
      <c r="W206" s="62"/>
      <c r="X206" s="62"/>
      <c r="Y206" s="62"/>
      <c r="Z206" s="62"/>
      <c r="AA206" s="79"/>
      <c r="AB206"/>
      <c r="AC206" s="56"/>
      <c r="AD206" s="70"/>
      <c r="AE206" s="71"/>
      <c r="AF206" s="72"/>
      <c r="AG206" s="72"/>
      <c r="AH206" s="128"/>
      <c r="AI206"/>
      <c r="AJ206" s="62"/>
      <c r="AK206" s="62"/>
      <c r="AL206" s="62"/>
      <c r="AM206" s="62"/>
      <c r="AN206" s="62"/>
      <c r="AO206" s="79"/>
    </row>
    <row r="207" spans="1:41" x14ac:dyDescent="0.25">
      <c r="A207" s="24" t="s">
        <v>10</v>
      </c>
      <c r="B207" s="25">
        <v>57</v>
      </c>
      <c r="C207" s="26">
        <v>0</v>
      </c>
      <c r="D207" s="27">
        <v>0</v>
      </c>
      <c r="E207" s="27">
        <v>0</v>
      </c>
      <c r="F207" s="27">
        <v>0</v>
      </c>
      <c r="G207" s="28"/>
      <c r="H207" s="28"/>
      <c r="I207" s="28"/>
      <c r="J207" s="26">
        <f t="array" ref="J207">SUM($G$150:$I$150*DecCours*DecPasse^(B207-1)) + SUM($G$175:$I$175*DecCours*DecPasse^(B207-$B$175-1)) + SUM($G$180:$I$180*DecCours*DecPasse^(B207-$B$180-1)) + SUM($G$185:$I$185*DecCours*DecPasse^(B207-$B$185-1)) + SUM($G$190:$I$190*DecCours*DecPasse^(B207-$B$190-1)) + SUM($G$195:$I$195*DecCours*DecPasse^(B207-$B$195-1)) + SUM($G$200:$I$200*DecCours*DecPasse^(B207-$B$200-1)) + SUM($G$205:$I$205*DecCours*DecPasse^(B207-$B$205-1))</f>
        <v>207.5822983522261</v>
      </c>
      <c r="K207" s="29"/>
      <c r="L207" s="30"/>
      <c r="M207" s="6"/>
      <c r="N207" s="62"/>
      <c r="O207" s="62"/>
      <c r="P207" s="62"/>
      <c r="Q207" s="62"/>
      <c r="R207" s="62"/>
      <c r="S207" s="62"/>
      <c r="T207" s="62"/>
      <c r="U207" s="80"/>
      <c r="V207" s="62"/>
      <c r="W207" s="62"/>
      <c r="X207" s="62"/>
      <c r="Y207" s="62"/>
      <c r="Z207" s="62"/>
      <c r="AA207" s="79"/>
      <c r="AB207"/>
      <c r="AC207" s="56"/>
      <c r="AD207" s="70"/>
      <c r="AE207" s="71"/>
      <c r="AF207" s="72"/>
      <c r="AG207" s="72"/>
      <c r="AH207" s="128"/>
      <c r="AI207"/>
      <c r="AJ207" s="62"/>
      <c r="AK207" s="62"/>
      <c r="AL207" s="62"/>
      <c r="AM207" s="62"/>
      <c r="AN207" s="62"/>
      <c r="AO207" s="79"/>
    </row>
    <row r="208" spans="1:41" x14ac:dyDescent="0.25">
      <c r="A208" s="24" t="s">
        <v>10</v>
      </c>
      <c r="B208" s="25">
        <v>58</v>
      </c>
      <c r="C208" s="26">
        <v>0</v>
      </c>
      <c r="D208" s="27">
        <v>0</v>
      </c>
      <c r="E208" s="27">
        <v>0</v>
      </c>
      <c r="F208" s="27">
        <v>0</v>
      </c>
      <c r="G208" s="28"/>
      <c r="H208" s="28"/>
      <c r="I208" s="28"/>
      <c r="J208" s="26">
        <f t="array" ref="J208">SUM($G$150:$I$150*DecCours*DecPasse^(B208-1)) + SUM($G$175:$I$175*DecCours*DecPasse^(B208-$B$175-1)) + SUM($G$180:$I$180*DecCours*DecPasse^(B208-$B$180-1)) + SUM($G$185:$I$185*DecCours*DecPasse^(B208-$B$185-1)) + SUM($G$190:$I$190*DecCours*DecPasse^(B208-$B$190-1)) + SUM($G$195:$I$195*DecCours*DecPasse^(B208-$B$195-1)) + SUM($G$200:$I$200*DecCours*DecPasse^(B208-$B$200-1)) + SUM($G$205:$I$205*DecCours*DecPasse^(B208-$B$205-1))</f>
        <v>201.64154868123148</v>
      </c>
      <c r="K208" s="29"/>
      <c r="L208" s="30"/>
      <c r="M208" s="6"/>
      <c r="N208" s="62"/>
      <c r="O208" s="62"/>
      <c r="P208" s="62"/>
      <c r="Q208" s="62"/>
      <c r="R208" s="62"/>
      <c r="S208" s="62"/>
      <c r="T208" s="62"/>
      <c r="U208" s="80"/>
      <c r="V208" s="62"/>
      <c r="W208" s="62"/>
      <c r="X208" s="62"/>
      <c r="Y208" s="62"/>
      <c r="Z208" s="62"/>
      <c r="AA208" s="79"/>
      <c r="AB208"/>
      <c r="AC208" s="56"/>
      <c r="AD208" s="70"/>
      <c r="AE208" s="71"/>
      <c r="AF208" s="72"/>
      <c r="AG208" s="72"/>
      <c r="AH208" s="128"/>
      <c r="AI208"/>
      <c r="AJ208" s="62"/>
      <c r="AK208" s="62"/>
      <c r="AL208" s="62"/>
      <c r="AM208" s="62"/>
      <c r="AN208" s="62"/>
      <c r="AO208" s="79"/>
    </row>
    <row r="209" spans="1:41" x14ac:dyDescent="0.25">
      <c r="A209" s="24" t="s">
        <v>10</v>
      </c>
      <c r="B209" s="25">
        <v>59</v>
      </c>
      <c r="C209" s="26">
        <v>0</v>
      </c>
      <c r="D209" s="27">
        <v>0</v>
      </c>
      <c r="E209" s="27">
        <v>0</v>
      </c>
      <c r="F209" s="27">
        <v>0</v>
      </c>
      <c r="G209" s="28"/>
      <c r="H209" s="28"/>
      <c r="I209" s="28"/>
      <c r="J209" s="26">
        <f t="array" ref="J209">SUM($G$150:$I$150*DecCours*DecPasse^(B209-1)) + SUM($G$175:$I$175*DecCours*DecPasse^(B209-$B$175-1)) + SUM($G$180:$I$180*DecCours*DecPasse^(B209-$B$180-1)) + SUM($G$185:$I$185*DecCours*DecPasse^(B209-$B$185-1)) + SUM($G$190:$I$190*DecCours*DecPasse^(B209-$B$190-1)) + SUM($G$195:$I$195*DecCours*DecPasse^(B209-$B$195-1)) + SUM($G$200:$I$200*DecCours*DecPasse^(B209-$B$200-1)) + SUM($G$205:$I$205*DecCours*DecPasse^(B209-$B$205-1))</f>
        <v>196.23419735656776</v>
      </c>
      <c r="K209" s="29"/>
      <c r="L209" s="30"/>
      <c r="M209" s="6"/>
      <c r="N209" s="62"/>
      <c r="O209" s="62"/>
      <c r="P209" s="62"/>
      <c r="Q209" s="62"/>
      <c r="R209" s="62"/>
      <c r="S209" s="62"/>
      <c r="T209" s="62"/>
      <c r="U209" s="80"/>
      <c r="V209" s="62"/>
      <c r="W209" s="62"/>
      <c r="X209" s="62"/>
      <c r="Y209" s="62"/>
      <c r="Z209" s="62"/>
      <c r="AA209" s="79"/>
      <c r="AB209"/>
      <c r="AC209" s="56"/>
      <c r="AD209" s="70"/>
      <c r="AE209" s="71"/>
      <c r="AF209" s="72"/>
      <c r="AG209" s="72"/>
      <c r="AH209" s="128"/>
      <c r="AI209"/>
      <c r="AJ209" s="62"/>
      <c r="AK209" s="62"/>
      <c r="AL209" s="62"/>
      <c r="AM209" s="62"/>
      <c r="AN209" s="62"/>
      <c r="AO209" s="79"/>
    </row>
    <row r="210" spans="1:41" x14ac:dyDescent="0.25">
      <c r="A210" s="24" t="s">
        <v>10</v>
      </c>
      <c r="B210" s="25">
        <v>60</v>
      </c>
      <c r="C210" s="26">
        <f>32*C79</f>
        <v>34.24</v>
      </c>
      <c r="D210" s="27">
        <f>60%*0.84</f>
        <v>0.504</v>
      </c>
      <c r="E210" s="27">
        <f>20%*0.84</f>
        <v>0.16800000000000001</v>
      </c>
      <c r="F210" s="27">
        <v>0.2</v>
      </c>
      <c r="G210" s="28">
        <f>$C$210*D210*InfraPinL*TauxC*MasseMol</f>
        <v>13.82570112</v>
      </c>
      <c r="H210" s="28">
        <f>$C$210*E210*InfraPinL*TauxC*MasseMol</f>
        <v>4.6085670400000005</v>
      </c>
      <c r="I210" s="28">
        <f>$C$210*F210*InfraPinL*TauxC*MasseMol</f>
        <v>5.4863893333333333</v>
      </c>
      <c r="J210" s="26">
        <f t="array" ref="J210">SUM($G$150:$I$150*DecCours*DecPasse^(B210-1)) + SUM($G$175:$I$175*DecCours*DecPasse^(B210-$B$175-1)) + SUM($G$180:$I$180*DecCours*DecPasse^(B210-$B$180-1)) + SUM($G$185:$I$185*DecCours*DecPasse^(B210-$B$185-1)) + SUM($G$190:$I$190*DecCours*DecPasse^(B210-$B$190-1)) + SUM($G$195:$I$195*DecCours*DecPasse^(B210-$B$195-1)) + SUM($G$200:$I$200*DecCours*DecPasse^(B210-$B$200-1)) + SUM($G$205:$I$205*DecCours*DecPasse^(B210-$B$205-1))</f>
        <v>191.23125485623032</v>
      </c>
      <c r="K210" s="29"/>
      <c r="L210" s="30"/>
      <c r="M210" s="6"/>
      <c r="N210" s="62"/>
      <c r="O210" s="62"/>
      <c r="P210" s="62"/>
      <c r="Q210" s="62"/>
      <c r="R210" s="62"/>
      <c r="S210" s="62"/>
      <c r="T210" s="62"/>
      <c r="U210" s="80"/>
      <c r="V210" s="62"/>
      <c r="W210" s="62"/>
      <c r="X210" s="62"/>
      <c r="Y210" s="62"/>
      <c r="Z210" s="62"/>
      <c r="AA210" s="79"/>
      <c r="AB210"/>
      <c r="AC210" s="56">
        <v>88</v>
      </c>
      <c r="AD210" s="70">
        <f>AD205+($AD$222-$AD$200)/($AC$222-$AC$200)</f>
        <v>569</v>
      </c>
      <c r="AE210" s="71">
        <f>AD210*1.3</f>
        <v>739.7</v>
      </c>
      <c r="AF210" s="72">
        <f>AE210*InfraCed</f>
        <v>266.29200000000003</v>
      </c>
      <c r="AG210" s="72">
        <f>EXP(-1.0587  + 0.8836*LN(AF210) + 0.284)</f>
        <v>64.061705887806511</v>
      </c>
      <c r="AH210" s="128">
        <f>((AF210+AG210)*TauxC + Csol + Clitiere)*MasseMol</f>
        <v>868.69937108792965</v>
      </c>
      <c r="AI210"/>
      <c r="AJ210" s="62"/>
      <c r="AK210" s="62"/>
      <c r="AL210" s="62"/>
      <c r="AM210" s="62"/>
      <c r="AN210" s="62"/>
      <c r="AO210" s="79"/>
    </row>
    <row r="211" spans="1:41" x14ac:dyDescent="0.25">
      <c r="A211" s="24" t="s">
        <v>10</v>
      </c>
      <c r="B211" s="25">
        <v>61</v>
      </c>
      <c r="C211" s="26">
        <v>0</v>
      </c>
      <c r="D211" s="27">
        <v>0</v>
      </c>
      <c r="E211" s="27">
        <v>0</v>
      </c>
      <c r="F211" s="27">
        <v>0</v>
      </c>
      <c r="G211" s="28"/>
      <c r="H211" s="28"/>
      <c r="I211" s="28"/>
      <c r="J211" s="26">
        <f t="array" ref="J211">SUM($G$150:$I$150*DecCours*DecPasse^(B211-1)) + SUM($G$175:$I$175*DecCours*DecPasse^(B211-$B$175-1)) + SUM($G$180:$I$180*DecCours*DecPasse^(B211-$B$180-1)) + SUM($G$185:$I$185*DecCours*DecPasse^(B211-$B$185-1)) + SUM($G$190:$I$190*DecCours*DecPasse^(B211-$B$190-1)) + SUM($G$195:$I$195*DecCours*DecPasse^(B211-$B$195-1)) + SUM($G$200:$I$200*DecCours*DecPasse^(B211-$B$200-1)) + SUM($G$205:$I$205*DecCours*DecPasse^(B211-$B$205-1)) + SUM($G$210:$I$210*DecCours)</f>
        <v>209.53635819680193</v>
      </c>
      <c r="K211" s="29"/>
      <c r="L211" s="30"/>
      <c r="M211" s="6"/>
      <c r="N211" s="62"/>
      <c r="O211" s="62"/>
      <c r="P211" s="62"/>
      <c r="Q211" s="62"/>
      <c r="R211" s="62"/>
      <c r="S211" s="62"/>
      <c r="T211" s="62"/>
      <c r="U211" s="80"/>
      <c r="V211" s="62"/>
      <c r="W211" s="62"/>
      <c r="X211" s="62"/>
      <c r="Y211" s="62"/>
      <c r="Z211" s="62"/>
      <c r="AA211" s="79"/>
      <c r="AB211"/>
      <c r="AC211" s="56"/>
      <c r="AD211" s="70"/>
      <c r="AE211" s="71"/>
      <c r="AF211" s="72"/>
      <c r="AG211" s="72"/>
      <c r="AH211" s="128"/>
      <c r="AI211"/>
      <c r="AJ211" s="62"/>
      <c r="AK211" s="62"/>
      <c r="AL211" s="62"/>
      <c r="AM211" s="62"/>
      <c r="AN211" s="62"/>
      <c r="AO211" s="79"/>
    </row>
    <row r="212" spans="1:41" x14ac:dyDescent="0.25">
      <c r="A212" s="24" t="s">
        <v>10</v>
      </c>
      <c r="B212" s="25">
        <v>62</v>
      </c>
      <c r="C212" s="26">
        <v>0</v>
      </c>
      <c r="D212" s="27">
        <v>0</v>
      </c>
      <c r="E212" s="27">
        <v>0</v>
      </c>
      <c r="F212" s="27">
        <v>0</v>
      </c>
      <c r="G212" s="28"/>
      <c r="H212" s="28"/>
      <c r="I212" s="28"/>
      <c r="J212" s="26">
        <f t="array" ref="J212">SUM($G$150:$I$150*DecCours*DecPasse^(B212-1)) + SUM($G$175:$I$175*DecCours*DecPasse^(B212-$B$175-1)) + SUM($G$180:$I$180*DecCours*DecPasse^(B212-$B$180-1)) + SUM($G$185:$I$185*DecCours*DecPasse^(B212-$B$185-1)) + SUM($G$190:$I$190*DecCours*DecPasse^(B212-$B$190-1)) + SUM($G$195:$I$195*DecCours*DecPasse^(B212-$B$195-1)) + SUM($G$200:$I$200*DecCours*DecPasse^(B212-$B$200-1)) + SUM($G$205:$I$205*DecCours*DecPasse^(B212-$B$205-1)) + SUM($G$210:$I$210*DecCours*DecPasse^(B212-$B$210-1))</f>
        <v>203.53583421533955</v>
      </c>
      <c r="K212" s="29"/>
      <c r="L212" s="30"/>
      <c r="M212" s="6"/>
      <c r="N212" s="62"/>
      <c r="O212" s="62"/>
      <c r="P212" s="62"/>
      <c r="Q212" s="62"/>
      <c r="R212" s="62"/>
      <c r="S212" s="62"/>
      <c r="T212" s="62"/>
      <c r="U212" s="80"/>
      <c r="V212" s="62"/>
      <c r="W212" s="62"/>
      <c r="X212" s="62"/>
      <c r="Y212" s="62"/>
      <c r="Z212" s="62"/>
      <c r="AA212" s="79"/>
      <c r="AB212"/>
      <c r="AC212" s="56"/>
      <c r="AD212" s="70"/>
      <c r="AE212" s="71"/>
      <c r="AF212" s="72"/>
      <c r="AG212" s="72"/>
      <c r="AH212" s="128"/>
      <c r="AI212"/>
      <c r="AJ212" s="62"/>
      <c r="AK212" s="62"/>
      <c r="AL212" s="62"/>
      <c r="AM212" s="62"/>
      <c r="AN212" s="62"/>
      <c r="AO212" s="79"/>
    </row>
    <row r="213" spans="1:41" x14ac:dyDescent="0.25">
      <c r="A213" s="24" t="s">
        <v>10</v>
      </c>
      <c r="B213" s="25">
        <v>63</v>
      </c>
      <c r="C213" s="26">
        <v>0</v>
      </c>
      <c r="D213" s="27">
        <v>0</v>
      </c>
      <c r="E213" s="27">
        <v>0</v>
      </c>
      <c r="F213" s="27">
        <v>0</v>
      </c>
      <c r="G213" s="28"/>
      <c r="H213" s="28"/>
      <c r="I213" s="28"/>
      <c r="J213" s="26">
        <f t="array" ref="J213">SUM($G$150:$I$150*DecCours*DecPasse^(B213-1)) + SUM($G$175:$I$175*DecCours*DecPasse^(B213-$B$175-1)) + SUM($G$180:$I$180*DecCours*DecPasse^(B213-$B$180-1)) + SUM($G$185:$I$185*DecCours*DecPasse^(B213-$B$185-1)) + SUM($G$190:$I$190*DecCours*DecPasse^(B213-$B$190-1)) + SUM($G$195:$I$195*DecCours*DecPasse^(B213-$B$195-1)) + SUM($G$200:$I$200*DecCours*DecPasse^(B213-$B$200-1)) + SUM($G$205:$I$205*DecCours*DecPasse^(B213-$B$205-1)) + SUM($G$210:$I$210*DecCours*DecPasse^(B213-$B$210-1))</f>
        <v>198.07878701996657</v>
      </c>
      <c r="K213" s="29"/>
      <c r="L213" s="30"/>
      <c r="M213" s="6"/>
      <c r="N213" s="62"/>
      <c r="O213" s="62"/>
      <c r="P213" s="62"/>
      <c r="Q213" s="62"/>
      <c r="R213" s="62"/>
      <c r="S213" s="62"/>
      <c r="T213" s="62"/>
      <c r="U213" s="80"/>
      <c r="V213" s="62"/>
      <c r="W213" s="62"/>
      <c r="X213" s="62"/>
      <c r="Y213" s="62"/>
      <c r="Z213" s="62"/>
      <c r="AA213" s="79"/>
      <c r="AB213"/>
      <c r="AC213" s="56"/>
      <c r="AD213" s="70"/>
      <c r="AE213" s="71"/>
      <c r="AF213" s="72"/>
      <c r="AG213" s="72"/>
      <c r="AH213" s="128"/>
      <c r="AI213"/>
      <c r="AJ213" s="62"/>
      <c r="AK213" s="62"/>
      <c r="AL213" s="62"/>
      <c r="AM213" s="62"/>
      <c r="AN213" s="62"/>
      <c r="AO213" s="79"/>
    </row>
    <row r="214" spans="1:41" x14ac:dyDescent="0.25">
      <c r="A214" s="24" t="s">
        <v>10</v>
      </c>
      <c r="B214" s="25">
        <v>64</v>
      </c>
      <c r="C214" s="26">
        <v>0</v>
      </c>
      <c r="D214" s="27">
        <v>0</v>
      </c>
      <c r="E214" s="27">
        <v>0</v>
      </c>
      <c r="F214" s="27">
        <v>0</v>
      </c>
      <c r="G214" s="28"/>
      <c r="H214" s="28"/>
      <c r="I214" s="28"/>
      <c r="J214" s="26">
        <f t="array" ref="J214">SUM($G$150:$I$150*DecCours*DecPasse^(B214-1)) + SUM($G$175:$I$175*DecCours*DecPasse^(B214-$B$175-1)) + SUM($G$180:$I$180*DecCours*DecPasse^(B214-$B$180-1)) + SUM($G$185:$I$185*DecCours*DecPasse^(B214-$B$185-1)) + SUM($G$190:$I$190*DecCours*DecPasse^(B214-$B$190-1)) + SUM($G$195:$I$195*DecCours*DecPasse^(B214-$B$195-1)) + SUM($G$200:$I$200*DecCours*DecPasse^(B214-$B$200-1)) + SUM($G$205:$I$205*DecCours*DecPasse^(B214-$B$205-1)) + SUM($G$210:$I$210*DecCours*DecPasse^(B214-$B$210-1))</f>
        <v>193.03334916595855</v>
      </c>
      <c r="K214" s="29"/>
      <c r="L214" s="30"/>
      <c r="M214" s="6"/>
      <c r="N214" s="62"/>
      <c r="O214" s="62"/>
      <c r="P214" s="62"/>
      <c r="Q214" s="62"/>
      <c r="R214" s="62"/>
      <c r="S214" s="62"/>
      <c r="T214" s="62"/>
      <c r="U214" s="80"/>
      <c r="V214" s="62"/>
      <c r="W214" s="62"/>
      <c r="X214" s="62"/>
      <c r="Y214" s="62"/>
      <c r="Z214" s="62"/>
      <c r="AA214" s="79"/>
      <c r="AB214"/>
      <c r="AC214" s="56"/>
      <c r="AD214" s="70"/>
      <c r="AE214" s="71"/>
      <c r="AF214" s="72"/>
      <c r="AG214" s="72"/>
      <c r="AH214" s="128"/>
      <c r="AI214"/>
      <c r="AJ214" s="62"/>
      <c r="AK214" s="62"/>
      <c r="AL214" s="62"/>
      <c r="AM214" s="62"/>
      <c r="AN214" s="62"/>
      <c r="AO214" s="79"/>
    </row>
    <row r="215" spans="1:41" x14ac:dyDescent="0.25">
      <c r="A215" s="162" t="s">
        <v>10</v>
      </c>
      <c r="B215" s="6">
        <v>65</v>
      </c>
      <c r="C215" s="6">
        <f>28*C79</f>
        <v>29.96</v>
      </c>
      <c r="D215" s="44">
        <f>60%*0.84</f>
        <v>0.504</v>
      </c>
      <c r="E215" s="44">
        <f>20%*0.84</f>
        <v>0.16800000000000001</v>
      </c>
      <c r="F215" s="44">
        <v>0.2</v>
      </c>
      <c r="G215" s="45">
        <f>$C$215*D215*InfraPinL*TauxC*MasseMol</f>
        <v>12.097488480000001</v>
      </c>
      <c r="H215" s="45">
        <f>$C$215*E215*InfraPinL*TauxC*MasseMol</f>
        <v>4.03249616</v>
      </c>
      <c r="I215" s="45">
        <f>$C$215*F215*InfraPinL*TauxC*MasseMol</f>
        <v>4.8005906666666673</v>
      </c>
      <c r="J215" s="26">
        <f t="array" ref="J215">SUM($G$150:$I$150*DecCours*DecPasse^(B215-1)) + SUM($G$175:$I$175*DecCours*DecPasse^(B215-$B$175-1)) + SUM($G$180:$I$180*DecCours*DecPasse^(B215-$B$180-1)) + SUM($G$185:$I$185*DecCours*DecPasse^(B215-$B$185-1)) + SUM($G$190:$I$190*DecCours*DecPasse^(B215-$B$190-1)) + SUM($G$195:$I$195*DecCours*DecPasse^(B215-$B$195-1)) + SUM($G$200:$I$200*DecCours*DecPasse^(B215-$B$200-1)) + SUM($G$205:$I$205*DecCours*DecPasse^(B215-$B$205-1)) + SUM($G$210:$I$210*DecCours*DecPasse^(B215-$B$210-1))</f>
        <v>188.30564480202997</v>
      </c>
      <c r="K215" s="29"/>
      <c r="L215" s="6"/>
      <c r="M215" s="6"/>
      <c r="N215" s="62"/>
      <c r="O215" s="62"/>
      <c r="P215" s="62"/>
      <c r="Q215" s="62"/>
      <c r="R215" s="62"/>
      <c r="S215" s="62"/>
      <c r="T215" s="62"/>
      <c r="U215" s="80"/>
      <c r="V215" s="62"/>
      <c r="W215" s="62"/>
      <c r="X215" s="62"/>
      <c r="Y215" s="62"/>
      <c r="Z215" s="62"/>
      <c r="AA215" s="79"/>
      <c r="AB215"/>
      <c r="AC215" s="56">
        <v>89</v>
      </c>
      <c r="AD215" s="70">
        <f>AD210+($AD$222-$AD$200)/($AC$222-$AC$200)</f>
        <v>570</v>
      </c>
      <c r="AE215" s="71">
        <f>AD215*1.3</f>
        <v>741</v>
      </c>
      <c r="AF215" s="72">
        <f>AE215*InfraCed</f>
        <v>266.76</v>
      </c>
      <c r="AG215" s="72">
        <f>EXP(-1.0587  + 0.8836*LN(AF215) + 0.284)</f>
        <v>64.161177130842304</v>
      </c>
      <c r="AH215" s="128">
        <f>((AF215+AG215)*TauxC + Csol + Clitiere)*MasseMol</f>
        <v>869.68771683621696</v>
      </c>
      <c r="AI215"/>
      <c r="AJ215" s="62"/>
      <c r="AK215" s="62"/>
      <c r="AL215" s="62"/>
      <c r="AM215" s="62"/>
      <c r="AN215" s="62"/>
      <c r="AO215" s="79"/>
    </row>
    <row r="216" spans="1:41" ht="16.5" thickBot="1" x14ac:dyDescent="0.3">
      <c r="A216" s="164" t="s">
        <v>10</v>
      </c>
      <c r="B216" s="165">
        <v>66</v>
      </c>
      <c r="C216" s="165">
        <v>0</v>
      </c>
      <c r="D216" s="166">
        <v>0</v>
      </c>
      <c r="E216" s="166">
        <v>0</v>
      </c>
      <c r="F216" s="166">
        <v>0</v>
      </c>
      <c r="G216" s="167"/>
      <c r="H216" s="167"/>
      <c r="I216" s="167"/>
      <c r="J216" s="20">
        <f t="array" ref="J216">SUM($G$150:$I$150*DecCours*DecPasse^(B216-1)) + SUM($G$175:$I$175*DecCours*DecPasse^(B216-$B$175-1)) + SUM($G$180:$I$180*DecCours*DecPasse^(B216-$B$180-1)) + SUM($G$185:$I$185*DecCours*DecPasse^(B216-$B$185-1)) + SUM($G$190:$I$190*DecCours*DecPasse^(B216-$B$190-1)) + SUM($G$195:$I$195*DecCours*DecPasse^(B216-$B$195-1)) + SUM($G$200:$I$200*DecCours*DecPasse^(B216-$B$200-1)) + SUM($G$205:$I$205*DecCours*DecPasse^(B216-$B$205-1)) + SUM($G$210:$I$210*DecCours*DecPasse^(B216-$B$210-1)) + SUM(G215:I215*DecCours)</f>
        <v>203.94972077703062</v>
      </c>
      <c r="K216" s="23"/>
      <c r="L216" s="6"/>
      <c r="M216" s="6"/>
      <c r="N216" s="62"/>
      <c r="O216" s="62"/>
      <c r="P216" s="62"/>
      <c r="Q216" s="62"/>
      <c r="R216" s="62"/>
      <c r="S216" s="62"/>
      <c r="T216" s="62"/>
      <c r="U216" s="80"/>
      <c r="V216" s="62"/>
      <c r="W216" s="62"/>
      <c r="X216" s="62"/>
      <c r="Y216" s="62"/>
      <c r="Z216" s="62"/>
      <c r="AA216" s="79"/>
      <c r="AB216"/>
      <c r="AC216" s="56"/>
      <c r="AD216" s="70"/>
      <c r="AE216" s="71"/>
      <c r="AF216" s="72"/>
      <c r="AG216" s="72"/>
      <c r="AH216" s="128"/>
      <c r="AI216"/>
      <c r="AJ216" s="62"/>
      <c r="AK216" s="62"/>
      <c r="AL216" s="62"/>
      <c r="AM216" s="62"/>
      <c r="AN216" s="62"/>
      <c r="AO216" s="79"/>
    </row>
    <row r="217" spans="1:41" ht="16.5" thickBot="1" x14ac:dyDescent="0.3">
      <c r="D217"/>
      <c r="E217"/>
      <c r="F217"/>
      <c r="G217"/>
      <c r="H217"/>
      <c r="I217"/>
      <c r="L217"/>
      <c r="M217" s="6"/>
      <c r="N217" s="62"/>
      <c r="O217" s="62"/>
      <c r="P217" s="62"/>
      <c r="Q217" s="62"/>
      <c r="R217" s="62"/>
      <c r="S217" s="62"/>
      <c r="T217" s="62"/>
      <c r="U217" s="80"/>
      <c r="V217" s="62"/>
      <c r="W217" s="62"/>
      <c r="X217" s="62"/>
      <c r="Y217" s="62"/>
      <c r="Z217" s="62"/>
      <c r="AA217" s="79"/>
      <c r="AB217"/>
      <c r="AC217" s="56">
        <v>90</v>
      </c>
      <c r="AD217" s="70">
        <f>AD215+($AD$222-$AD$200)/($AC$222-$AC$200)</f>
        <v>571</v>
      </c>
      <c r="AE217" s="71">
        <f t="shared" ref="AE217:AE222" si="46">AD217*1.3</f>
        <v>742.30000000000007</v>
      </c>
      <c r="AF217" s="72">
        <f t="shared" ref="AF217:AF222" si="47">AE217*InfraCed</f>
        <v>267.22800000000001</v>
      </c>
      <c r="AG217" s="72">
        <f t="shared" ref="AG217:AG222" si="48">EXP(-1.0587  + 0.8836*LN(AF217) + 0.284)</f>
        <v>64.260628062866161</v>
      </c>
      <c r="AH217" s="128">
        <f t="shared" ref="AH217:AH222" si="49">((AF217+AG217)*TauxC + Csol + Clitiere)*MasseMol</f>
        <v>870.67602720949185</v>
      </c>
      <c r="AI217"/>
      <c r="AJ217" s="62"/>
      <c r="AK217" s="62"/>
      <c r="AL217" s="62"/>
      <c r="AM217" s="62"/>
      <c r="AN217" s="62"/>
      <c r="AO217" s="79"/>
    </row>
    <row r="218" spans="1:41" ht="16.5" thickBot="1" x14ac:dyDescent="0.3">
      <c r="A218" s="1" t="s">
        <v>11</v>
      </c>
      <c r="B218" s="2" t="s">
        <v>1</v>
      </c>
      <c r="C218" s="115">
        <v>0.69</v>
      </c>
      <c r="J218" s="6"/>
      <c r="K218" s="32"/>
      <c r="L218" s="6"/>
      <c r="M218" s="6"/>
      <c r="N218" s="62"/>
      <c r="O218" s="62"/>
      <c r="P218" s="62"/>
      <c r="Q218" s="62"/>
      <c r="R218" s="62"/>
      <c r="S218" s="62"/>
      <c r="T218" s="62"/>
      <c r="U218" s="80"/>
      <c r="V218" s="62"/>
      <c r="W218" s="62"/>
      <c r="X218" s="62"/>
      <c r="Y218" s="62"/>
      <c r="Z218" s="62"/>
      <c r="AA218" s="79"/>
      <c r="AB218"/>
      <c r="AC218" s="56">
        <v>91</v>
      </c>
      <c r="AD218" s="70">
        <f>AD217+($AD$222-$AD$200)/($AC$222-$AC$200)</f>
        <v>572</v>
      </c>
      <c r="AE218" s="71">
        <f t="shared" si="46"/>
        <v>743.6</v>
      </c>
      <c r="AF218" s="72">
        <f t="shared" si="47"/>
        <v>267.69600000000003</v>
      </c>
      <c r="AG218" s="72">
        <f t="shared" si="48"/>
        <v>64.360058723585496</v>
      </c>
      <c r="AH218" s="128">
        <f t="shared" si="49"/>
        <v>871.66430227691137</v>
      </c>
      <c r="AI218"/>
      <c r="AJ218" s="62"/>
      <c r="AK218" s="62"/>
      <c r="AL218" s="62"/>
      <c r="AM218" s="62"/>
      <c r="AN218" s="62"/>
      <c r="AO218" s="79"/>
    </row>
    <row r="219" spans="1:41" x14ac:dyDescent="0.25">
      <c r="A219" s="7"/>
      <c r="B219" s="7"/>
      <c r="C219" s="52"/>
      <c r="G219" s="4" t="s">
        <v>96</v>
      </c>
      <c r="J219" s="6"/>
      <c r="K219" s="32"/>
      <c r="L219" s="6"/>
      <c r="M219" s="6"/>
      <c r="N219" s="62"/>
      <c r="O219" s="62"/>
      <c r="P219" s="62"/>
      <c r="Q219" s="62"/>
      <c r="R219" s="62"/>
      <c r="S219" s="62"/>
      <c r="T219" s="62"/>
      <c r="U219" s="80"/>
      <c r="V219" s="62"/>
      <c r="W219" s="62"/>
      <c r="X219" s="62"/>
      <c r="Y219" s="62"/>
      <c r="Z219" s="62"/>
      <c r="AA219" s="79"/>
      <c r="AB219"/>
      <c r="AC219" s="56">
        <v>92</v>
      </c>
      <c r="AD219" s="70">
        <f>AD218+($AD$222-$AD$200)/($AC$222-$AC$200)</f>
        <v>573</v>
      </c>
      <c r="AE219" s="71">
        <f t="shared" si="46"/>
        <v>744.9</v>
      </c>
      <c r="AF219" s="72">
        <f t="shared" si="47"/>
        <v>268.16399999999999</v>
      </c>
      <c r="AG219" s="72">
        <f t="shared" si="48"/>
        <v>64.459469152560658</v>
      </c>
      <c r="AH219" s="128">
        <f t="shared" si="49"/>
        <v>872.65254210737635</v>
      </c>
      <c r="AI219"/>
      <c r="AJ219" s="62"/>
      <c r="AK219" s="62"/>
      <c r="AL219" s="62"/>
      <c r="AM219" s="62"/>
      <c r="AN219" s="62"/>
      <c r="AO219" s="79"/>
    </row>
    <row r="220" spans="1:41" ht="47.25" x14ac:dyDescent="0.25">
      <c r="D220" s="183" t="s">
        <v>75</v>
      </c>
      <c r="E220" s="184"/>
      <c r="F220" s="185"/>
      <c r="G220" s="186" t="s">
        <v>92</v>
      </c>
      <c r="H220" s="187"/>
      <c r="I220" s="188"/>
      <c r="J220" s="7"/>
      <c r="K220" s="156" t="s">
        <v>86</v>
      </c>
      <c r="L220" s="157" t="s">
        <v>85</v>
      </c>
      <c r="M220" s="6"/>
      <c r="N220" s="62"/>
      <c r="O220" s="62"/>
      <c r="P220" s="62"/>
      <c r="Q220" s="62"/>
      <c r="R220" s="62"/>
      <c r="S220" s="62"/>
      <c r="T220" s="62"/>
      <c r="U220" s="80"/>
      <c r="V220" s="62"/>
      <c r="W220" s="62"/>
      <c r="X220" s="62"/>
      <c r="Y220" s="62"/>
      <c r="Z220" s="62"/>
      <c r="AA220" s="79"/>
      <c r="AB220"/>
      <c r="AC220" s="56">
        <v>93</v>
      </c>
      <c r="AD220" s="70">
        <f>AD219+($AD$222-$AD$200)/($AC$222-$AC$200)</f>
        <v>574</v>
      </c>
      <c r="AE220" s="71">
        <f t="shared" si="46"/>
        <v>746.2</v>
      </c>
      <c r="AF220" s="72">
        <f t="shared" si="47"/>
        <v>268.63200000000001</v>
      </c>
      <c r="AG220" s="72">
        <f t="shared" si="48"/>
        <v>64.558859389206148</v>
      </c>
      <c r="AH220" s="128">
        <f t="shared" si="49"/>
        <v>873.64074676953396</v>
      </c>
      <c r="AI220"/>
      <c r="AJ220" s="62"/>
      <c r="AK220" s="62"/>
      <c r="AL220" s="62"/>
      <c r="AM220" s="62"/>
      <c r="AN220" s="62"/>
      <c r="AO220" s="79"/>
    </row>
    <row r="221" spans="1:41" ht="16.5" thickBot="1" x14ac:dyDescent="0.3">
      <c r="A221" s="8" t="s">
        <v>2</v>
      </c>
      <c r="B221" s="8" t="s">
        <v>3</v>
      </c>
      <c r="C221" s="8" t="s">
        <v>76</v>
      </c>
      <c r="D221" s="155" t="s">
        <v>4</v>
      </c>
      <c r="E221" s="155" t="s">
        <v>77</v>
      </c>
      <c r="F221" s="155" t="s">
        <v>5</v>
      </c>
      <c r="G221" s="9" t="s">
        <v>4</v>
      </c>
      <c r="H221" s="9" t="s">
        <v>77</v>
      </c>
      <c r="I221" s="9" t="s">
        <v>5</v>
      </c>
      <c r="J221" s="8" t="s">
        <v>6</v>
      </c>
      <c r="K221" s="10" t="s">
        <v>7</v>
      </c>
      <c r="L221" s="11" t="s">
        <v>8</v>
      </c>
      <c r="M221" s="6"/>
      <c r="N221" s="62"/>
      <c r="O221" s="62"/>
      <c r="P221" s="62"/>
      <c r="Q221" s="62"/>
      <c r="R221" s="62"/>
      <c r="S221" s="62"/>
      <c r="T221" s="62"/>
      <c r="U221" s="80"/>
      <c r="V221" s="62"/>
      <c r="W221" s="62"/>
      <c r="X221" s="62"/>
      <c r="Y221" s="62"/>
      <c r="Z221" s="62"/>
      <c r="AA221" s="79"/>
      <c r="AB221"/>
      <c r="AC221" s="56">
        <v>94</v>
      </c>
      <c r="AD221" s="70">
        <f>AD220+($AD$222-$AD$200)/($AC$222-$AC$200)</f>
        <v>575</v>
      </c>
      <c r="AE221" s="71">
        <f t="shared" si="46"/>
        <v>747.5</v>
      </c>
      <c r="AF221" s="72">
        <f t="shared" si="47"/>
        <v>269.09999999999997</v>
      </c>
      <c r="AG221" s="72">
        <f t="shared" si="48"/>
        <v>64.658229472790993</v>
      </c>
      <c r="AH221" s="128">
        <f t="shared" si="49"/>
        <v>874.62891633177753</v>
      </c>
      <c r="AI221"/>
      <c r="AJ221" s="62"/>
      <c r="AK221" s="62"/>
      <c r="AL221" s="62"/>
      <c r="AM221" s="62"/>
      <c r="AN221" s="62"/>
      <c r="AO221" s="79"/>
    </row>
    <row r="222" spans="1:41" x14ac:dyDescent="0.25">
      <c r="A222" s="12" t="s">
        <v>9</v>
      </c>
      <c r="B222" s="13">
        <v>0</v>
      </c>
      <c r="C222" s="14">
        <f>'[1]itinéraires bas carbone'!C73*Analyse_carbone!C218</f>
        <v>241.49999999999997</v>
      </c>
      <c r="D222" s="27">
        <f>61.25%*0.9</f>
        <v>0.55125000000000002</v>
      </c>
      <c r="E222" s="27">
        <f>22.5%*0.9</f>
        <v>0.20250000000000001</v>
      </c>
      <c r="F222" s="27">
        <f>11.25%*0.9</f>
        <v>0.10125000000000001</v>
      </c>
      <c r="G222" s="16">
        <f>(0.5625*InfraRx+0.05*InfraFs)*C222*TauxC*MasseMol</f>
        <v>111.35715937499997</v>
      </c>
      <c r="H222" s="16">
        <f>E222*C222*TauxC*MasseMol*InfraRx</f>
        <v>35.773093124999995</v>
      </c>
      <c r="I222" s="16">
        <f>F222*C222*TauxC*MasseMol*InfraRx</f>
        <v>17.886546562499998</v>
      </c>
      <c r="J222" s="14">
        <v>0</v>
      </c>
      <c r="K222" s="15">
        <v>0.2</v>
      </c>
      <c r="L222" s="168">
        <f>C222*(D222*CoefSubSciage+E222*CoefSubEmballage+F222*CoefSubPanneaux+K222*CoefSubEnergie)</f>
        <v>233.25579375000001</v>
      </c>
      <c r="M222" s="6"/>
      <c r="N222" s="62"/>
      <c r="O222" s="62"/>
      <c r="P222" s="62"/>
      <c r="Q222" s="62"/>
      <c r="R222" s="62"/>
      <c r="S222" s="62"/>
      <c r="T222" s="62"/>
      <c r="U222" s="80"/>
      <c r="V222" s="62"/>
      <c r="W222" s="62"/>
      <c r="X222" s="62"/>
      <c r="Y222" s="62"/>
      <c r="Z222" s="62"/>
      <c r="AA222" s="79"/>
      <c r="AB222"/>
      <c r="AC222" s="56">
        <v>95</v>
      </c>
      <c r="AD222" s="70">
        <v>576</v>
      </c>
      <c r="AE222" s="71">
        <f t="shared" si="46"/>
        <v>748.80000000000007</v>
      </c>
      <c r="AF222" s="72">
        <f t="shared" si="47"/>
        <v>269.56800000000004</v>
      </c>
      <c r="AG222" s="72">
        <f t="shared" si="48"/>
        <v>64.757579442439862</v>
      </c>
      <c r="AH222" s="128">
        <f t="shared" si="49"/>
        <v>875.61705086224947</v>
      </c>
      <c r="AI222"/>
      <c r="AJ222" s="62"/>
      <c r="AK222" s="62"/>
      <c r="AL222" s="62"/>
      <c r="AM222" s="62"/>
      <c r="AN222" s="62"/>
      <c r="AO222" s="79"/>
    </row>
    <row r="223" spans="1:41" x14ac:dyDescent="0.25">
      <c r="A223" s="24" t="s">
        <v>9</v>
      </c>
      <c r="B223" s="25">
        <v>1</v>
      </c>
      <c r="C223" s="26">
        <v>0</v>
      </c>
      <c r="D223" s="27">
        <v>0</v>
      </c>
      <c r="E223" s="27">
        <v>0</v>
      </c>
      <c r="F223" s="27">
        <v>0</v>
      </c>
      <c r="G223" s="28">
        <v>0</v>
      </c>
      <c r="H223" s="28">
        <v>0</v>
      </c>
      <c r="I223" s="28">
        <v>0</v>
      </c>
      <c r="J223" s="26">
        <f t="array" ref="J223">SUM(G222:I222*DecCours)</f>
        <v>158.13483609867407</v>
      </c>
      <c r="K223" s="27"/>
      <c r="L223" s="30"/>
      <c r="M223" s="6"/>
      <c r="N223" s="62"/>
      <c r="O223" s="62"/>
      <c r="P223" s="62"/>
      <c r="Q223" s="62"/>
      <c r="R223" s="62"/>
      <c r="S223" s="62"/>
      <c r="T223" s="62"/>
      <c r="U223" s="80"/>
      <c r="V223" s="62"/>
      <c r="W223" s="62"/>
      <c r="X223" s="62"/>
      <c r="Y223" s="62"/>
      <c r="Z223" s="62"/>
      <c r="AA223" s="79"/>
      <c r="AB223"/>
      <c r="AC223" s="56"/>
      <c r="AD223" s="70"/>
      <c r="AE223" s="71"/>
      <c r="AF223" s="72"/>
      <c r="AG223" s="72"/>
      <c r="AH223" s="128"/>
      <c r="AI223"/>
      <c r="AJ223" s="62"/>
      <c r="AK223" s="62"/>
      <c r="AL223" s="62"/>
      <c r="AM223" s="62"/>
      <c r="AN223" s="62"/>
      <c r="AO223" s="79"/>
    </row>
    <row r="224" spans="1:41" x14ac:dyDescent="0.25">
      <c r="A224" s="24" t="s">
        <v>9</v>
      </c>
      <c r="B224" s="25">
        <v>2</v>
      </c>
      <c r="C224" s="26">
        <v>0</v>
      </c>
      <c r="D224" s="27">
        <v>0</v>
      </c>
      <c r="E224" s="27">
        <v>0</v>
      </c>
      <c r="F224" s="27">
        <v>0</v>
      </c>
      <c r="G224" s="28">
        <v>0</v>
      </c>
      <c r="H224" s="28">
        <v>0</v>
      </c>
      <c r="I224" s="28">
        <v>0</v>
      </c>
      <c r="J224" s="26">
        <f t="array" ref="J224">SUM($G$222:$I$222*DecCours*DecPasse^(B224-$B$222-1))</f>
        <v>146.63546201804439</v>
      </c>
      <c r="K224" s="27"/>
      <c r="L224" s="30"/>
      <c r="M224" s="6"/>
      <c r="N224" s="62"/>
      <c r="O224" s="62"/>
      <c r="P224" s="62"/>
      <c r="Q224" s="62"/>
      <c r="R224" s="62"/>
      <c r="S224" s="62"/>
      <c r="T224" s="62"/>
      <c r="U224" s="80"/>
      <c r="V224" s="62"/>
      <c r="W224" s="62"/>
      <c r="X224" s="62"/>
      <c r="Y224" s="62"/>
      <c r="Z224" s="62"/>
      <c r="AA224" s="79"/>
      <c r="AB224"/>
      <c r="AC224" s="56"/>
      <c r="AD224" s="70"/>
      <c r="AE224" s="71"/>
      <c r="AF224" s="72"/>
      <c r="AG224" s="72"/>
      <c r="AH224" s="128"/>
      <c r="AI224"/>
      <c r="AJ224" s="62"/>
      <c r="AK224" s="62"/>
      <c r="AL224" s="62"/>
      <c r="AM224" s="62"/>
      <c r="AN224" s="62"/>
      <c r="AO224" s="79"/>
    </row>
    <row r="225" spans="1:41" x14ac:dyDescent="0.25">
      <c r="A225" s="24" t="s">
        <v>9</v>
      </c>
      <c r="B225" s="25">
        <v>3</v>
      </c>
      <c r="C225" s="26">
        <v>0</v>
      </c>
      <c r="D225" s="27">
        <v>0</v>
      </c>
      <c r="E225" s="27">
        <v>0</v>
      </c>
      <c r="F225" s="27">
        <v>0</v>
      </c>
      <c r="G225" s="28">
        <v>0</v>
      </c>
      <c r="H225" s="28">
        <v>0</v>
      </c>
      <c r="I225" s="28">
        <v>0</v>
      </c>
      <c r="J225" s="26">
        <f t="array" ref="J225">SUM($G$222:$I$222*DecCours*DecPasse^(B225-$B$222-1))</f>
        <v>137.78519394721684</v>
      </c>
      <c r="K225" s="27"/>
      <c r="L225" s="30"/>
      <c r="M225" s="6"/>
      <c r="N225" s="62"/>
      <c r="O225" s="62"/>
      <c r="P225" s="62"/>
      <c r="Q225" s="62"/>
      <c r="R225" s="62"/>
      <c r="S225" s="62"/>
      <c r="T225" s="62"/>
      <c r="U225" s="80"/>
      <c r="V225" s="62"/>
      <c r="W225" s="62"/>
      <c r="X225" s="62"/>
      <c r="Y225" s="62"/>
      <c r="Z225" s="62"/>
      <c r="AA225" s="79"/>
      <c r="AB225"/>
      <c r="AC225" s="56"/>
      <c r="AD225" s="70"/>
      <c r="AE225" s="71"/>
      <c r="AF225" s="72"/>
      <c r="AG225" s="72"/>
      <c r="AH225" s="128"/>
      <c r="AI225"/>
      <c r="AJ225" s="62"/>
      <c r="AK225" s="62"/>
      <c r="AL225" s="62"/>
      <c r="AM225" s="62"/>
      <c r="AN225" s="62"/>
      <c r="AO225" s="79"/>
    </row>
    <row r="226" spans="1:41" x14ac:dyDescent="0.25">
      <c r="A226" s="24" t="s">
        <v>9</v>
      </c>
      <c r="B226" s="25">
        <v>4</v>
      </c>
      <c r="C226" s="26">
        <v>0</v>
      </c>
      <c r="D226" s="27">
        <v>0</v>
      </c>
      <c r="E226" s="27">
        <v>0</v>
      </c>
      <c r="F226" s="27">
        <v>0</v>
      </c>
      <c r="G226" s="28">
        <v>0</v>
      </c>
      <c r="H226" s="28">
        <v>0</v>
      </c>
      <c r="I226" s="28">
        <v>0</v>
      </c>
      <c r="J226" s="26">
        <f t="array" ref="J226">SUM($G$222:$I$222*DecCours*DecPasse^(B226-$B$222-1))</f>
        <v>130.82321643362417</v>
      </c>
      <c r="K226" s="27"/>
      <c r="L226" s="30"/>
      <c r="M226" s="6"/>
      <c r="N226" s="62"/>
      <c r="O226" s="62"/>
      <c r="P226" s="62"/>
      <c r="Q226" s="62"/>
      <c r="R226" s="62"/>
      <c r="S226" s="62"/>
      <c r="T226" s="62"/>
      <c r="U226" s="80"/>
      <c r="V226" s="62"/>
      <c r="W226" s="62"/>
      <c r="X226" s="62"/>
      <c r="Y226" s="62"/>
      <c r="Z226" s="62"/>
      <c r="AA226" s="79"/>
      <c r="AB226"/>
      <c r="AC226" s="56"/>
      <c r="AD226" s="70"/>
      <c r="AE226" s="71"/>
      <c r="AF226" s="72"/>
      <c r="AG226" s="72"/>
      <c r="AH226" s="128"/>
      <c r="AI226"/>
      <c r="AJ226" s="62"/>
      <c r="AK226" s="62"/>
      <c r="AL226" s="62"/>
      <c r="AM226" s="62"/>
      <c r="AN226" s="62"/>
      <c r="AO226" s="79"/>
    </row>
    <row r="227" spans="1:41" x14ac:dyDescent="0.25">
      <c r="A227" s="24" t="s">
        <v>9</v>
      </c>
      <c r="B227" s="25">
        <v>5</v>
      </c>
      <c r="C227" s="26">
        <v>0</v>
      </c>
      <c r="D227" s="27">
        <v>0</v>
      </c>
      <c r="E227" s="27">
        <v>0</v>
      </c>
      <c r="F227" s="27">
        <v>0</v>
      </c>
      <c r="G227" s="28">
        <v>0</v>
      </c>
      <c r="H227" s="28">
        <v>0</v>
      </c>
      <c r="I227" s="28">
        <v>0</v>
      </c>
      <c r="J227" s="26">
        <f t="array" ref="J227">SUM($G$222:$I$222*DecCours*DecPasse^(B227-$B$222-1))</f>
        <v>125.21122871424284</v>
      </c>
      <c r="K227" s="27"/>
      <c r="L227" s="30"/>
      <c r="M227" s="6"/>
      <c r="N227" s="62"/>
      <c r="O227" s="62"/>
      <c r="P227" s="62"/>
      <c r="Q227" s="62"/>
      <c r="R227" s="62"/>
      <c r="S227" s="62"/>
      <c r="T227" s="62"/>
      <c r="U227" s="80"/>
      <c r="V227" s="62"/>
      <c r="W227" s="62"/>
      <c r="X227" s="62"/>
      <c r="Y227" s="62"/>
      <c r="Z227" s="62"/>
      <c r="AA227" s="79"/>
      <c r="AB227"/>
      <c r="AC227" s="56"/>
      <c r="AD227" s="70"/>
      <c r="AE227" s="71"/>
      <c r="AF227" s="72"/>
      <c r="AG227" s="72"/>
      <c r="AH227" s="128"/>
      <c r="AI227"/>
      <c r="AJ227" s="62"/>
      <c r="AK227" s="62"/>
      <c r="AL227" s="62"/>
      <c r="AM227" s="62"/>
      <c r="AN227" s="62"/>
      <c r="AO227" s="79"/>
    </row>
    <row r="228" spans="1:41" x14ac:dyDescent="0.25">
      <c r="A228" s="24" t="s">
        <v>9</v>
      </c>
      <c r="B228" s="25">
        <v>6</v>
      </c>
      <c r="C228" s="26">
        <v>0</v>
      </c>
      <c r="D228" s="27">
        <v>0</v>
      </c>
      <c r="E228" s="27">
        <v>0</v>
      </c>
      <c r="F228" s="27">
        <v>0</v>
      </c>
      <c r="G228" s="28">
        <v>0</v>
      </c>
      <c r="H228" s="28">
        <v>0</v>
      </c>
      <c r="I228" s="28">
        <v>0</v>
      </c>
      <c r="J228" s="26">
        <f t="array" ref="J228">SUM($G$222:$I$222*DecCours*DecPasse^(B228-$B$222-1))</f>
        <v>120.56827874668245</v>
      </c>
      <c r="K228" s="27"/>
      <c r="L228" s="30"/>
      <c r="M228" s="6"/>
      <c r="N228" s="62"/>
      <c r="O228" s="62"/>
      <c r="P228" s="62"/>
      <c r="Q228" s="62"/>
      <c r="R228" s="62"/>
      <c r="S228" s="62"/>
      <c r="T228" s="62"/>
      <c r="U228" s="80"/>
      <c r="V228" s="62"/>
      <c r="W228" s="62"/>
      <c r="X228" s="62"/>
      <c r="Y228" s="62"/>
      <c r="Z228" s="62"/>
      <c r="AA228" s="79"/>
      <c r="AB228"/>
      <c r="AC228" s="56"/>
      <c r="AD228" s="70"/>
      <c r="AE228" s="71"/>
      <c r="AF228" s="72"/>
      <c r="AG228" s="72"/>
      <c r="AH228" s="128"/>
      <c r="AI228"/>
      <c r="AJ228" s="62"/>
      <c r="AK228" s="62"/>
      <c r="AL228" s="62"/>
      <c r="AM228" s="62"/>
      <c r="AN228" s="62"/>
      <c r="AO228" s="79"/>
    </row>
    <row r="229" spans="1:41" x14ac:dyDescent="0.25">
      <c r="A229" s="24" t="s">
        <v>9</v>
      </c>
      <c r="B229" s="25">
        <v>7</v>
      </c>
      <c r="C229" s="26">
        <v>0</v>
      </c>
      <c r="D229" s="27">
        <v>0</v>
      </c>
      <c r="E229" s="27">
        <v>0</v>
      </c>
      <c r="F229" s="27">
        <v>0</v>
      </c>
      <c r="G229" s="28">
        <v>0</v>
      </c>
      <c r="H229" s="28">
        <v>0</v>
      </c>
      <c r="I229" s="28">
        <v>0</v>
      </c>
      <c r="J229" s="26">
        <f t="array" ref="J229">SUM($G$222:$I$222*DecCours*DecPasse^(B229-$B$222-1))</f>
        <v>116.62468375167373</v>
      </c>
      <c r="K229" s="27"/>
      <c r="L229" s="30"/>
      <c r="M229" s="6"/>
      <c r="N229" s="62"/>
      <c r="O229" s="62"/>
      <c r="P229" s="62"/>
      <c r="Q229" s="62"/>
      <c r="R229" s="62"/>
      <c r="S229" s="62"/>
      <c r="T229" s="62"/>
      <c r="U229" s="80"/>
      <c r="V229" s="62"/>
      <c r="W229" s="62"/>
      <c r="X229" s="62"/>
      <c r="Y229" s="62"/>
      <c r="Z229" s="62"/>
      <c r="AA229" s="79"/>
      <c r="AB229"/>
      <c r="AC229" s="56"/>
      <c r="AD229" s="70"/>
      <c r="AE229" s="71"/>
      <c r="AF229" s="72"/>
      <c r="AG229" s="72"/>
      <c r="AH229" s="128"/>
      <c r="AI229"/>
      <c r="AJ229" s="62"/>
      <c r="AK229" s="62"/>
      <c r="AL229" s="62"/>
      <c r="AM229" s="62"/>
      <c r="AN229" s="62"/>
      <c r="AO229" s="79"/>
    </row>
    <row r="230" spans="1:41" x14ac:dyDescent="0.25">
      <c r="A230" s="24" t="s">
        <v>9</v>
      </c>
      <c r="B230" s="25">
        <v>8</v>
      </c>
      <c r="C230" s="26">
        <v>0</v>
      </c>
      <c r="D230" s="27">
        <v>0</v>
      </c>
      <c r="E230" s="27">
        <v>0</v>
      </c>
      <c r="F230" s="27">
        <v>0</v>
      </c>
      <c r="G230" s="28">
        <v>0</v>
      </c>
      <c r="H230" s="28">
        <v>0</v>
      </c>
      <c r="I230" s="28">
        <v>0</v>
      </c>
      <c r="J230" s="26">
        <f t="array" ref="J230">SUM($G$222:$I$222*DecCours*DecPasse^(B230-$B$222-1))</f>
        <v>113.18944696086687</v>
      </c>
      <c r="K230" s="27"/>
      <c r="L230" s="30"/>
      <c r="M230" s="6"/>
      <c r="N230" s="62"/>
      <c r="O230" s="62"/>
      <c r="P230" s="62"/>
      <c r="Q230" s="62"/>
      <c r="R230" s="62"/>
      <c r="S230" s="62"/>
      <c r="T230" s="62"/>
      <c r="U230" s="80"/>
      <c r="V230" s="62"/>
      <c r="W230" s="62"/>
      <c r="X230" s="62"/>
      <c r="Y230" s="62"/>
      <c r="Z230" s="62"/>
      <c r="AA230" s="79"/>
      <c r="AB230"/>
      <c r="AC230" s="56"/>
      <c r="AD230" s="70"/>
      <c r="AE230" s="71"/>
      <c r="AF230" s="72"/>
      <c r="AG230" s="72"/>
      <c r="AH230" s="128"/>
      <c r="AI230"/>
      <c r="AJ230" s="62"/>
      <c r="AK230" s="62"/>
      <c r="AL230" s="62"/>
      <c r="AM230" s="62"/>
      <c r="AN230" s="62"/>
      <c r="AO230" s="79"/>
    </row>
    <row r="231" spans="1:41" x14ac:dyDescent="0.25">
      <c r="A231" s="24" t="s">
        <v>9</v>
      </c>
      <c r="B231" s="25">
        <v>9</v>
      </c>
      <c r="C231" s="26">
        <v>0</v>
      </c>
      <c r="D231" s="27">
        <v>0</v>
      </c>
      <c r="E231" s="27">
        <v>0</v>
      </c>
      <c r="F231" s="27">
        <v>0</v>
      </c>
      <c r="G231" s="28">
        <v>0</v>
      </c>
      <c r="H231" s="28">
        <v>0</v>
      </c>
      <c r="I231" s="28">
        <v>0</v>
      </c>
      <c r="J231" s="26">
        <f t="array" ref="J231">SUM($G$222:$I$222*DecCours*DecPasse^(B231-$B$222-1))</f>
        <v>110.12721762651024</v>
      </c>
      <c r="K231" s="27"/>
      <c r="L231" s="30"/>
      <c r="M231" s="6"/>
      <c r="N231" s="62"/>
      <c r="O231" s="62"/>
      <c r="P231" s="62"/>
      <c r="Q231" s="62"/>
      <c r="R231" s="62"/>
      <c r="S231" s="62"/>
      <c r="T231" s="62"/>
      <c r="U231" s="80"/>
      <c r="V231" s="62"/>
      <c r="W231" s="62"/>
      <c r="X231" s="62"/>
      <c r="Y231" s="62"/>
      <c r="Z231" s="62"/>
      <c r="AA231" s="79"/>
      <c r="AB231"/>
      <c r="AC231" s="56"/>
      <c r="AD231" s="70"/>
      <c r="AE231" s="71"/>
      <c r="AF231" s="72"/>
      <c r="AG231" s="72"/>
      <c r="AH231" s="128"/>
      <c r="AI231"/>
      <c r="AJ231" s="62"/>
      <c r="AK231" s="62"/>
      <c r="AL231" s="62"/>
      <c r="AM231" s="62"/>
      <c r="AN231" s="62"/>
      <c r="AO231" s="79"/>
    </row>
    <row r="232" spans="1:41" x14ac:dyDescent="0.25">
      <c r="A232" s="24" t="s">
        <v>9</v>
      </c>
      <c r="B232" s="25">
        <v>10</v>
      </c>
      <c r="C232" s="26">
        <v>0</v>
      </c>
      <c r="D232" s="27">
        <v>0</v>
      </c>
      <c r="E232" s="27">
        <v>0</v>
      </c>
      <c r="F232" s="27">
        <v>0</v>
      </c>
      <c r="G232" s="28">
        <v>0</v>
      </c>
      <c r="H232" s="28">
        <v>0</v>
      </c>
      <c r="I232" s="28">
        <v>0</v>
      </c>
      <c r="J232" s="26">
        <f t="array" ref="J232">SUM($G$222:$I$222*DecCours*DecPasse^(B232-$B$222-1))</f>
        <v>107.3419991398185</v>
      </c>
      <c r="K232" s="27"/>
      <c r="L232" s="30"/>
      <c r="M232" s="6"/>
      <c r="N232" s="62"/>
      <c r="O232" s="62"/>
      <c r="P232" s="62"/>
      <c r="Q232" s="62"/>
      <c r="R232" s="62"/>
      <c r="S232" s="62"/>
      <c r="T232" s="62"/>
      <c r="U232" s="80"/>
      <c r="V232" s="62"/>
      <c r="W232" s="62"/>
      <c r="X232" s="62"/>
      <c r="Y232" s="62"/>
      <c r="Z232" s="62"/>
      <c r="AA232" s="79"/>
      <c r="AB232"/>
      <c r="AC232" s="56"/>
      <c r="AD232" s="70"/>
      <c r="AE232" s="71"/>
      <c r="AF232" s="72"/>
      <c r="AG232" s="72"/>
      <c r="AH232" s="128"/>
      <c r="AI232"/>
      <c r="AJ232" s="62"/>
      <c r="AK232" s="62"/>
      <c r="AL232" s="62"/>
      <c r="AM232" s="62"/>
      <c r="AN232" s="62"/>
      <c r="AO232" s="79"/>
    </row>
    <row r="233" spans="1:41" x14ac:dyDescent="0.25">
      <c r="A233" s="24" t="s">
        <v>9</v>
      </c>
      <c r="B233" s="25">
        <v>11</v>
      </c>
      <c r="C233" s="26">
        <v>0</v>
      </c>
      <c r="D233" s="27">
        <v>0</v>
      </c>
      <c r="E233" s="27">
        <v>0</v>
      </c>
      <c r="F233" s="27">
        <v>0</v>
      </c>
      <c r="G233" s="28">
        <v>0</v>
      </c>
      <c r="H233" s="28">
        <v>0</v>
      </c>
      <c r="I233" s="28">
        <v>0</v>
      </c>
      <c r="J233" s="26">
        <f t="array" ref="J233">SUM($G$222:$I$222*DecCours*DecPasse^(B233-$B$222-1))</f>
        <v>104.76562878617227</v>
      </c>
      <c r="K233" s="27"/>
      <c r="L233" s="30"/>
      <c r="M233" s="6"/>
      <c r="N233" s="62"/>
      <c r="O233" s="62"/>
      <c r="P233" s="62"/>
      <c r="Q233" s="62"/>
      <c r="R233" s="62"/>
      <c r="S233" s="62"/>
      <c r="T233" s="62"/>
      <c r="U233" s="80"/>
      <c r="V233" s="62"/>
      <c r="W233" s="62"/>
      <c r="X233" s="62"/>
      <c r="Y233" s="62"/>
      <c r="Z233" s="62"/>
      <c r="AA233" s="79"/>
      <c r="AB233"/>
      <c r="AC233" s="56"/>
      <c r="AD233" s="70"/>
      <c r="AE233" s="71"/>
      <c r="AF233" s="72"/>
      <c r="AG233" s="72"/>
      <c r="AH233" s="128"/>
      <c r="AI233"/>
      <c r="AJ233" s="62"/>
      <c r="AK233" s="62"/>
      <c r="AL233" s="62"/>
      <c r="AM233" s="62"/>
      <c r="AN233" s="62"/>
      <c r="AO233" s="79"/>
    </row>
    <row r="234" spans="1:41" x14ac:dyDescent="0.25">
      <c r="A234" s="24" t="s">
        <v>9</v>
      </c>
      <c r="B234" s="25">
        <v>12</v>
      </c>
      <c r="C234" s="26">
        <v>0</v>
      </c>
      <c r="D234" s="27">
        <v>0</v>
      </c>
      <c r="E234" s="27">
        <v>0</v>
      </c>
      <c r="F234" s="27">
        <v>0</v>
      </c>
      <c r="G234" s="28">
        <v>0</v>
      </c>
      <c r="H234" s="28">
        <v>0</v>
      </c>
      <c r="I234" s="28">
        <v>0</v>
      </c>
      <c r="J234" s="26">
        <f t="array" ref="J234">SUM($G$222:$I$222*DecCours*DecPasse^(B234-$B$222-1))</f>
        <v>102.34963156041425</v>
      </c>
      <c r="K234" s="27"/>
      <c r="L234" s="30"/>
      <c r="M234" s="6"/>
      <c r="N234" s="62"/>
      <c r="O234" s="62"/>
      <c r="P234" s="62"/>
      <c r="Q234" s="62"/>
      <c r="R234" s="62"/>
      <c r="S234" s="62"/>
      <c r="T234" s="62"/>
      <c r="U234" s="80"/>
      <c r="V234" s="62"/>
      <c r="W234" s="62"/>
      <c r="X234" s="62"/>
      <c r="Y234" s="62"/>
      <c r="Z234" s="62"/>
      <c r="AA234" s="79"/>
      <c r="AB234"/>
      <c r="AC234" s="56"/>
      <c r="AD234" s="70"/>
      <c r="AE234" s="71"/>
      <c r="AF234" s="72"/>
      <c r="AG234" s="72"/>
      <c r="AH234" s="128"/>
      <c r="AI234"/>
      <c r="AJ234" s="62"/>
      <c r="AK234" s="62"/>
      <c r="AL234" s="62"/>
      <c r="AM234" s="62"/>
      <c r="AN234" s="62"/>
      <c r="AO234" s="79"/>
    </row>
    <row r="235" spans="1:41" x14ac:dyDescent="0.25">
      <c r="A235" s="24" t="s">
        <v>9</v>
      </c>
      <c r="B235" s="25">
        <v>13</v>
      </c>
      <c r="C235" s="26">
        <v>0</v>
      </c>
      <c r="D235" s="27">
        <v>0</v>
      </c>
      <c r="E235" s="27">
        <v>0</v>
      </c>
      <c r="F235" s="27">
        <v>0</v>
      </c>
      <c r="G235" s="28">
        <v>0</v>
      </c>
      <c r="H235" s="28">
        <v>0</v>
      </c>
      <c r="I235" s="28">
        <v>0</v>
      </c>
      <c r="J235" s="26">
        <f t="array" ref="J235">SUM($G$222:$I$222*DecCours*DecPasse^(B235-$B$222-1))</f>
        <v>100.05945980617655</v>
      </c>
      <c r="K235" s="27"/>
      <c r="L235" s="30"/>
      <c r="M235" s="6"/>
      <c r="N235" s="62"/>
      <c r="O235" s="62"/>
      <c r="P235" s="62"/>
      <c r="Q235" s="62"/>
      <c r="R235" s="62"/>
      <c r="S235" s="62"/>
      <c r="T235" s="62"/>
      <c r="U235" s="80"/>
      <c r="V235" s="62"/>
      <c r="W235" s="62"/>
      <c r="X235" s="62"/>
      <c r="Y235" s="62"/>
      <c r="Z235" s="62"/>
      <c r="AA235" s="79"/>
      <c r="AB235"/>
      <c r="AC235" s="56"/>
      <c r="AD235" s="70"/>
      <c r="AE235" s="71"/>
      <c r="AF235" s="72"/>
      <c r="AG235" s="72"/>
      <c r="AH235" s="128"/>
      <c r="AI235"/>
      <c r="AJ235" s="62"/>
      <c r="AK235" s="62"/>
      <c r="AL235" s="62"/>
      <c r="AM235" s="62"/>
      <c r="AN235" s="62"/>
      <c r="AO235" s="79"/>
    </row>
    <row r="236" spans="1:41" x14ac:dyDescent="0.25">
      <c r="A236" s="24" t="s">
        <v>9</v>
      </c>
      <c r="B236" s="25">
        <v>14</v>
      </c>
      <c r="C236" s="26">
        <v>0</v>
      </c>
      <c r="D236" s="27">
        <v>0</v>
      </c>
      <c r="E236" s="27">
        <v>0</v>
      </c>
      <c r="F236" s="27">
        <v>0</v>
      </c>
      <c r="G236" s="28">
        <v>0</v>
      </c>
      <c r="H236" s="28">
        <v>0</v>
      </c>
      <c r="I236" s="28">
        <v>0</v>
      </c>
      <c r="J236" s="26">
        <f t="array" ref="J236">SUM($G$222:$I$222*DecCours*DecPasse^(B236-$B$222-1))</f>
        <v>97.870419890738617</v>
      </c>
      <c r="K236" s="27"/>
      <c r="L236" s="30"/>
      <c r="M236" s="6"/>
      <c r="N236" s="62"/>
      <c r="O236" s="62"/>
      <c r="P236" s="62"/>
      <c r="Q236" s="62"/>
      <c r="R236" s="62"/>
      <c r="S236" s="62"/>
      <c r="T236" s="62"/>
      <c r="U236" s="80"/>
      <c r="V236" s="62"/>
      <c r="W236" s="62"/>
      <c r="X236" s="62"/>
      <c r="Y236" s="62"/>
      <c r="Z236" s="62"/>
      <c r="AA236" s="79"/>
      <c r="AB236"/>
      <c r="AC236" s="56"/>
      <c r="AD236" s="70"/>
      <c r="AE236" s="71"/>
      <c r="AF236" s="72"/>
      <c r="AG236" s="72"/>
      <c r="AH236" s="128"/>
      <c r="AI236"/>
      <c r="AJ236" s="62"/>
      <c r="AK236" s="62"/>
      <c r="AL236" s="62"/>
      <c r="AM236" s="62"/>
      <c r="AN236" s="62"/>
      <c r="AO236" s="79"/>
    </row>
    <row r="237" spans="1:41" x14ac:dyDescent="0.25">
      <c r="A237" s="24" t="s">
        <v>9</v>
      </c>
      <c r="B237" s="25">
        <v>15</v>
      </c>
      <c r="C237" s="26">
        <v>0</v>
      </c>
      <c r="D237" s="27">
        <v>0</v>
      </c>
      <c r="E237" s="27">
        <v>0</v>
      </c>
      <c r="F237" s="27">
        <v>0</v>
      </c>
      <c r="G237" s="28">
        <v>0</v>
      </c>
      <c r="H237" s="28">
        <v>0</v>
      </c>
      <c r="I237" s="28">
        <v>0</v>
      </c>
      <c r="J237" s="26">
        <f t="array" ref="J237">SUM($G$222:$I$222*DecCours*DecPasse^(B237-$B$222-1))</f>
        <v>95.764791797254105</v>
      </c>
      <c r="K237" s="27"/>
      <c r="L237" s="30"/>
      <c r="M237" s="6"/>
      <c r="N237" s="62"/>
      <c r="O237" s="62"/>
      <c r="P237" s="62"/>
      <c r="Q237" s="62"/>
      <c r="R237" s="62"/>
      <c r="S237" s="62"/>
      <c r="T237" s="62"/>
      <c r="U237" s="80"/>
      <c r="V237" s="62"/>
      <c r="W237" s="62"/>
      <c r="X237" s="62"/>
      <c r="Y237" s="62"/>
      <c r="Z237" s="62"/>
      <c r="AA237" s="79"/>
      <c r="AB237"/>
      <c r="AC237" s="56"/>
      <c r="AD237" s="70"/>
      <c r="AE237" s="71"/>
      <c r="AF237" s="72"/>
      <c r="AG237" s="72"/>
      <c r="AH237" s="128"/>
      <c r="AI237"/>
      <c r="AJ237" s="62"/>
      <c r="AK237" s="62"/>
      <c r="AL237" s="62"/>
      <c r="AM237" s="62"/>
      <c r="AN237" s="62"/>
      <c r="AO237" s="79"/>
    </row>
    <row r="238" spans="1:41" x14ac:dyDescent="0.25">
      <c r="A238" s="24" t="s">
        <v>9</v>
      </c>
      <c r="B238" s="25">
        <v>16</v>
      </c>
      <c r="C238" s="26">
        <v>0</v>
      </c>
      <c r="D238" s="27">
        <v>0</v>
      </c>
      <c r="E238" s="27">
        <v>0</v>
      </c>
      <c r="F238" s="27">
        <v>0</v>
      </c>
      <c r="G238" s="28">
        <v>0</v>
      </c>
      <c r="H238" s="28">
        <v>0</v>
      </c>
      <c r="I238" s="28">
        <v>0</v>
      </c>
      <c r="J238" s="26">
        <f t="array" ref="J238">SUM($G$222:$I$222*DecCours*DecPasse^(B238-$B$222-1))</f>
        <v>93.729792239969214</v>
      </c>
      <c r="K238" s="27"/>
      <c r="L238" s="30"/>
      <c r="M238" s="6"/>
      <c r="N238" s="62"/>
      <c r="O238" s="62"/>
      <c r="P238" s="62"/>
      <c r="Q238" s="62"/>
      <c r="R238" s="62"/>
      <c r="S238" s="62"/>
      <c r="T238" s="62"/>
      <c r="U238" s="80"/>
      <c r="V238" s="62"/>
      <c r="W238" s="62"/>
      <c r="X238" s="62"/>
      <c r="Y238" s="62"/>
      <c r="Z238" s="62"/>
      <c r="AA238" s="79"/>
      <c r="AB238"/>
      <c r="AC238" s="56"/>
      <c r="AD238" s="70"/>
      <c r="AE238" s="71"/>
      <c r="AF238" s="72"/>
      <c r="AG238" s="72"/>
      <c r="AH238" s="128"/>
      <c r="AI238"/>
      <c r="AJ238" s="62"/>
      <c r="AK238" s="62"/>
      <c r="AL238" s="62"/>
      <c r="AM238" s="62"/>
      <c r="AN238" s="62"/>
      <c r="AO238" s="79"/>
    </row>
    <row r="239" spans="1:41" x14ac:dyDescent="0.25">
      <c r="A239" s="24" t="s">
        <v>9</v>
      </c>
      <c r="B239" s="25">
        <v>17</v>
      </c>
      <c r="C239" s="26">
        <v>0</v>
      </c>
      <c r="D239" s="27">
        <v>0</v>
      </c>
      <c r="E239" s="27">
        <v>0</v>
      </c>
      <c r="F239" s="27">
        <v>0</v>
      </c>
      <c r="G239" s="28">
        <v>0</v>
      </c>
      <c r="H239" s="28">
        <v>0</v>
      </c>
      <c r="I239" s="28">
        <v>0</v>
      </c>
      <c r="J239" s="26">
        <f t="array" ref="J239">SUM($G$222:$I$222*DecCours*DecPasse^(B239-$B$222-1))</f>
        <v>91.756134243228317</v>
      </c>
      <c r="K239" s="27"/>
      <c r="L239" s="30"/>
      <c r="M239" s="6"/>
      <c r="N239" s="62"/>
      <c r="O239" s="62"/>
      <c r="P239" s="62"/>
      <c r="Q239" s="62"/>
      <c r="R239" s="62"/>
      <c r="S239" s="62"/>
      <c r="T239" s="62"/>
      <c r="U239" s="80"/>
      <c r="V239" s="62"/>
      <c r="W239" s="62"/>
      <c r="X239" s="62"/>
      <c r="Y239" s="62"/>
      <c r="Z239" s="62"/>
      <c r="AA239" s="79"/>
      <c r="AB239"/>
      <c r="AC239" s="56"/>
      <c r="AD239" s="70"/>
      <c r="AE239" s="71"/>
      <c r="AF239" s="72"/>
      <c r="AG239" s="72"/>
      <c r="AH239" s="128"/>
      <c r="AI239"/>
      <c r="AJ239" s="62"/>
      <c r="AK239" s="62"/>
      <c r="AL239" s="62"/>
      <c r="AM239" s="62"/>
      <c r="AN239" s="62"/>
      <c r="AO239" s="79"/>
    </row>
    <row r="240" spans="1:41" x14ac:dyDescent="0.25">
      <c r="A240" s="24" t="s">
        <v>9</v>
      </c>
      <c r="B240" s="25">
        <v>18</v>
      </c>
      <c r="C240" s="26">
        <v>0</v>
      </c>
      <c r="D240" s="27">
        <v>0</v>
      </c>
      <c r="E240" s="27">
        <v>0</v>
      </c>
      <c r="F240" s="27">
        <v>0</v>
      </c>
      <c r="G240" s="28">
        <v>0</v>
      </c>
      <c r="H240" s="28">
        <v>0</v>
      </c>
      <c r="I240" s="28">
        <v>0</v>
      </c>
      <c r="J240" s="26">
        <f t="array" ref="J240">SUM($G$222:$I$222*DecCours*DecPasse^(B240-$B$222-1))</f>
        <v>89.837008486958084</v>
      </c>
      <c r="K240" s="27"/>
      <c r="L240" s="30"/>
      <c r="M240" s="6"/>
      <c r="N240" s="62"/>
      <c r="O240" s="62"/>
      <c r="P240" s="62"/>
      <c r="Q240" s="62"/>
      <c r="R240" s="62"/>
      <c r="S240" s="62"/>
      <c r="T240" s="62"/>
      <c r="U240" s="80"/>
      <c r="V240" s="62"/>
      <c r="W240" s="62"/>
      <c r="X240" s="62"/>
      <c r="Y240" s="62"/>
      <c r="Z240" s="62"/>
      <c r="AA240" s="79"/>
      <c r="AB240"/>
      <c r="AC240" s="56"/>
      <c r="AD240" s="70"/>
      <c r="AE240" s="71"/>
      <c r="AF240" s="72"/>
      <c r="AG240" s="72"/>
      <c r="AH240" s="128"/>
      <c r="AI240"/>
      <c r="AJ240" s="62"/>
      <c r="AK240" s="62"/>
      <c r="AL240" s="62"/>
      <c r="AM240" s="62"/>
      <c r="AN240" s="62"/>
      <c r="AO240" s="79"/>
    </row>
    <row r="241" spans="1:41" x14ac:dyDescent="0.25">
      <c r="A241" s="24" t="s">
        <v>9</v>
      </c>
      <c r="B241" s="25">
        <v>19</v>
      </c>
      <c r="C241" s="26">
        <v>0</v>
      </c>
      <c r="D241" s="27">
        <v>0</v>
      </c>
      <c r="E241" s="27">
        <v>0</v>
      </c>
      <c r="F241" s="27">
        <v>0</v>
      </c>
      <c r="G241" s="28">
        <v>0</v>
      </c>
      <c r="H241" s="28">
        <v>0</v>
      </c>
      <c r="I241" s="28">
        <v>0</v>
      </c>
      <c r="J241" s="26">
        <f t="array" ref="J241">SUM($G$222:$I$222*DecCours*DecPasse^(B241-$B$222-1))</f>
        <v>87.967362888910159</v>
      </c>
      <c r="K241" s="27"/>
      <c r="L241" s="30"/>
      <c r="M241" s="6"/>
      <c r="N241" s="62"/>
      <c r="O241" s="62"/>
      <c r="P241" s="62"/>
      <c r="Q241" s="62"/>
      <c r="R241" s="62"/>
      <c r="S241" s="62"/>
      <c r="T241" s="62"/>
      <c r="U241" s="80"/>
      <c r="V241" s="62"/>
      <c r="W241" s="62"/>
      <c r="X241" s="62"/>
      <c r="Y241" s="62"/>
      <c r="Z241" s="62"/>
      <c r="AA241" s="79"/>
      <c r="AB241"/>
      <c r="AC241" s="56"/>
      <c r="AD241" s="70"/>
      <c r="AE241" s="71"/>
      <c r="AF241" s="72"/>
      <c r="AG241" s="72"/>
      <c r="AH241" s="128"/>
      <c r="AI241"/>
      <c r="AJ241" s="62"/>
      <c r="AK241" s="62"/>
      <c r="AL241" s="62"/>
      <c r="AM241" s="62"/>
      <c r="AN241" s="62"/>
      <c r="AO241" s="79"/>
    </row>
    <row r="242" spans="1:41" x14ac:dyDescent="0.25">
      <c r="A242" s="24" t="s">
        <v>9</v>
      </c>
      <c r="B242" s="25">
        <v>20</v>
      </c>
      <c r="C242" s="26">
        <v>0</v>
      </c>
      <c r="D242" s="27">
        <v>0</v>
      </c>
      <c r="E242" s="27">
        <v>0</v>
      </c>
      <c r="F242" s="27">
        <v>0</v>
      </c>
      <c r="G242" s="28">
        <v>0</v>
      </c>
      <c r="H242" s="28">
        <v>0</v>
      </c>
      <c r="I242" s="28">
        <v>0</v>
      </c>
      <c r="J242" s="26">
        <f t="array" ref="J242">SUM($G$222:$I$222*DecCours*DecPasse^(B242-$B$222-1))</f>
        <v>86.143393074893197</v>
      </c>
      <c r="K242" s="27"/>
      <c r="L242" s="30"/>
      <c r="M242" s="6"/>
      <c r="N242" s="62"/>
      <c r="O242" s="62"/>
      <c r="P242" s="62"/>
      <c r="Q242" s="62"/>
      <c r="R242" s="62"/>
      <c r="S242" s="62"/>
      <c r="T242" s="62"/>
      <c r="U242" s="80"/>
      <c r="V242" s="62"/>
      <c r="W242" s="62"/>
      <c r="X242" s="62"/>
      <c r="Y242" s="62"/>
      <c r="Z242" s="62"/>
      <c r="AA242" s="79"/>
      <c r="AB242"/>
      <c r="AC242" s="56"/>
      <c r="AD242" s="70"/>
      <c r="AE242" s="71"/>
      <c r="AF242" s="72"/>
      <c r="AG242" s="72"/>
      <c r="AH242" s="128"/>
      <c r="AI242"/>
      <c r="AJ242" s="62"/>
      <c r="AK242" s="62"/>
      <c r="AL242" s="62"/>
      <c r="AM242" s="62"/>
      <c r="AN242" s="62"/>
      <c r="AO242" s="79"/>
    </row>
    <row r="243" spans="1:41" x14ac:dyDescent="0.25">
      <c r="A243" s="24" t="s">
        <v>9</v>
      </c>
      <c r="B243" s="25">
        <v>21</v>
      </c>
      <c r="C243" s="26">
        <v>0</v>
      </c>
      <c r="D243" s="27">
        <v>0</v>
      </c>
      <c r="E243" s="27">
        <v>0</v>
      </c>
      <c r="F243" s="27">
        <v>0</v>
      </c>
      <c r="G243" s="28">
        <v>0</v>
      </c>
      <c r="H243" s="28">
        <v>0</v>
      </c>
      <c r="I243" s="28">
        <v>0</v>
      </c>
      <c r="J243" s="26">
        <f t="array" ref="J243">SUM($G$222:$I$222*DecCours*DecPasse^(B243-$B$222-1))</f>
        <v>84.362181972022853</v>
      </c>
      <c r="K243" s="27"/>
      <c r="L243" s="30"/>
      <c r="M243" s="6"/>
      <c r="N243" s="62"/>
      <c r="O243" s="62"/>
      <c r="P243" s="62"/>
      <c r="Q243" s="62"/>
      <c r="R243" s="62"/>
      <c r="S243" s="62"/>
      <c r="T243" s="62"/>
      <c r="U243" s="80"/>
      <c r="V243" s="62"/>
      <c r="W243" s="62"/>
      <c r="X243" s="62"/>
      <c r="Y243" s="62"/>
      <c r="Z243" s="62"/>
      <c r="AA243" s="79"/>
      <c r="AB243"/>
      <c r="AC243" s="56"/>
      <c r="AD243" s="70"/>
      <c r="AE243" s="71"/>
      <c r="AF243" s="72"/>
      <c r="AG243" s="72"/>
      <c r="AH243" s="128"/>
      <c r="AI243"/>
      <c r="AJ243" s="62"/>
      <c r="AK243" s="62"/>
      <c r="AL243" s="62"/>
      <c r="AM243" s="62"/>
      <c r="AN243" s="62"/>
      <c r="AO243" s="79"/>
    </row>
    <row r="244" spans="1:41" x14ac:dyDescent="0.25">
      <c r="A244" s="24" t="s">
        <v>9</v>
      </c>
      <c r="B244" s="25">
        <v>22</v>
      </c>
      <c r="C244" s="26">
        <v>0</v>
      </c>
      <c r="D244" s="27">
        <v>0</v>
      </c>
      <c r="E244" s="27">
        <v>0</v>
      </c>
      <c r="F244" s="27">
        <v>0</v>
      </c>
      <c r="G244" s="28">
        <v>0</v>
      </c>
      <c r="H244" s="28">
        <v>0</v>
      </c>
      <c r="I244" s="28">
        <v>0</v>
      </c>
      <c r="J244" s="26">
        <f t="array" ref="J244">SUM($G$222:$I$222*DecCours*DecPasse^(B244-$B$222-1))</f>
        <v>82.621444850495266</v>
      </c>
      <c r="K244" s="27"/>
      <c r="L244" s="30"/>
      <c r="M244" s="6"/>
      <c r="N244" s="62"/>
      <c r="O244" s="62"/>
      <c r="P244" s="62"/>
      <c r="Q244" s="62"/>
      <c r="R244" s="62"/>
      <c r="S244" s="62"/>
      <c r="T244" s="62"/>
      <c r="U244" s="80"/>
      <c r="V244" s="62"/>
      <c r="W244" s="62"/>
      <c r="X244" s="62"/>
      <c r="Y244" s="62"/>
      <c r="Z244" s="62"/>
      <c r="AA244" s="79"/>
      <c r="AB244"/>
      <c r="AC244" s="56"/>
      <c r="AD244" s="70"/>
      <c r="AE244" s="71"/>
      <c r="AF244" s="72"/>
      <c r="AG244" s="72"/>
      <c r="AH244" s="128"/>
      <c r="AI244"/>
      <c r="AJ244" s="62"/>
      <c r="AK244" s="62"/>
      <c r="AL244" s="62"/>
      <c r="AM244" s="62"/>
      <c r="AN244" s="62"/>
      <c r="AO244" s="79"/>
    </row>
    <row r="245" spans="1:41" x14ac:dyDescent="0.25">
      <c r="A245" s="24" t="s">
        <v>9</v>
      </c>
      <c r="B245" s="25">
        <v>23</v>
      </c>
      <c r="C245" s="26">
        <v>0</v>
      </c>
      <c r="D245" s="27">
        <v>0</v>
      </c>
      <c r="E245" s="27">
        <v>0</v>
      </c>
      <c r="F245" s="27">
        <v>0</v>
      </c>
      <c r="G245" s="28">
        <v>0</v>
      </c>
      <c r="H245" s="28">
        <v>0</v>
      </c>
      <c r="I245" s="28">
        <v>0</v>
      </c>
      <c r="J245" s="26">
        <f t="array" ref="J245">SUM($G$222:$I$222*DecCours*DecPasse^(B245-$B$222-1))</f>
        <v>80.919348931292447</v>
      </c>
      <c r="K245" s="27"/>
      <c r="L245" s="30"/>
      <c r="M245" s="6"/>
      <c r="N245" s="62"/>
      <c r="O245" s="62"/>
      <c r="P245" s="62"/>
      <c r="Q245" s="62"/>
      <c r="R245" s="62"/>
      <c r="S245" s="62"/>
      <c r="T245" s="62"/>
      <c r="U245" s="80"/>
      <c r="V245" s="62"/>
      <c r="W245" s="62"/>
      <c r="X245" s="62"/>
      <c r="Y245" s="62"/>
      <c r="Z245" s="62"/>
      <c r="AA245" s="79"/>
      <c r="AB245"/>
      <c r="AC245" s="56"/>
      <c r="AD245" s="70"/>
      <c r="AE245" s="71"/>
      <c r="AF245" s="72"/>
      <c r="AG245" s="72"/>
      <c r="AH245" s="128"/>
      <c r="AI245"/>
      <c r="AJ245" s="62"/>
      <c r="AK245" s="62"/>
      <c r="AL245" s="62"/>
      <c r="AM245" s="62"/>
      <c r="AN245" s="62"/>
      <c r="AO245" s="79"/>
    </row>
    <row r="246" spans="1:41" x14ac:dyDescent="0.25">
      <c r="A246" s="24" t="s">
        <v>9</v>
      </c>
      <c r="B246" s="25">
        <v>24</v>
      </c>
      <c r="C246" s="26">
        <v>0</v>
      </c>
      <c r="D246" s="27">
        <v>0</v>
      </c>
      <c r="E246" s="27">
        <v>0</v>
      </c>
      <c r="F246" s="27">
        <v>0</v>
      </c>
      <c r="G246" s="28">
        <v>0</v>
      </c>
      <c r="H246" s="28">
        <v>0</v>
      </c>
      <c r="I246" s="28">
        <v>0</v>
      </c>
      <c r="J246" s="26">
        <f t="array" ref="J246">SUM($G$222:$I$222*DecCours*DecPasse^(B246-$B$222-1))</f>
        <v>79.254385722467958</v>
      </c>
      <c r="K246" s="27"/>
      <c r="L246" s="30"/>
      <c r="M246" s="6"/>
      <c r="N246" s="62"/>
      <c r="O246" s="62"/>
      <c r="P246" s="62"/>
      <c r="Q246" s="62"/>
      <c r="R246" s="62"/>
      <c r="S246" s="62"/>
      <c r="T246" s="62"/>
      <c r="U246" s="80"/>
      <c r="V246" s="62"/>
      <c r="W246" s="62"/>
      <c r="X246" s="62"/>
      <c r="Y246" s="62"/>
      <c r="Z246" s="62"/>
      <c r="AA246" s="79"/>
      <c r="AB246"/>
      <c r="AC246" s="56"/>
      <c r="AD246" s="70"/>
      <c r="AE246" s="71"/>
      <c r="AF246" s="72"/>
      <c r="AG246" s="72"/>
      <c r="AH246" s="128"/>
      <c r="AI246"/>
      <c r="AJ246" s="62"/>
      <c r="AK246" s="62"/>
      <c r="AL246" s="62"/>
      <c r="AM246" s="62"/>
      <c r="AN246" s="62"/>
      <c r="AO246" s="79"/>
    </row>
    <row r="247" spans="1:41" x14ac:dyDescent="0.25">
      <c r="A247" s="24" t="s">
        <v>9</v>
      </c>
      <c r="B247" s="25">
        <v>25</v>
      </c>
      <c r="C247" s="26">
        <v>0</v>
      </c>
      <c r="D247" s="27">
        <v>0</v>
      </c>
      <c r="E247" s="27">
        <v>0</v>
      </c>
      <c r="F247" s="27">
        <v>0</v>
      </c>
      <c r="G247" s="28">
        <v>0</v>
      </c>
      <c r="H247" s="28">
        <v>0</v>
      </c>
      <c r="I247" s="28">
        <v>0</v>
      </c>
      <c r="J247" s="26">
        <f t="array" ref="J247">SUM($G$222:$I$222*DecCours*DecPasse^(B247-$B$222-1))</f>
        <v>77.625280642615479</v>
      </c>
      <c r="K247" s="27"/>
      <c r="L247" s="30"/>
      <c r="M247" s="6"/>
      <c r="N247" s="62"/>
      <c r="O247" s="62"/>
      <c r="P247" s="62"/>
      <c r="Q247" s="62"/>
      <c r="R247" s="62"/>
      <c r="S247" s="62"/>
      <c r="T247" s="62"/>
      <c r="U247" s="80"/>
      <c r="V247" s="62"/>
      <c r="W247" s="62"/>
      <c r="X247" s="62"/>
      <c r="Y247" s="62"/>
      <c r="Z247" s="62"/>
      <c r="AA247" s="79"/>
      <c r="AB247"/>
      <c r="AC247" s="56"/>
      <c r="AD247" s="70"/>
      <c r="AE247" s="71"/>
      <c r="AF247" s="72"/>
      <c r="AG247" s="72"/>
      <c r="AH247" s="128"/>
      <c r="AI247"/>
      <c r="AJ247" s="62"/>
      <c r="AK247" s="62"/>
      <c r="AL247" s="62"/>
      <c r="AM247" s="62"/>
      <c r="AN247" s="62"/>
      <c r="AO247" s="79"/>
    </row>
    <row r="248" spans="1:41" x14ac:dyDescent="0.25">
      <c r="A248" s="24" t="s">
        <v>9</v>
      </c>
      <c r="B248" s="25">
        <v>26</v>
      </c>
      <c r="C248" s="26">
        <v>0</v>
      </c>
      <c r="D248" s="27">
        <v>0</v>
      </c>
      <c r="E248" s="27">
        <v>0</v>
      </c>
      <c r="F248" s="27">
        <v>0</v>
      </c>
      <c r="G248" s="28">
        <v>0</v>
      </c>
      <c r="H248" s="28">
        <v>0</v>
      </c>
      <c r="I248" s="28">
        <v>0</v>
      </c>
      <c r="J248" s="26">
        <f t="array" ref="J248">SUM($G$222:$I$222*DecCours*DecPasse^(B248-$B$222-1))</f>
        <v>76.030929012745844</v>
      </c>
      <c r="K248" s="27"/>
      <c r="L248" s="30"/>
      <c r="M248" s="6"/>
      <c r="N248" s="62"/>
      <c r="O248" s="62"/>
      <c r="P248" s="62"/>
      <c r="Q248" s="62"/>
      <c r="R248" s="62"/>
      <c r="S248" s="62"/>
      <c r="T248" s="62"/>
      <c r="U248" s="80"/>
      <c r="V248" s="62"/>
      <c r="W248" s="62"/>
      <c r="X248" s="62"/>
      <c r="Y248" s="62"/>
      <c r="Z248" s="62"/>
      <c r="AA248" s="79"/>
      <c r="AB248"/>
      <c r="AC248" s="56"/>
      <c r="AD248" s="70"/>
      <c r="AE248" s="71"/>
      <c r="AF248" s="72"/>
      <c r="AG248" s="72"/>
      <c r="AH248" s="128"/>
      <c r="AI248"/>
      <c r="AJ248" s="62"/>
      <c r="AK248" s="62"/>
      <c r="AL248" s="62"/>
      <c r="AM248" s="62"/>
      <c r="AN248" s="62"/>
      <c r="AO248" s="79"/>
    </row>
    <row r="249" spans="1:41" x14ac:dyDescent="0.25">
      <c r="A249" s="24" t="s">
        <v>9</v>
      </c>
      <c r="B249" s="25">
        <v>27</v>
      </c>
      <c r="C249" s="26">
        <v>0</v>
      </c>
      <c r="D249" s="27">
        <v>0</v>
      </c>
      <c r="E249" s="27">
        <v>0</v>
      </c>
      <c r="F249" s="27">
        <v>0</v>
      </c>
      <c r="G249" s="28">
        <v>0</v>
      </c>
      <c r="H249" s="28">
        <v>0</v>
      </c>
      <c r="I249" s="28">
        <v>0</v>
      </c>
      <c r="J249" s="26">
        <f t="array" ref="J249">SUM($G$222:$I$222*DecCours*DecPasse^(B249-$B$222-1))</f>
        <v>74.470350695777086</v>
      </c>
      <c r="K249" s="27"/>
      <c r="L249" s="30"/>
      <c r="M249" s="6"/>
      <c r="N249" s="62"/>
      <c r="O249" s="62"/>
      <c r="P249" s="62"/>
      <c r="Q249" s="62"/>
      <c r="R249" s="62"/>
      <c r="S249" s="62"/>
      <c r="T249" s="62"/>
      <c r="U249" s="80"/>
      <c r="V249" s="62"/>
      <c r="W249" s="62"/>
      <c r="X249" s="62"/>
      <c r="Y249" s="62"/>
      <c r="Z249" s="62"/>
      <c r="AA249" s="79"/>
      <c r="AB249"/>
      <c r="AC249" s="56"/>
      <c r="AD249" s="70"/>
      <c r="AE249" s="71"/>
      <c r="AF249" s="72"/>
      <c r="AG249" s="72"/>
      <c r="AH249" s="128"/>
      <c r="AI249"/>
      <c r="AJ249" s="62"/>
      <c r="AK249" s="62"/>
      <c r="AL249" s="62"/>
      <c r="AM249" s="62"/>
      <c r="AN249" s="62"/>
      <c r="AO249" s="79"/>
    </row>
    <row r="250" spans="1:41" x14ac:dyDescent="0.25">
      <c r="A250" s="24" t="s">
        <v>9</v>
      </c>
      <c r="B250" s="25">
        <v>28</v>
      </c>
      <c r="C250" s="26">
        <v>0</v>
      </c>
      <c r="D250" s="27">
        <v>0</v>
      </c>
      <c r="E250" s="27">
        <v>0</v>
      </c>
      <c r="F250" s="27">
        <v>0</v>
      </c>
      <c r="G250" s="28">
        <v>0</v>
      </c>
      <c r="H250" s="28">
        <v>0</v>
      </c>
      <c r="I250" s="28">
        <v>0</v>
      </c>
      <c r="J250" s="26">
        <f t="array" ref="J250">SUM($G$222:$I$222*DecCours*DecPasse^(B250-$B$222-1))</f>
        <v>72.942657924155625</v>
      </c>
      <c r="K250" s="27"/>
      <c r="L250" s="30"/>
      <c r="M250" s="6"/>
      <c r="N250" s="62"/>
      <c r="O250" s="62"/>
      <c r="P250" s="62"/>
      <c r="Q250" s="62"/>
      <c r="R250" s="62"/>
      <c r="S250" s="62"/>
      <c r="T250" s="62"/>
      <c r="U250" s="80"/>
      <c r="V250" s="62"/>
      <c r="W250" s="62"/>
      <c r="X250" s="62"/>
      <c r="Y250" s="62"/>
      <c r="Z250" s="62"/>
      <c r="AA250" s="79"/>
      <c r="AB250"/>
      <c r="AC250" s="56"/>
      <c r="AD250" s="70"/>
      <c r="AE250" s="71"/>
      <c r="AF250" s="72"/>
      <c r="AG250" s="72"/>
      <c r="AH250" s="128"/>
      <c r="AI250"/>
      <c r="AJ250" s="62"/>
      <c r="AK250" s="62"/>
      <c r="AL250" s="62"/>
      <c r="AM250" s="62"/>
      <c r="AN250" s="62"/>
      <c r="AO250" s="79"/>
    </row>
    <row r="251" spans="1:41" x14ac:dyDescent="0.25">
      <c r="A251" s="24" t="s">
        <v>9</v>
      </c>
      <c r="B251" s="25">
        <v>29</v>
      </c>
      <c r="C251" s="26">
        <v>0</v>
      </c>
      <c r="D251" s="27">
        <v>0</v>
      </c>
      <c r="E251" s="27">
        <v>0</v>
      </c>
      <c r="F251" s="27">
        <v>0</v>
      </c>
      <c r="G251" s="28">
        <v>0</v>
      </c>
      <c r="H251" s="28">
        <v>0</v>
      </c>
      <c r="I251" s="28">
        <v>0</v>
      </c>
      <c r="J251" s="26">
        <f t="array" ref="J251">SUM($G$222:$I$222*DecCours*DecPasse^(B251-$B$222-1))</f>
        <v>71.447032455119313</v>
      </c>
      <c r="K251" s="27"/>
      <c r="L251" s="30"/>
      <c r="M251" s="6"/>
      <c r="N251" s="62"/>
      <c r="O251" s="62"/>
      <c r="P251" s="62"/>
      <c r="Q251" s="62"/>
      <c r="R251" s="62"/>
      <c r="S251" s="62"/>
      <c r="T251" s="62"/>
      <c r="U251" s="80"/>
      <c r="V251" s="62"/>
      <c r="W251" s="62"/>
      <c r="X251" s="62"/>
      <c r="Y251" s="62"/>
      <c r="Z251" s="62"/>
      <c r="AA251" s="79"/>
      <c r="AB251"/>
      <c r="AC251" s="56"/>
      <c r="AD251" s="70"/>
      <c r="AE251" s="71"/>
      <c r="AF251" s="72"/>
      <c r="AG251" s="72"/>
      <c r="AH251" s="128"/>
      <c r="AI251"/>
      <c r="AJ251" s="62"/>
      <c r="AK251" s="62"/>
      <c r="AL251" s="62"/>
      <c r="AM251" s="62"/>
      <c r="AN251" s="62"/>
      <c r="AO251" s="79"/>
    </row>
    <row r="252" spans="1:41" x14ac:dyDescent="0.25">
      <c r="A252" s="24" t="s">
        <v>9</v>
      </c>
      <c r="B252" s="25">
        <v>30</v>
      </c>
      <c r="C252" s="26">
        <v>0</v>
      </c>
      <c r="D252" s="27">
        <v>0</v>
      </c>
      <c r="E252" s="27">
        <v>0</v>
      </c>
      <c r="F252" s="27">
        <v>0</v>
      </c>
      <c r="G252" s="28">
        <v>0</v>
      </c>
      <c r="H252" s="28">
        <v>0</v>
      </c>
      <c r="I252" s="28">
        <v>0</v>
      </c>
      <c r="J252" s="26">
        <f t="array" ref="J252">SUM($G$222:$I$222*DecCours*DecPasse^(B252-$B$222-1))</f>
        <v>69.982709323771232</v>
      </c>
      <c r="K252" s="27"/>
      <c r="L252" s="30"/>
      <c r="M252" s="6"/>
      <c r="N252" s="62"/>
      <c r="O252" s="62"/>
      <c r="P252" s="62"/>
      <c r="Q252" s="62"/>
      <c r="R252" s="62"/>
      <c r="S252" s="62"/>
      <c r="T252" s="62"/>
      <c r="U252" s="80"/>
      <c r="V252" s="62"/>
      <c r="W252" s="62"/>
      <c r="X252" s="62"/>
      <c r="Y252" s="62"/>
      <c r="Z252" s="62"/>
      <c r="AA252" s="79"/>
      <c r="AB252"/>
      <c r="AC252" s="56"/>
      <c r="AD252" s="70"/>
      <c r="AE252" s="71"/>
      <c r="AF252" s="72"/>
      <c r="AG252" s="72"/>
      <c r="AH252" s="128"/>
      <c r="AI252"/>
      <c r="AJ252" s="62"/>
      <c r="AK252" s="62"/>
      <c r="AL252" s="62"/>
      <c r="AM252" s="62"/>
      <c r="AN252" s="62"/>
      <c r="AO252" s="79"/>
    </row>
    <row r="253" spans="1:41" x14ac:dyDescent="0.25">
      <c r="A253" s="24" t="s">
        <v>9</v>
      </c>
      <c r="B253" s="25">
        <v>31</v>
      </c>
      <c r="C253" s="26">
        <v>0</v>
      </c>
      <c r="D253" s="27">
        <v>0</v>
      </c>
      <c r="E253" s="27">
        <v>0</v>
      </c>
      <c r="F253" s="27">
        <v>0</v>
      </c>
      <c r="G253" s="28">
        <v>0</v>
      </c>
      <c r="H253" s="28">
        <v>0</v>
      </c>
      <c r="I253" s="28">
        <v>0</v>
      </c>
      <c r="J253" s="26">
        <f t="array" ref="J253">SUM($G$222:$I$222*DecCours*DecPasse^(B253-$B$222-1))</f>
        <v>68.548965263632155</v>
      </c>
      <c r="K253" s="27"/>
      <c r="L253" s="30"/>
      <c r="M253" s="6"/>
      <c r="N253" s="62"/>
      <c r="O253" s="62"/>
      <c r="P253" s="62"/>
      <c r="Q253" s="62"/>
      <c r="R253" s="62"/>
      <c r="S253" s="62"/>
      <c r="T253" s="62"/>
      <c r="U253" s="80"/>
      <c r="V253" s="62"/>
      <c r="W253" s="62"/>
      <c r="X253" s="62"/>
      <c r="Y253" s="62"/>
      <c r="Z253" s="62"/>
      <c r="AA253" s="79"/>
      <c r="AB253"/>
      <c r="AC253" s="56"/>
      <c r="AD253" s="70"/>
      <c r="AE253" s="71"/>
      <c r="AF253" s="72"/>
      <c r="AG253" s="72"/>
      <c r="AH253" s="128"/>
      <c r="AI253"/>
      <c r="AJ253" s="62"/>
      <c r="AK253" s="62"/>
      <c r="AL253" s="62"/>
      <c r="AM253" s="62"/>
      <c r="AN253" s="62"/>
      <c r="AO253" s="79"/>
    </row>
    <row r="254" spans="1:41" x14ac:dyDescent="0.25">
      <c r="A254" s="24" t="s">
        <v>9</v>
      </c>
      <c r="B254" s="25">
        <v>32</v>
      </c>
      <c r="C254" s="26">
        <v>0</v>
      </c>
      <c r="D254" s="27">
        <v>0</v>
      </c>
      <c r="E254" s="27">
        <v>0</v>
      </c>
      <c r="F254" s="27">
        <v>0</v>
      </c>
      <c r="G254" s="28">
        <v>0</v>
      </c>
      <c r="H254" s="28">
        <v>0</v>
      </c>
      <c r="I254" s="28">
        <v>0</v>
      </c>
      <c r="J254" s="26">
        <f t="array" ref="J254">SUM($G$222:$I$222*DecCours*DecPasse^(B254-$B$222-1))</f>
        <v>67.145110429670467</v>
      </c>
      <c r="K254" s="27"/>
      <c r="L254" s="30"/>
      <c r="M254" s="6"/>
      <c r="N254" s="62"/>
      <c r="O254" s="62"/>
      <c r="P254" s="62"/>
      <c r="Q254" s="62"/>
      <c r="R254" s="62"/>
      <c r="S254" s="62"/>
      <c r="T254" s="62"/>
      <c r="U254" s="80"/>
      <c r="V254" s="62"/>
      <c r="W254" s="62"/>
      <c r="X254" s="62"/>
      <c r="Y254" s="62"/>
      <c r="Z254" s="62"/>
      <c r="AA254" s="79"/>
      <c r="AB254"/>
      <c r="AC254" s="56"/>
      <c r="AD254" s="70"/>
      <c r="AE254" s="71"/>
      <c r="AF254" s="72"/>
      <c r="AG254" s="72"/>
      <c r="AH254" s="128"/>
      <c r="AI254"/>
      <c r="AJ254" s="62"/>
      <c r="AK254" s="62"/>
      <c r="AL254" s="62"/>
      <c r="AM254" s="62"/>
      <c r="AN254" s="62"/>
      <c r="AO254" s="79"/>
    </row>
    <row r="255" spans="1:41" x14ac:dyDescent="0.25">
      <c r="A255" s="24" t="s">
        <v>9</v>
      </c>
      <c r="B255" s="25">
        <v>33</v>
      </c>
      <c r="C255" s="26">
        <v>0</v>
      </c>
      <c r="D255" s="27">
        <v>0</v>
      </c>
      <c r="E255" s="27">
        <v>0</v>
      </c>
      <c r="F255" s="27">
        <v>0</v>
      </c>
      <c r="G255" s="28">
        <v>0</v>
      </c>
      <c r="H255" s="28">
        <v>0</v>
      </c>
      <c r="I255" s="28">
        <v>0</v>
      </c>
      <c r="J255" s="26">
        <f t="array" ref="J255">SUM($G$222:$I$222*DecCours*DecPasse^(B255-$B$222-1))</f>
        <v>65.770482458559968</v>
      </c>
      <c r="K255" s="27"/>
      <c r="L255" s="30"/>
      <c r="M255" s="6"/>
      <c r="N255" s="62"/>
      <c r="O255" s="62"/>
      <c r="P255" s="62"/>
      <c r="Q255" s="62"/>
      <c r="R255" s="62"/>
      <c r="S255" s="62"/>
      <c r="T255" s="62"/>
      <c r="U255" s="80"/>
      <c r="V255" s="62"/>
      <c r="W255" s="62"/>
      <c r="X255" s="62"/>
      <c r="Y255" s="62"/>
      <c r="Z255" s="62"/>
      <c r="AA255" s="79"/>
      <c r="AB255"/>
      <c r="AC255" s="56"/>
      <c r="AD255" s="70"/>
      <c r="AE255" s="71"/>
      <c r="AF255" s="72"/>
      <c r="AG255" s="72"/>
      <c r="AH255" s="128"/>
      <c r="AI255"/>
      <c r="AJ255" s="62"/>
      <c r="AK255" s="62"/>
      <c r="AL255" s="62"/>
      <c r="AM255" s="62"/>
      <c r="AN255" s="62"/>
      <c r="AO255" s="79"/>
    </row>
    <row r="256" spans="1:41" x14ac:dyDescent="0.25">
      <c r="A256" s="24" t="s">
        <v>9</v>
      </c>
      <c r="B256" s="25">
        <v>34</v>
      </c>
      <c r="C256" s="26">
        <v>0</v>
      </c>
      <c r="D256" s="27">
        <v>0</v>
      </c>
      <c r="E256" s="27">
        <v>0</v>
      </c>
      <c r="F256" s="27">
        <v>0</v>
      </c>
      <c r="G256" s="28">
        <v>0</v>
      </c>
      <c r="H256" s="28">
        <v>0</v>
      </c>
      <c r="I256" s="28">
        <v>0</v>
      </c>
      <c r="J256" s="26">
        <f t="array" ref="J256">SUM($G$222:$I$222*DecCours*DecPasse^(B256-$B$222-1))</f>
        <v>64.424442183583565</v>
      </c>
      <c r="K256" s="27"/>
      <c r="L256" s="30"/>
      <c r="M256" s="6"/>
      <c r="N256" s="62"/>
      <c r="O256" s="62"/>
      <c r="P256" s="62"/>
      <c r="Q256" s="62"/>
      <c r="R256" s="62"/>
      <c r="S256" s="62"/>
      <c r="T256" s="62"/>
      <c r="U256" s="80"/>
      <c r="V256" s="62"/>
      <c r="W256" s="62"/>
      <c r="X256" s="62"/>
      <c r="Y256" s="62"/>
      <c r="Z256" s="62"/>
      <c r="AA256" s="79"/>
      <c r="AB256"/>
      <c r="AC256" s="56"/>
      <c r="AD256" s="70"/>
      <c r="AE256" s="71"/>
      <c r="AF256" s="72"/>
      <c r="AG256" s="72"/>
      <c r="AH256" s="128"/>
      <c r="AI256"/>
      <c r="AJ256" s="62"/>
      <c r="AK256" s="62"/>
      <c r="AL256" s="62"/>
      <c r="AM256" s="62"/>
      <c r="AN256" s="62"/>
      <c r="AO256" s="79"/>
    </row>
    <row r="257" spans="1:41" x14ac:dyDescent="0.25">
      <c r="A257" s="24" t="s">
        <v>9</v>
      </c>
      <c r="B257" s="25">
        <v>35</v>
      </c>
      <c r="C257" s="26">
        <v>0</v>
      </c>
      <c r="D257" s="27">
        <v>0</v>
      </c>
      <c r="E257" s="27">
        <v>0</v>
      </c>
      <c r="F257" s="27">
        <v>0</v>
      </c>
      <c r="G257" s="28">
        <v>0</v>
      </c>
      <c r="H257" s="28">
        <v>0</v>
      </c>
      <c r="I257" s="28">
        <v>0</v>
      </c>
      <c r="J257" s="26">
        <f t="array" ref="J257">SUM($G$222:$I$222*DecCours*DecPasse^(B257-$B$222-1))</f>
        <v>63.10637052147851</v>
      </c>
      <c r="K257" s="27"/>
      <c r="L257" s="30"/>
      <c r="M257" s="6"/>
      <c r="N257" s="62"/>
      <c r="O257" s="62"/>
      <c r="P257" s="62"/>
      <c r="Q257" s="62"/>
      <c r="R257" s="62"/>
      <c r="S257" s="62"/>
      <c r="T257" s="62"/>
      <c r="U257" s="80"/>
      <c r="V257" s="62"/>
      <c r="W257" s="62"/>
      <c r="X257" s="62"/>
      <c r="Y257" s="62"/>
      <c r="Z257" s="62"/>
      <c r="AA257" s="79"/>
      <c r="AB257"/>
      <c r="AC257" s="56"/>
      <c r="AD257" s="70"/>
      <c r="AE257" s="71"/>
      <c r="AF257" s="72"/>
      <c r="AG257" s="72"/>
      <c r="AH257" s="128"/>
      <c r="AI257"/>
      <c r="AJ257" s="62"/>
      <c r="AK257" s="62"/>
      <c r="AL257" s="62"/>
      <c r="AM257" s="62"/>
      <c r="AN257" s="62"/>
      <c r="AO257" s="79"/>
    </row>
    <row r="258" spans="1:41" x14ac:dyDescent="0.25">
      <c r="A258" s="24" t="s">
        <v>9</v>
      </c>
      <c r="B258" s="25">
        <v>36</v>
      </c>
      <c r="C258" s="26">
        <v>0</v>
      </c>
      <c r="D258" s="27">
        <v>0</v>
      </c>
      <c r="E258" s="27">
        <v>0</v>
      </c>
      <c r="F258" s="27">
        <v>0</v>
      </c>
      <c r="G258" s="28">
        <v>0</v>
      </c>
      <c r="H258" s="28">
        <v>0</v>
      </c>
      <c r="I258" s="28">
        <v>0</v>
      </c>
      <c r="J258" s="26">
        <f t="array" ref="J258">SUM($G$222:$I$222*DecCours*DecPasse^(B258-$B$222-1))</f>
        <v>61.815666189854454</v>
      </c>
      <c r="K258" s="27"/>
      <c r="L258" s="30"/>
      <c r="M258" s="6"/>
      <c r="N258" s="62"/>
      <c r="O258" s="62"/>
      <c r="P258" s="62"/>
      <c r="Q258" s="62"/>
      <c r="R258" s="62"/>
      <c r="S258" s="62"/>
      <c r="T258" s="62"/>
      <c r="U258" s="80"/>
      <c r="V258" s="62"/>
      <c r="W258" s="62"/>
      <c r="X258" s="62"/>
      <c r="Y258" s="62"/>
      <c r="Z258" s="62"/>
      <c r="AA258" s="79"/>
      <c r="AB258"/>
      <c r="AC258" s="56"/>
      <c r="AD258" s="70"/>
      <c r="AE258" s="71"/>
      <c r="AF258" s="72"/>
      <c r="AG258" s="72"/>
      <c r="AH258" s="128"/>
      <c r="AI258"/>
      <c r="AJ258" s="62"/>
      <c r="AK258" s="62"/>
      <c r="AL258" s="62"/>
      <c r="AM258" s="62"/>
      <c r="AN258" s="62"/>
      <c r="AO258" s="79"/>
    </row>
    <row r="259" spans="1:41" x14ac:dyDescent="0.25">
      <c r="A259" s="24" t="s">
        <v>9</v>
      </c>
      <c r="B259" s="25">
        <v>37</v>
      </c>
      <c r="C259" s="26">
        <v>0</v>
      </c>
      <c r="D259" s="27">
        <v>0</v>
      </c>
      <c r="E259" s="27">
        <v>0</v>
      </c>
      <c r="F259" s="27">
        <v>0</v>
      </c>
      <c r="G259" s="28">
        <v>0</v>
      </c>
      <c r="H259" s="28">
        <v>0</v>
      </c>
      <c r="I259" s="28">
        <v>0</v>
      </c>
      <c r="J259" s="26">
        <f t="array" ref="J259">SUM($G$222:$I$222*DecCours*DecPasse^(B259-$B$222-1))</f>
        <v>60.551744013756505</v>
      </c>
      <c r="K259" s="27"/>
      <c r="L259" s="30"/>
      <c r="M259" s="6"/>
      <c r="N259" s="62"/>
      <c r="O259" s="62"/>
      <c r="P259" s="62"/>
      <c r="Q259" s="62"/>
      <c r="R259" s="62"/>
      <c r="S259" s="62"/>
      <c r="T259" s="62"/>
      <c r="U259" s="80"/>
      <c r="V259" s="62"/>
      <c r="W259" s="62"/>
      <c r="X259" s="62"/>
      <c r="Y259" s="62"/>
      <c r="Z259" s="62"/>
      <c r="AA259" s="79"/>
      <c r="AB259"/>
      <c r="AC259" s="56"/>
      <c r="AD259" s="70"/>
      <c r="AE259" s="71"/>
      <c r="AF259" s="72"/>
      <c r="AG259" s="72"/>
      <c r="AH259" s="128"/>
      <c r="AI259"/>
      <c r="AJ259" s="62"/>
      <c r="AK259" s="62"/>
      <c r="AL259" s="62"/>
      <c r="AM259" s="62"/>
      <c r="AN259" s="62"/>
      <c r="AO259" s="79"/>
    </row>
    <row r="260" spans="1:41" x14ac:dyDescent="0.25">
      <c r="A260" s="24" t="s">
        <v>9</v>
      </c>
      <c r="B260" s="25">
        <v>38</v>
      </c>
      <c r="C260" s="26">
        <v>0</v>
      </c>
      <c r="D260" s="27">
        <v>0</v>
      </c>
      <c r="E260" s="27">
        <v>0</v>
      </c>
      <c r="F260" s="27">
        <v>0</v>
      </c>
      <c r="G260" s="28">
        <v>0</v>
      </c>
      <c r="H260" s="28">
        <v>0</v>
      </c>
      <c r="I260" s="28">
        <v>0</v>
      </c>
      <c r="J260" s="26">
        <f t="array" ref="J260">SUM($G$222:$I$222*DecCours*DecPasse^(B260-$B$222-1))</f>
        <v>59.314033650614881</v>
      </c>
      <c r="K260" s="27"/>
      <c r="L260" s="30"/>
      <c r="M260" s="6"/>
      <c r="N260" s="62"/>
      <c r="O260" s="62"/>
      <c r="P260" s="62"/>
      <c r="Q260" s="62"/>
      <c r="R260" s="62"/>
      <c r="S260" s="62"/>
      <c r="T260" s="62"/>
      <c r="U260" s="80"/>
      <c r="V260" s="62"/>
      <c r="W260" s="62"/>
      <c r="X260" s="62"/>
      <c r="Y260" s="62"/>
      <c r="Z260" s="62"/>
      <c r="AA260" s="79"/>
      <c r="AB260"/>
      <c r="AC260" s="56"/>
      <c r="AD260" s="70"/>
      <c r="AE260" s="71"/>
      <c r="AF260" s="72"/>
      <c r="AG260" s="72"/>
      <c r="AH260" s="128"/>
      <c r="AI260"/>
      <c r="AJ260" s="62"/>
      <c r="AK260" s="62"/>
      <c r="AL260" s="62"/>
      <c r="AM260" s="62"/>
      <c r="AN260" s="62"/>
      <c r="AO260" s="79"/>
    </row>
    <row r="261" spans="1:41" x14ac:dyDescent="0.25">
      <c r="A261" s="24" t="s">
        <v>9</v>
      </c>
      <c r="B261" s="25">
        <v>39</v>
      </c>
      <c r="C261" s="26">
        <v>0</v>
      </c>
      <c r="D261" s="27">
        <v>0</v>
      </c>
      <c r="E261" s="27">
        <v>0</v>
      </c>
      <c r="F261" s="27">
        <v>0</v>
      </c>
      <c r="G261" s="28">
        <v>0</v>
      </c>
      <c r="H261" s="28">
        <v>0</v>
      </c>
      <c r="I261" s="28">
        <v>0</v>
      </c>
      <c r="J261" s="26">
        <f t="array" ref="J261">SUM($G$222:$I$222*DecCours*DecPasse^(B261-$B$222-1))</f>
        <v>58.101978612795136</v>
      </c>
      <c r="K261" s="27"/>
      <c r="L261" s="30"/>
      <c r="M261" s="6"/>
      <c r="N261" s="62"/>
      <c r="O261" s="62"/>
      <c r="P261" s="62"/>
      <c r="Q261" s="62"/>
      <c r="R261" s="62"/>
      <c r="S261" s="62"/>
      <c r="T261" s="62"/>
      <c r="U261" s="80"/>
      <c r="V261" s="62"/>
      <c r="W261" s="62"/>
      <c r="X261" s="62"/>
      <c r="Y261" s="62"/>
      <c r="Z261" s="62"/>
      <c r="AA261" s="79"/>
      <c r="AB261"/>
      <c r="AC261" s="56"/>
      <c r="AD261" s="70"/>
      <c r="AE261" s="71"/>
      <c r="AF261" s="72"/>
      <c r="AG261" s="72"/>
      <c r="AH261" s="128"/>
      <c r="AI261"/>
      <c r="AJ261" s="62"/>
      <c r="AK261" s="62"/>
      <c r="AL261" s="62"/>
      <c r="AM261" s="62"/>
      <c r="AN261" s="62"/>
      <c r="AO261" s="79"/>
    </row>
    <row r="262" spans="1:41" x14ac:dyDescent="0.25">
      <c r="A262" s="24" t="s">
        <v>9</v>
      </c>
      <c r="B262" s="25">
        <v>40</v>
      </c>
      <c r="C262" s="26">
        <v>0</v>
      </c>
      <c r="D262" s="27">
        <v>0</v>
      </c>
      <c r="E262" s="27">
        <v>0</v>
      </c>
      <c r="F262" s="27">
        <v>0</v>
      </c>
      <c r="G262" s="28">
        <v>0</v>
      </c>
      <c r="H262" s="28">
        <v>0</v>
      </c>
      <c r="I262" s="28">
        <v>0</v>
      </c>
      <c r="J262" s="26">
        <f t="array" ref="J262">SUM($G$222:$I$222*DecCours*DecPasse^(B262-$B$222-1))</f>
        <v>56.915035502299297</v>
      </c>
      <c r="K262" s="27"/>
      <c r="L262" s="30"/>
      <c r="M262" s="6"/>
      <c r="N262" s="62"/>
      <c r="O262" s="62"/>
      <c r="P262" s="62"/>
      <c r="Q262" s="62"/>
      <c r="R262" s="62"/>
      <c r="S262" s="62"/>
      <c r="T262" s="62"/>
      <c r="U262" s="80"/>
      <c r="V262" s="62"/>
      <c r="W262" s="62"/>
      <c r="X262" s="62"/>
      <c r="Y262" s="62"/>
      <c r="Z262" s="62"/>
      <c r="AA262" s="79"/>
      <c r="AB262"/>
      <c r="AC262" s="56"/>
      <c r="AD262" s="70"/>
      <c r="AE262" s="71"/>
      <c r="AF262" s="72"/>
      <c r="AG262" s="72"/>
      <c r="AH262" s="128"/>
      <c r="AI262"/>
      <c r="AJ262" s="62"/>
      <c r="AK262" s="62"/>
      <c r="AL262" s="62"/>
      <c r="AM262" s="62"/>
      <c r="AN262" s="62"/>
      <c r="AO262" s="79"/>
    </row>
    <row r="263" spans="1:41" x14ac:dyDescent="0.25">
      <c r="A263" s="24" t="s">
        <v>9</v>
      </c>
      <c r="B263" s="25">
        <v>41</v>
      </c>
      <c r="C263" s="26">
        <v>0</v>
      </c>
      <c r="D263" s="27">
        <v>0</v>
      </c>
      <c r="E263" s="27">
        <v>0</v>
      </c>
      <c r="F263" s="27">
        <v>0</v>
      </c>
      <c r="G263" s="28">
        <v>0</v>
      </c>
      <c r="H263" s="28">
        <v>0</v>
      </c>
      <c r="I263" s="28">
        <v>0</v>
      </c>
      <c r="J263" s="26">
        <f t="array" ref="J263">SUM($G$222:$I$222*DecCours*DecPasse^(B263-$B$222-1))</f>
        <v>55.75267339715603</v>
      </c>
      <c r="K263" s="27"/>
      <c r="L263" s="30"/>
      <c r="M263" s="6"/>
      <c r="N263" s="62"/>
      <c r="O263" s="62"/>
      <c r="P263" s="62"/>
      <c r="Q263" s="62"/>
      <c r="R263" s="62"/>
      <c r="S263" s="62"/>
      <c r="T263" s="62"/>
      <c r="U263" s="80"/>
      <c r="V263" s="62"/>
      <c r="W263" s="62"/>
      <c r="X263" s="62"/>
      <c r="Y263" s="62"/>
      <c r="Z263" s="62"/>
      <c r="AA263" s="79"/>
      <c r="AB263"/>
      <c r="AC263" s="56"/>
      <c r="AD263" s="70"/>
      <c r="AE263" s="71"/>
      <c r="AF263" s="72"/>
      <c r="AG263" s="72"/>
      <c r="AH263" s="128"/>
      <c r="AI263"/>
      <c r="AJ263" s="62"/>
      <c r="AK263" s="62"/>
      <c r="AL263" s="62"/>
      <c r="AM263" s="62"/>
      <c r="AN263" s="62"/>
      <c r="AO263" s="79"/>
    </row>
    <row r="264" spans="1:41" x14ac:dyDescent="0.25">
      <c r="A264" s="24" t="s">
        <v>9</v>
      </c>
      <c r="B264" s="25">
        <v>42</v>
      </c>
      <c r="C264" s="26">
        <v>0</v>
      </c>
      <c r="D264" s="27">
        <v>0</v>
      </c>
      <c r="E264" s="27">
        <v>0</v>
      </c>
      <c r="F264" s="27">
        <v>0</v>
      </c>
      <c r="G264" s="28">
        <v>0</v>
      </c>
      <c r="H264" s="28">
        <v>0</v>
      </c>
      <c r="I264" s="28">
        <v>0</v>
      </c>
      <c r="J264" s="26">
        <f t="array" ref="J264">SUM($G$222:$I$222*DecCours*DecPasse^(B264-$B$222-1))</f>
        <v>54.614373346708035</v>
      </c>
      <c r="K264" s="27"/>
      <c r="L264" s="30"/>
      <c r="M264" s="6"/>
      <c r="N264" s="62"/>
      <c r="O264" s="62"/>
      <c r="P264" s="62"/>
      <c r="Q264" s="62"/>
      <c r="R264" s="62"/>
      <c r="S264" s="62"/>
      <c r="T264" s="62"/>
      <c r="U264" s="80"/>
      <c r="V264" s="62"/>
      <c r="W264" s="62"/>
      <c r="X264" s="62"/>
      <c r="Y264" s="62"/>
      <c r="Z264" s="62"/>
      <c r="AA264" s="79"/>
      <c r="AB264"/>
      <c r="AC264" s="56"/>
      <c r="AD264" s="70"/>
      <c r="AE264" s="71"/>
      <c r="AF264" s="72"/>
      <c r="AG264" s="72"/>
      <c r="AH264" s="128"/>
      <c r="AI264"/>
      <c r="AJ264" s="62"/>
      <c r="AK264" s="62"/>
      <c r="AL264" s="62"/>
      <c r="AM264" s="62"/>
      <c r="AN264" s="62"/>
      <c r="AO264" s="79"/>
    </row>
    <row r="265" spans="1:41" x14ac:dyDescent="0.25">
      <c r="A265" s="24" t="s">
        <v>9</v>
      </c>
      <c r="B265" s="25">
        <v>43</v>
      </c>
      <c r="C265" s="26">
        <v>0</v>
      </c>
      <c r="D265" s="27">
        <v>0</v>
      </c>
      <c r="E265" s="27">
        <v>0</v>
      </c>
      <c r="F265" s="27">
        <v>0</v>
      </c>
      <c r="G265" s="28">
        <v>0</v>
      </c>
      <c r="H265" s="28">
        <v>0</v>
      </c>
      <c r="I265" s="28">
        <v>0</v>
      </c>
      <c r="J265" s="26">
        <f t="array" ref="J265">SUM($G$222:$I$222*DecCours*DecPasse^(B265-$B$222-1))</f>
        <v>53.499627945499981</v>
      </c>
      <c r="K265" s="27"/>
      <c r="L265" s="30"/>
      <c r="M265" s="6"/>
      <c r="N265" s="62"/>
      <c r="O265" s="62"/>
      <c r="P265" s="62"/>
      <c r="Q265" s="62"/>
      <c r="R265" s="62"/>
      <c r="S265" s="62"/>
      <c r="T265" s="62"/>
      <c r="U265" s="80"/>
      <c r="V265" s="62"/>
      <c r="W265" s="62"/>
      <c r="X265" s="62"/>
      <c r="Y265" s="62"/>
      <c r="Z265" s="62"/>
      <c r="AA265" s="79"/>
      <c r="AB265"/>
      <c r="AC265" s="56"/>
      <c r="AD265" s="70"/>
      <c r="AE265" s="71"/>
      <c r="AF265" s="72"/>
      <c r="AG265" s="72"/>
      <c r="AH265" s="128"/>
      <c r="AI265"/>
      <c r="AJ265" s="62"/>
      <c r="AK265" s="62"/>
      <c r="AL265" s="62"/>
      <c r="AM265" s="62"/>
      <c r="AN265" s="62"/>
      <c r="AO265" s="79"/>
    </row>
    <row r="266" spans="1:41" x14ac:dyDescent="0.25">
      <c r="A266" s="24" t="s">
        <v>9</v>
      </c>
      <c r="B266" s="25">
        <v>44</v>
      </c>
      <c r="C266" s="26">
        <v>0</v>
      </c>
      <c r="D266" s="27">
        <v>0</v>
      </c>
      <c r="E266" s="27">
        <v>0</v>
      </c>
      <c r="F266" s="27">
        <v>0</v>
      </c>
      <c r="G266" s="28">
        <v>0</v>
      </c>
      <c r="H266" s="28">
        <v>0</v>
      </c>
      <c r="I266" s="28">
        <v>0</v>
      </c>
      <c r="J266" s="26">
        <f t="array" ref="J266">SUM($G$222:$I$222*DecCours*DecPasse^(B266-$B$222-1))</f>
        <v>52.407940964307485</v>
      </c>
      <c r="K266" s="27"/>
      <c r="L266" s="30"/>
      <c r="M266" s="6"/>
      <c r="N266" s="62"/>
      <c r="O266" s="62"/>
      <c r="P266" s="62"/>
      <c r="Q266" s="62"/>
      <c r="R266" s="62"/>
      <c r="S266" s="62"/>
      <c r="T266" s="62"/>
      <c r="U266" s="80"/>
      <c r="V266" s="62"/>
      <c r="W266" s="62"/>
      <c r="X266" s="62"/>
      <c r="Y266" s="62"/>
      <c r="Z266" s="62"/>
      <c r="AA266" s="79"/>
      <c r="AB266"/>
      <c r="AC266" s="56"/>
      <c r="AD266" s="70"/>
      <c r="AE266" s="71"/>
      <c r="AF266" s="72"/>
      <c r="AG266" s="72"/>
      <c r="AH266" s="128"/>
      <c r="AI266"/>
      <c r="AJ266" s="62"/>
      <c r="AK266" s="62"/>
      <c r="AL266" s="62"/>
      <c r="AM266" s="62"/>
      <c r="AN266" s="62"/>
      <c r="AO266" s="79"/>
    </row>
    <row r="267" spans="1:41" x14ac:dyDescent="0.25">
      <c r="A267" s="24" t="s">
        <v>9</v>
      </c>
      <c r="B267" s="25">
        <v>45</v>
      </c>
      <c r="C267" s="26">
        <v>0</v>
      </c>
      <c r="D267" s="27">
        <v>0</v>
      </c>
      <c r="E267" s="27">
        <v>0</v>
      </c>
      <c r="F267" s="27">
        <v>0</v>
      </c>
      <c r="G267" s="28">
        <v>0</v>
      </c>
      <c r="H267" s="28">
        <v>0</v>
      </c>
      <c r="I267" s="28">
        <v>0</v>
      </c>
      <c r="J267" s="26">
        <f t="array" ref="J267">SUM($G$222:$I$222*DecCours*DecPasse^(B267-$B$222-1))</f>
        <v>51.338827023095909</v>
      </c>
      <c r="K267" s="27"/>
      <c r="L267" s="30"/>
      <c r="M267" s="6"/>
      <c r="N267" s="62"/>
      <c r="O267" s="62"/>
      <c r="P267" s="62"/>
      <c r="Q267" s="62"/>
      <c r="R267" s="62"/>
      <c r="S267" s="62"/>
      <c r="T267" s="62"/>
      <c r="U267" s="80"/>
      <c r="V267" s="62"/>
      <c r="W267" s="62"/>
      <c r="X267" s="62"/>
      <c r="Y267" s="62"/>
      <c r="Z267" s="62"/>
      <c r="AA267" s="79"/>
      <c r="AB267"/>
      <c r="AC267" s="56"/>
      <c r="AD267" s="70"/>
      <c r="AE267" s="71"/>
      <c r="AF267" s="72"/>
      <c r="AG267" s="72"/>
      <c r="AH267" s="128"/>
      <c r="AI267"/>
      <c r="AJ267" s="62"/>
      <c r="AK267" s="62"/>
      <c r="AL267" s="62"/>
      <c r="AM267" s="62"/>
      <c r="AN267" s="62"/>
      <c r="AO267" s="79"/>
    </row>
    <row r="268" spans="1:41" x14ac:dyDescent="0.25">
      <c r="A268" s="24" t="s">
        <v>9</v>
      </c>
      <c r="B268" s="25">
        <v>46</v>
      </c>
      <c r="C268" s="26">
        <v>0</v>
      </c>
      <c r="D268" s="27">
        <v>0</v>
      </c>
      <c r="E268" s="27">
        <v>0</v>
      </c>
      <c r="F268" s="27">
        <v>0</v>
      </c>
      <c r="G268" s="28">
        <v>0</v>
      </c>
      <c r="H268" s="28">
        <v>0</v>
      </c>
      <c r="I268" s="28">
        <v>0</v>
      </c>
      <c r="J268" s="26">
        <f t="array" ref="J268">SUM($G$222:$I$222*DecCours*DecPasse^(B268-$B$222-1))</f>
        <v>50.291811295118571</v>
      </c>
      <c r="K268" s="27"/>
      <c r="L268" s="30"/>
      <c r="M268" s="6"/>
      <c r="N268" s="62"/>
      <c r="O268" s="62"/>
      <c r="P268" s="62"/>
      <c r="Q268" s="62"/>
      <c r="R268" s="62"/>
      <c r="S268" s="62"/>
      <c r="T268" s="62"/>
      <c r="U268" s="80"/>
      <c r="V268" s="62"/>
      <c r="W268" s="62"/>
      <c r="X268" s="62"/>
      <c r="Y268" s="62"/>
      <c r="Z268" s="62"/>
      <c r="AA268" s="79"/>
      <c r="AB268"/>
      <c r="AC268" s="56"/>
      <c r="AD268" s="70"/>
      <c r="AE268" s="71"/>
      <c r="AF268" s="72"/>
      <c r="AG268" s="72"/>
      <c r="AH268" s="128"/>
      <c r="AI268"/>
      <c r="AJ268" s="62"/>
      <c r="AK268" s="62"/>
      <c r="AL268" s="62"/>
      <c r="AM268" s="62"/>
      <c r="AN268" s="62"/>
      <c r="AO268" s="79"/>
    </row>
    <row r="269" spans="1:41" x14ac:dyDescent="0.25">
      <c r="A269" s="24" t="s">
        <v>9</v>
      </c>
      <c r="B269" s="25">
        <v>47</v>
      </c>
      <c r="C269" s="26">
        <v>0</v>
      </c>
      <c r="D269" s="27">
        <v>0</v>
      </c>
      <c r="E269" s="27">
        <v>0</v>
      </c>
      <c r="F269" s="27">
        <v>0</v>
      </c>
      <c r="G269" s="28">
        <v>0</v>
      </c>
      <c r="H269" s="28">
        <v>0</v>
      </c>
      <c r="I269" s="28">
        <v>0</v>
      </c>
      <c r="J269" s="26">
        <f t="array" ref="J269">SUM($G$222:$I$222*DecCours*DecPasse^(B269-$B$222-1))</f>
        <v>49.266429234489237</v>
      </c>
      <c r="K269" s="27"/>
      <c r="L269" s="30"/>
      <c r="M269" s="6"/>
      <c r="N269" s="62"/>
      <c r="O269" s="62"/>
      <c r="P269" s="62"/>
      <c r="Q269" s="62"/>
      <c r="R269" s="62"/>
      <c r="S269" s="62"/>
      <c r="T269" s="62"/>
      <c r="U269" s="80"/>
      <c r="V269" s="62"/>
      <c r="W269" s="62"/>
      <c r="X269" s="62"/>
      <c r="Y269" s="62"/>
      <c r="Z269" s="62"/>
      <c r="AA269" s="79"/>
      <c r="AB269"/>
      <c r="AC269" s="56"/>
      <c r="AD269" s="70"/>
      <c r="AE269" s="71"/>
      <c r="AF269" s="72"/>
      <c r="AG269" s="72"/>
      <c r="AH269" s="128"/>
      <c r="AI269"/>
      <c r="AJ269" s="62"/>
      <c r="AK269" s="62"/>
      <c r="AL269" s="62"/>
      <c r="AM269" s="62"/>
      <c r="AN269" s="62"/>
      <c r="AO269" s="79"/>
    </row>
    <row r="270" spans="1:41" x14ac:dyDescent="0.25">
      <c r="A270" s="24" t="s">
        <v>9</v>
      </c>
      <c r="B270" s="25">
        <v>48</v>
      </c>
      <c r="C270" s="26">
        <v>0</v>
      </c>
      <c r="D270" s="27">
        <v>0</v>
      </c>
      <c r="E270" s="27">
        <v>0</v>
      </c>
      <c r="F270" s="27">
        <v>0</v>
      </c>
      <c r="G270" s="28">
        <v>0</v>
      </c>
      <c r="H270" s="28">
        <v>0</v>
      </c>
      <c r="I270" s="28">
        <v>0</v>
      </c>
      <c r="J270" s="26">
        <f t="array" ref="J270">SUM($G$222:$I$222*DecCours*DecPasse^(B270-$B$222-1))</f>
        <v>48.262226321775472</v>
      </c>
      <c r="K270" s="27"/>
      <c r="L270" s="30"/>
      <c r="M270" s="6"/>
      <c r="N270" s="62"/>
      <c r="O270" s="62"/>
      <c r="P270" s="62"/>
      <c r="Q270" s="62"/>
      <c r="R270" s="62"/>
      <c r="S270" s="62"/>
      <c r="T270" s="62"/>
      <c r="U270" s="80"/>
      <c r="V270" s="62"/>
      <c r="W270" s="62"/>
      <c r="X270" s="62"/>
      <c r="Y270" s="62"/>
      <c r="Z270" s="62"/>
      <c r="AA270" s="79"/>
      <c r="AB270"/>
      <c r="AC270" s="56"/>
      <c r="AD270" s="70"/>
      <c r="AE270" s="71"/>
      <c r="AF270" s="72"/>
      <c r="AG270" s="72"/>
      <c r="AH270" s="128"/>
      <c r="AI270"/>
      <c r="AJ270" s="62"/>
      <c r="AK270" s="62"/>
      <c r="AL270" s="62"/>
      <c r="AM270" s="62"/>
      <c r="AN270" s="62"/>
      <c r="AO270" s="79"/>
    </row>
    <row r="271" spans="1:41" x14ac:dyDescent="0.25">
      <c r="A271" s="24" t="s">
        <v>9</v>
      </c>
      <c r="B271" s="25">
        <v>49</v>
      </c>
      <c r="C271" s="26">
        <v>0</v>
      </c>
      <c r="D271" s="27">
        <v>0</v>
      </c>
      <c r="E271" s="27">
        <v>0</v>
      </c>
      <c r="F271" s="27">
        <v>0</v>
      </c>
      <c r="G271" s="28">
        <v>0</v>
      </c>
      <c r="H271" s="28">
        <v>0</v>
      </c>
      <c r="I271" s="28">
        <v>0</v>
      </c>
      <c r="J271" s="26">
        <f t="array" ref="J271">SUM($G$222:$I$222*DecCours*DecPasse^(B271-$B$222-1))</f>
        <v>47.278757823723815</v>
      </c>
      <c r="K271" s="27"/>
      <c r="L271" s="30"/>
      <c r="M271" s="6"/>
      <c r="N271" s="62"/>
      <c r="O271" s="62"/>
      <c r="P271" s="62"/>
      <c r="Q271" s="62"/>
      <c r="R271" s="62"/>
      <c r="S271" s="62"/>
      <c r="T271" s="62"/>
      <c r="U271" s="80"/>
      <c r="V271" s="62"/>
      <c r="W271" s="62"/>
      <c r="X271" s="62"/>
      <c r="Y271" s="62"/>
      <c r="Z271" s="62"/>
      <c r="AA271" s="79"/>
      <c r="AB271"/>
      <c r="AC271" s="56"/>
      <c r="AD271" s="70"/>
      <c r="AE271" s="71"/>
      <c r="AF271" s="72"/>
      <c r="AG271" s="72"/>
      <c r="AH271" s="128"/>
      <c r="AI271"/>
      <c r="AJ271" s="62"/>
      <c r="AK271" s="62"/>
      <c r="AL271" s="62"/>
      <c r="AM271" s="62"/>
      <c r="AN271" s="62"/>
      <c r="AO271" s="79"/>
    </row>
    <row r="272" spans="1:41" x14ac:dyDescent="0.25">
      <c r="A272" s="24" t="s">
        <v>9</v>
      </c>
      <c r="B272" s="25">
        <v>50</v>
      </c>
      <c r="C272" s="26">
        <v>0</v>
      </c>
      <c r="D272" s="27">
        <v>0</v>
      </c>
      <c r="E272" s="27">
        <v>0</v>
      </c>
      <c r="F272" s="27">
        <v>0</v>
      </c>
      <c r="G272" s="28">
        <v>0</v>
      </c>
      <c r="H272" s="28">
        <v>0</v>
      </c>
      <c r="I272" s="28">
        <v>0</v>
      </c>
      <c r="J272" s="26">
        <f t="array" ref="J272">SUM($G$222:$I$222*DecCours*DecPasse^(B272-$B$222-1))</f>
        <v>46.315588564334362</v>
      </c>
      <c r="K272" s="27"/>
      <c r="L272" s="30"/>
      <c r="M272" s="6"/>
      <c r="N272" s="62"/>
      <c r="O272" s="62"/>
      <c r="P272" s="62"/>
      <c r="Q272" s="62"/>
      <c r="R272" s="62"/>
      <c r="S272" s="62"/>
      <c r="T272" s="62"/>
      <c r="U272" s="80"/>
      <c r="V272" s="62"/>
      <c r="W272" s="62"/>
      <c r="X272" s="62"/>
      <c r="Y272" s="62"/>
      <c r="Z272" s="62"/>
      <c r="AA272" s="79"/>
      <c r="AB272"/>
      <c r="AC272" s="56"/>
      <c r="AD272" s="70"/>
      <c r="AE272" s="71"/>
      <c r="AF272" s="72"/>
      <c r="AG272" s="72"/>
      <c r="AH272" s="128"/>
      <c r="AI272"/>
      <c r="AJ272" s="62"/>
      <c r="AK272" s="62"/>
      <c r="AL272" s="62"/>
      <c r="AM272" s="62"/>
      <c r="AN272" s="62"/>
      <c r="AO272" s="79"/>
    </row>
    <row r="273" spans="1:41" x14ac:dyDescent="0.25">
      <c r="A273" s="24" t="s">
        <v>9</v>
      </c>
      <c r="B273" s="25">
        <v>51</v>
      </c>
      <c r="C273" s="26">
        <v>0</v>
      </c>
      <c r="D273" s="27">
        <v>0</v>
      </c>
      <c r="E273" s="27">
        <v>0</v>
      </c>
      <c r="F273" s="27">
        <v>0</v>
      </c>
      <c r="G273" s="28">
        <v>0</v>
      </c>
      <c r="H273" s="28">
        <v>0</v>
      </c>
      <c r="I273" s="28">
        <v>0</v>
      </c>
      <c r="J273" s="26">
        <f t="array" ref="J273">SUM($G$222:$I$222*DecCours*DecPasse^(B273-$B$222-1))</f>
        <v>45.372292705286632</v>
      </c>
      <c r="K273" s="27"/>
      <c r="L273" s="30"/>
      <c r="M273" s="6"/>
      <c r="N273" s="62"/>
      <c r="O273" s="62"/>
      <c r="P273" s="62"/>
      <c r="Q273" s="62"/>
      <c r="R273" s="62"/>
      <c r="S273" s="62"/>
      <c r="T273" s="62"/>
      <c r="U273" s="80"/>
      <c r="V273" s="62"/>
      <c r="W273" s="62"/>
      <c r="X273" s="62"/>
      <c r="Y273" s="62"/>
      <c r="Z273" s="62"/>
      <c r="AA273" s="79"/>
      <c r="AB273"/>
      <c r="AC273" s="56"/>
      <c r="AD273" s="70"/>
      <c r="AE273" s="71"/>
      <c r="AF273" s="72"/>
      <c r="AG273" s="72"/>
      <c r="AH273" s="128"/>
      <c r="AI273"/>
      <c r="AJ273" s="62"/>
      <c r="AK273" s="62"/>
      <c r="AL273" s="62"/>
      <c r="AM273" s="62"/>
      <c r="AN273" s="62"/>
      <c r="AO273" s="79"/>
    </row>
    <row r="274" spans="1:41" x14ac:dyDescent="0.25">
      <c r="A274" s="24" t="s">
        <v>9</v>
      </c>
      <c r="B274" s="25">
        <v>52</v>
      </c>
      <c r="C274" s="26">
        <v>0</v>
      </c>
      <c r="D274" s="27">
        <v>0</v>
      </c>
      <c r="E274" s="27">
        <v>0</v>
      </c>
      <c r="F274" s="27">
        <v>0</v>
      </c>
      <c r="G274" s="28">
        <v>0</v>
      </c>
      <c r="H274" s="28">
        <v>0</v>
      </c>
      <c r="I274" s="28">
        <v>0</v>
      </c>
      <c r="J274" s="26">
        <f t="array" ref="J274">SUM($G$222:$I$222*DecCours*DecPasse^(B274-$B$222-1))</f>
        <v>44.448453534272396</v>
      </c>
      <c r="K274" s="27"/>
      <c r="L274" s="30"/>
      <c r="M274" s="6"/>
      <c r="N274" s="62"/>
      <c r="O274" s="62"/>
      <c r="P274" s="62"/>
      <c r="Q274" s="62"/>
      <c r="R274" s="62"/>
      <c r="S274" s="62"/>
      <c r="T274" s="62"/>
      <c r="U274" s="80"/>
      <c r="V274" s="62"/>
      <c r="W274" s="62"/>
      <c r="X274" s="62"/>
      <c r="Y274" s="62"/>
      <c r="Z274" s="62"/>
      <c r="AA274" s="79"/>
      <c r="AB274"/>
      <c r="AC274" s="56"/>
      <c r="AD274" s="70"/>
      <c r="AE274" s="71"/>
      <c r="AF274" s="72"/>
      <c r="AG274" s="72"/>
      <c r="AH274" s="128"/>
      <c r="AI274"/>
      <c r="AJ274" s="62"/>
      <c r="AK274" s="62"/>
      <c r="AL274" s="62"/>
      <c r="AM274" s="62"/>
      <c r="AN274" s="62"/>
      <c r="AO274" s="79"/>
    </row>
    <row r="275" spans="1:41" x14ac:dyDescent="0.25">
      <c r="A275" s="24" t="s">
        <v>9</v>
      </c>
      <c r="B275" s="25">
        <v>53</v>
      </c>
      <c r="C275" s="26">
        <v>0</v>
      </c>
      <c r="D275" s="27">
        <v>0</v>
      </c>
      <c r="E275" s="27">
        <v>0</v>
      </c>
      <c r="F275" s="27">
        <v>0</v>
      </c>
      <c r="G275" s="28">
        <v>0</v>
      </c>
      <c r="H275" s="28">
        <v>0</v>
      </c>
      <c r="I275" s="28">
        <v>0</v>
      </c>
      <c r="J275" s="26">
        <f t="array" ref="J275">SUM($G$222:$I$222*DecCours*DecPasse^(B275-$B$222-1))</f>
        <v>43.543663260185092</v>
      </c>
      <c r="K275" s="27"/>
      <c r="L275" s="30"/>
      <c r="M275" s="6"/>
      <c r="N275" s="62"/>
      <c r="O275" s="62"/>
      <c r="P275" s="62"/>
      <c r="Q275" s="62"/>
      <c r="R275" s="62"/>
      <c r="S275" s="62"/>
      <c r="T275" s="62"/>
      <c r="U275" s="80"/>
      <c r="V275" s="62"/>
      <c r="W275" s="62"/>
      <c r="X275" s="62"/>
      <c r="Y275" s="62"/>
      <c r="Z275" s="62"/>
      <c r="AA275" s="79"/>
      <c r="AB275"/>
      <c r="AC275" s="56"/>
      <c r="AD275" s="70"/>
      <c r="AE275" s="71"/>
      <c r="AF275" s="72"/>
      <c r="AG275" s="72"/>
      <c r="AH275" s="128"/>
      <c r="AI275"/>
      <c r="AJ275" s="62"/>
      <c r="AK275" s="62"/>
      <c r="AL275" s="62"/>
      <c r="AM275" s="62"/>
      <c r="AN275" s="62"/>
      <c r="AO275" s="79"/>
    </row>
    <row r="276" spans="1:41" x14ac:dyDescent="0.25">
      <c r="A276" s="24" t="s">
        <v>9</v>
      </c>
      <c r="B276" s="25">
        <v>54</v>
      </c>
      <c r="C276" s="26">
        <v>0</v>
      </c>
      <c r="D276" s="27">
        <v>0</v>
      </c>
      <c r="E276" s="27">
        <v>0</v>
      </c>
      <c r="F276" s="27">
        <v>0</v>
      </c>
      <c r="G276" s="28">
        <v>0</v>
      </c>
      <c r="H276" s="28">
        <v>0</v>
      </c>
      <c r="I276" s="28">
        <v>0</v>
      </c>
      <c r="J276" s="26">
        <f t="array" ref="J276">SUM($G$222:$I$222*DecCours*DecPasse^(B276-$B$222-1))</f>
        <v>42.657522814393388</v>
      </c>
      <c r="K276" s="27"/>
      <c r="L276" s="30"/>
      <c r="M276" s="6"/>
      <c r="N276" s="62"/>
      <c r="O276" s="62"/>
      <c r="P276" s="62"/>
      <c r="Q276" s="62"/>
      <c r="R276" s="62"/>
      <c r="S276" s="62"/>
      <c r="T276" s="62"/>
      <c r="U276" s="80"/>
      <c r="V276" s="62"/>
      <c r="W276" s="62"/>
      <c r="X276" s="62"/>
      <c r="Y276" s="62"/>
      <c r="Z276" s="62"/>
      <c r="AA276" s="79"/>
      <c r="AB276"/>
      <c r="AC276" s="56"/>
      <c r="AD276" s="70"/>
      <c r="AE276" s="71"/>
      <c r="AF276" s="72"/>
      <c r="AG276" s="72"/>
      <c r="AH276" s="128"/>
      <c r="AI276"/>
      <c r="AJ276" s="62"/>
      <c r="AK276" s="62"/>
      <c r="AL276" s="62"/>
      <c r="AM276" s="62"/>
      <c r="AN276" s="62"/>
      <c r="AO276" s="79"/>
    </row>
    <row r="277" spans="1:41" x14ac:dyDescent="0.25">
      <c r="A277" s="24" t="s">
        <v>9</v>
      </c>
      <c r="B277" s="25">
        <v>55</v>
      </c>
      <c r="C277" s="26">
        <v>0</v>
      </c>
      <c r="D277" s="27">
        <v>0</v>
      </c>
      <c r="E277" s="27">
        <v>0</v>
      </c>
      <c r="F277" s="27">
        <v>0</v>
      </c>
      <c r="G277" s="28">
        <v>0</v>
      </c>
      <c r="H277" s="28">
        <v>0</v>
      </c>
      <c r="I277" s="28">
        <v>0</v>
      </c>
      <c r="J277" s="26">
        <f t="array" ref="J277">SUM($G$222:$I$222*DecCours*DecPasse^(B277-$B$222-1))</f>
        <v>41.78964165752452</v>
      </c>
      <c r="K277" s="27"/>
      <c r="L277" s="30"/>
      <c r="M277" s="6"/>
      <c r="N277" s="62"/>
      <c r="O277" s="62"/>
      <c r="P277" s="62"/>
      <c r="Q277" s="62"/>
      <c r="R277" s="62"/>
      <c r="S277" s="62"/>
      <c r="T277" s="62"/>
      <c r="U277" s="80"/>
      <c r="V277" s="62"/>
      <c r="W277" s="62"/>
      <c r="X277" s="62"/>
      <c r="Y277" s="62"/>
      <c r="Z277" s="62"/>
      <c r="AA277" s="79"/>
      <c r="AB277"/>
      <c r="AC277" s="56"/>
      <c r="AD277" s="70"/>
      <c r="AE277" s="71"/>
      <c r="AF277" s="72"/>
      <c r="AG277" s="72"/>
      <c r="AH277" s="128"/>
      <c r="AI277"/>
      <c r="AJ277" s="62"/>
      <c r="AK277" s="62"/>
      <c r="AL277" s="62"/>
      <c r="AM277" s="62"/>
      <c r="AN277" s="62"/>
      <c r="AO277" s="79"/>
    </row>
    <row r="278" spans="1:41" x14ac:dyDescent="0.25">
      <c r="A278" s="24" t="s">
        <v>9</v>
      </c>
      <c r="B278" s="25">
        <v>56</v>
      </c>
      <c r="C278" s="26">
        <v>0</v>
      </c>
      <c r="D278" s="27">
        <v>0</v>
      </c>
      <c r="E278" s="27">
        <v>0</v>
      </c>
      <c r="F278" s="27">
        <v>0</v>
      </c>
      <c r="G278" s="28">
        <v>0</v>
      </c>
      <c r="H278" s="28">
        <v>0</v>
      </c>
      <c r="I278" s="28">
        <v>0</v>
      </c>
      <c r="J278" s="26">
        <f t="array" ref="J278">SUM($G$222:$I$222*DecCours*DecPasse^(B278-$B$222-1))</f>
        <v>40.939637591323297</v>
      </c>
      <c r="K278" s="27"/>
      <c r="L278" s="30"/>
      <c r="M278" s="6"/>
      <c r="N278" s="62"/>
      <c r="O278" s="62"/>
      <c r="P278" s="62"/>
      <c r="Q278" s="62"/>
      <c r="R278" s="62"/>
      <c r="S278" s="62"/>
      <c r="T278" s="62"/>
      <c r="U278" s="80"/>
      <c r="V278" s="62"/>
      <c r="W278" s="62"/>
      <c r="X278" s="62"/>
      <c r="Y278" s="62"/>
      <c r="Z278" s="62"/>
      <c r="AA278" s="79"/>
      <c r="AB278"/>
      <c r="AC278" s="56"/>
      <c r="AD278" s="70"/>
      <c r="AE278" s="71"/>
      <c r="AF278" s="72"/>
      <c r="AG278" s="72"/>
      <c r="AH278" s="128"/>
      <c r="AI278"/>
      <c r="AJ278" s="62"/>
      <c r="AK278" s="62"/>
      <c r="AL278" s="62"/>
      <c r="AM278" s="62"/>
      <c r="AN278" s="62"/>
      <c r="AO278" s="79"/>
    </row>
    <row r="279" spans="1:41" x14ac:dyDescent="0.25">
      <c r="A279" s="24" t="s">
        <v>9</v>
      </c>
      <c r="B279" s="25">
        <v>57</v>
      </c>
      <c r="C279" s="26">
        <v>0</v>
      </c>
      <c r="D279" s="27">
        <v>0</v>
      </c>
      <c r="E279" s="27">
        <v>0</v>
      </c>
      <c r="F279" s="27">
        <v>0</v>
      </c>
      <c r="G279" s="28">
        <v>0</v>
      </c>
      <c r="H279" s="28">
        <v>0</v>
      </c>
      <c r="I279" s="28">
        <v>0</v>
      </c>
      <c r="J279" s="26">
        <f t="array" ref="J279">SUM($G$222:$I$222*DecCours*DecPasse^(B279-$B$222-1))</f>
        <v>40.107136575252909</v>
      </c>
      <c r="K279" s="27"/>
      <c r="L279" s="30"/>
      <c r="M279" s="6"/>
      <c r="N279" s="62"/>
      <c r="O279" s="62"/>
      <c r="P279" s="62"/>
      <c r="Q279" s="62"/>
      <c r="R279" s="62"/>
      <c r="S279" s="62"/>
      <c r="T279" s="62"/>
      <c r="U279" s="80"/>
      <c r="V279" s="62"/>
      <c r="W279" s="62"/>
      <c r="X279" s="62"/>
      <c r="Y279" s="62"/>
      <c r="Z279" s="62"/>
      <c r="AA279" s="79"/>
      <c r="AB279"/>
      <c r="AC279" s="56"/>
      <c r="AD279" s="70"/>
      <c r="AE279" s="71"/>
      <c r="AF279" s="72"/>
      <c r="AG279" s="72"/>
      <c r="AH279" s="128"/>
      <c r="AI279"/>
      <c r="AJ279" s="62"/>
      <c r="AK279" s="62"/>
      <c r="AL279" s="62"/>
      <c r="AM279" s="62"/>
      <c r="AN279" s="62"/>
      <c r="AO279" s="79"/>
    </row>
    <row r="280" spans="1:41" x14ac:dyDescent="0.25">
      <c r="A280" s="24" t="s">
        <v>9</v>
      </c>
      <c r="B280" s="25">
        <v>58</v>
      </c>
      <c r="C280" s="26">
        <v>0</v>
      </c>
      <c r="D280" s="27">
        <v>0</v>
      </c>
      <c r="E280" s="27">
        <v>0</v>
      </c>
      <c r="F280" s="27">
        <v>0</v>
      </c>
      <c r="G280" s="28">
        <v>0</v>
      </c>
      <c r="H280" s="28">
        <v>0</v>
      </c>
      <c r="I280" s="28">
        <v>0</v>
      </c>
      <c r="J280" s="26">
        <f t="array" ref="J280">SUM($G$222:$I$222*DecCours*DecPasse^(B280-$B$222-1))</f>
        <v>39.291772547574539</v>
      </c>
      <c r="K280" s="27"/>
      <c r="L280" s="30"/>
      <c r="M280" s="6"/>
      <c r="N280" s="62"/>
      <c r="O280" s="62"/>
      <c r="P280" s="62"/>
      <c r="Q280" s="62"/>
      <c r="R280" s="62"/>
      <c r="S280" s="62"/>
      <c r="T280" s="62"/>
      <c r="U280" s="80"/>
      <c r="V280" s="62"/>
      <c r="W280" s="62"/>
      <c r="X280" s="62"/>
      <c r="Y280" s="62"/>
      <c r="Z280" s="62"/>
      <c r="AA280" s="79"/>
      <c r="AB280"/>
      <c r="AC280" s="56"/>
      <c r="AD280" s="70"/>
      <c r="AE280" s="71"/>
      <c r="AF280" s="72"/>
      <c r="AG280" s="72"/>
      <c r="AH280" s="128"/>
      <c r="AI280"/>
      <c r="AJ280" s="62"/>
      <c r="AK280" s="62"/>
      <c r="AL280" s="62"/>
      <c r="AM280" s="62"/>
      <c r="AN280" s="62"/>
      <c r="AO280" s="79"/>
    </row>
    <row r="281" spans="1:41" x14ac:dyDescent="0.25">
      <c r="A281" s="24" t="s">
        <v>9</v>
      </c>
      <c r="B281" s="25">
        <v>59</v>
      </c>
      <c r="C281" s="26">
        <v>0</v>
      </c>
      <c r="D281" s="27">
        <v>0</v>
      </c>
      <c r="E281" s="27">
        <v>0</v>
      </c>
      <c r="F281" s="27">
        <v>0</v>
      </c>
      <c r="G281" s="28">
        <v>0</v>
      </c>
      <c r="H281" s="28">
        <v>0</v>
      </c>
      <c r="I281" s="28">
        <v>0</v>
      </c>
      <c r="J281" s="26">
        <f t="array" ref="J281">SUM($G$222:$I$222*DecCours*DecPasse^(B281-$B$222-1))</f>
        <v>38.49318725069449</v>
      </c>
      <c r="K281" s="27"/>
      <c r="L281" s="30"/>
      <c r="M281" s="6"/>
      <c r="N281" s="62"/>
      <c r="O281" s="62"/>
      <c r="P281" s="62"/>
      <c r="Q281" s="62"/>
      <c r="R281" s="62"/>
      <c r="S281" s="62"/>
      <c r="T281" s="62"/>
      <c r="U281" s="80"/>
      <c r="V281" s="62"/>
      <c r="W281" s="62"/>
      <c r="X281" s="62"/>
      <c r="Y281" s="62"/>
      <c r="Z281" s="62"/>
      <c r="AA281" s="79"/>
      <c r="AB281"/>
      <c r="AC281" s="56"/>
      <c r="AD281" s="70"/>
      <c r="AE281" s="71"/>
      <c r="AF281" s="72"/>
      <c r="AG281" s="72"/>
      <c r="AH281" s="128"/>
      <c r="AI281"/>
      <c r="AJ281" s="62"/>
      <c r="AK281" s="62"/>
      <c r="AL281" s="62"/>
      <c r="AM281" s="62"/>
      <c r="AN281" s="62"/>
      <c r="AO281" s="79"/>
    </row>
    <row r="282" spans="1:41" x14ac:dyDescent="0.25">
      <c r="A282" s="24" t="s">
        <v>9</v>
      </c>
      <c r="B282" s="25">
        <v>60</v>
      </c>
      <c r="C282" s="26">
        <v>0</v>
      </c>
      <c r="D282" s="27">
        <v>0</v>
      </c>
      <c r="E282" s="27">
        <v>0</v>
      </c>
      <c r="F282" s="27">
        <v>0</v>
      </c>
      <c r="G282" s="28">
        <v>0</v>
      </c>
      <c r="H282" s="28">
        <v>0</v>
      </c>
      <c r="I282" s="28">
        <v>0</v>
      </c>
      <c r="J282" s="26">
        <f t="array" ref="J282">SUM($G$222:$I$222*DecCours*DecPasse^(B282-$B$222-1))</f>
        <v>37.711030060603747</v>
      </c>
      <c r="K282" s="27"/>
      <c r="L282" s="30"/>
      <c r="M282" s="6"/>
      <c r="N282" s="62"/>
      <c r="O282" s="62"/>
      <c r="P282" s="62"/>
      <c r="Q282" s="62"/>
      <c r="R282" s="62"/>
      <c r="S282" s="62"/>
      <c r="T282" s="62"/>
      <c r="U282" s="80"/>
      <c r="V282" s="62"/>
      <c r="W282" s="62"/>
      <c r="X282" s="62"/>
      <c r="Y282" s="62"/>
      <c r="Z282" s="62"/>
      <c r="AA282" s="79"/>
      <c r="AB282"/>
      <c r="AC282" s="56"/>
      <c r="AD282" s="70"/>
      <c r="AE282" s="71"/>
      <c r="AF282" s="72"/>
      <c r="AG282" s="72"/>
      <c r="AH282" s="128"/>
      <c r="AI282"/>
      <c r="AJ282" s="62"/>
      <c r="AK282" s="62"/>
      <c r="AL282" s="62"/>
      <c r="AM282" s="62"/>
      <c r="AN282" s="62"/>
      <c r="AO282" s="79"/>
    </row>
    <row r="283" spans="1:41" ht="17.100000000000001" customHeight="1" x14ac:dyDescent="0.25">
      <c r="A283" s="24" t="s">
        <v>9</v>
      </c>
      <c r="B283" s="25">
        <v>61</v>
      </c>
      <c r="C283" s="26">
        <v>0</v>
      </c>
      <c r="D283" s="27">
        <v>0</v>
      </c>
      <c r="E283" s="27">
        <v>0</v>
      </c>
      <c r="F283" s="27">
        <v>0</v>
      </c>
      <c r="G283" s="28">
        <v>0</v>
      </c>
      <c r="H283" s="28">
        <v>0</v>
      </c>
      <c r="I283" s="28">
        <v>0</v>
      </c>
      <c r="J283" s="26">
        <f t="array" ref="J283">SUM($G$222:$I$222*DecCours*DecPasse^(B283-$B$222-1))</f>
        <v>36.944957820261656</v>
      </c>
      <c r="K283" s="27"/>
      <c r="L283" s="30"/>
      <c r="M283" s="6"/>
      <c r="N283" s="62"/>
      <c r="O283" s="62"/>
      <c r="P283" s="62"/>
      <c r="Q283" s="62"/>
      <c r="R283" s="62"/>
      <c r="S283" s="62"/>
      <c r="T283" s="62"/>
      <c r="U283" s="80"/>
      <c r="V283" s="62"/>
      <c r="W283" s="62"/>
      <c r="X283" s="62"/>
      <c r="Y283" s="62"/>
      <c r="Z283" s="62"/>
      <c r="AA283" s="79"/>
      <c r="AB283"/>
      <c r="AC283" s="56"/>
      <c r="AD283" s="70"/>
      <c r="AE283" s="71"/>
      <c r="AF283" s="72"/>
      <c r="AG283" s="72"/>
      <c r="AH283" s="128"/>
      <c r="AI283"/>
      <c r="AJ283" s="62"/>
      <c r="AK283" s="62"/>
      <c r="AL283" s="62"/>
      <c r="AM283" s="62"/>
      <c r="AN283" s="62"/>
      <c r="AO283" s="79"/>
    </row>
    <row r="284" spans="1:41" x14ac:dyDescent="0.25">
      <c r="A284" s="24" t="s">
        <v>9</v>
      </c>
      <c r="B284" s="25">
        <v>62</v>
      </c>
      <c r="C284" s="26">
        <v>0</v>
      </c>
      <c r="D284" s="27">
        <v>0</v>
      </c>
      <c r="E284" s="27">
        <v>0</v>
      </c>
      <c r="F284" s="27">
        <v>0</v>
      </c>
      <c r="G284" s="28">
        <v>0</v>
      </c>
      <c r="H284" s="28">
        <v>0</v>
      </c>
      <c r="I284" s="28">
        <v>0</v>
      </c>
      <c r="J284" s="26">
        <f t="array" ref="J284">SUM($G$222:$I$222*DecCours*DecPasse^(B284-$B$222-1))</f>
        <v>36.194634676794763</v>
      </c>
      <c r="K284" s="27"/>
      <c r="L284" s="30"/>
      <c r="M284" s="6"/>
      <c r="N284" s="62"/>
      <c r="O284" s="62"/>
      <c r="P284" s="62"/>
      <c r="Q284" s="62"/>
      <c r="R284" s="62"/>
      <c r="S284" s="62"/>
      <c r="T284" s="62"/>
      <c r="U284" s="80"/>
      <c r="V284" s="62"/>
      <c r="W284" s="62"/>
      <c r="X284" s="62"/>
      <c r="Y284" s="62"/>
      <c r="Z284" s="62"/>
      <c r="AA284" s="79"/>
      <c r="AB284"/>
      <c r="AC284" s="56"/>
      <c r="AD284" s="70"/>
      <c r="AE284" s="71"/>
      <c r="AF284" s="72"/>
      <c r="AG284" s="72"/>
      <c r="AH284" s="128"/>
      <c r="AI284"/>
      <c r="AJ284" s="62"/>
      <c r="AK284" s="62"/>
      <c r="AL284" s="62"/>
      <c r="AM284" s="62"/>
      <c r="AN284" s="62"/>
      <c r="AO284" s="79"/>
    </row>
    <row r="285" spans="1:41" x14ac:dyDescent="0.25">
      <c r="A285" s="24" t="s">
        <v>9</v>
      </c>
      <c r="B285" s="25">
        <v>63</v>
      </c>
      <c r="C285" s="26">
        <v>0</v>
      </c>
      <c r="D285" s="27">
        <v>0</v>
      </c>
      <c r="E285" s="27">
        <v>0</v>
      </c>
      <c r="F285" s="27">
        <v>0</v>
      </c>
      <c r="G285" s="28">
        <v>0</v>
      </c>
      <c r="H285" s="28">
        <v>0</v>
      </c>
      <c r="I285" s="28">
        <v>0</v>
      </c>
      <c r="J285" s="26">
        <f t="array" ref="J285">SUM($G$222:$I$222*DecCours*DecPasse^(B285-$B$222-1))</f>
        <v>35.45973192239606</v>
      </c>
      <c r="K285" s="27"/>
      <c r="L285" s="30"/>
      <c r="M285" s="6"/>
      <c r="N285" s="62"/>
      <c r="O285" s="62"/>
      <c r="P285" s="62"/>
      <c r="Q285" s="62"/>
      <c r="R285" s="62"/>
      <c r="S285" s="62"/>
      <c r="T285" s="62"/>
      <c r="U285" s="80"/>
      <c r="V285" s="62"/>
      <c r="W285" s="62"/>
      <c r="X285" s="62"/>
      <c r="Y285" s="62"/>
      <c r="Z285" s="62"/>
      <c r="AA285" s="79"/>
      <c r="AB285"/>
      <c r="AC285" s="56"/>
      <c r="AD285" s="70"/>
      <c r="AE285" s="71"/>
      <c r="AF285" s="72"/>
      <c r="AG285" s="72"/>
      <c r="AH285" s="128"/>
      <c r="AI285"/>
      <c r="AJ285" s="62"/>
      <c r="AK285" s="62"/>
      <c r="AL285" s="62"/>
      <c r="AM285" s="62"/>
      <c r="AN285" s="62"/>
      <c r="AO285" s="79"/>
    </row>
    <row r="286" spans="1:41" x14ac:dyDescent="0.25">
      <c r="A286" s="24" t="s">
        <v>9</v>
      </c>
      <c r="B286" s="25">
        <v>64</v>
      </c>
      <c r="C286" s="26">
        <v>0</v>
      </c>
      <c r="D286" s="27">
        <v>0</v>
      </c>
      <c r="E286" s="27">
        <v>0</v>
      </c>
      <c r="F286" s="27">
        <v>0</v>
      </c>
      <c r="G286" s="28">
        <v>0</v>
      </c>
      <c r="H286" s="28">
        <v>0</v>
      </c>
      <c r="I286" s="28">
        <v>0</v>
      </c>
      <c r="J286" s="26">
        <f t="array" ref="J286">SUM($G$222:$I$222*DecCours*DecPasse^(B286-$B$222-1))</f>
        <v>34.739927838820712</v>
      </c>
      <c r="K286" s="27"/>
      <c r="L286" s="30"/>
      <c r="M286" s="6"/>
      <c r="N286" s="62"/>
      <c r="O286" s="62"/>
      <c r="P286" s="62"/>
      <c r="Q286" s="62"/>
      <c r="R286" s="62"/>
      <c r="S286" s="62"/>
      <c r="T286" s="62"/>
      <c r="U286" s="80"/>
      <c r="V286" s="62"/>
      <c r="W286" s="62"/>
      <c r="X286" s="62"/>
      <c r="Y286" s="62"/>
      <c r="Z286" s="62"/>
      <c r="AA286" s="79"/>
      <c r="AB286"/>
      <c r="AC286" s="56"/>
      <c r="AD286" s="70"/>
      <c r="AE286" s="71"/>
      <c r="AF286" s="72"/>
      <c r="AG286" s="72"/>
      <c r="AH286" s="128"/>
      <c r="AI286"/>
      <c r="AJ286" s="62"/>
      <c r="AK286" s="62"/>
      <c r="AL286" s="62"/>
      <c r="AM286" s="62"/>
      <c r="AN286" s="62"/>
      <c r="AO286" s="79"/>
    </row>
    <row r="287" spans="1:41" ht="16.5" thickBot="1" x14ac:dyDescent="0.3">
      <c r="A287" s="18" t="s">
        <v>9</v>
      </c>
      <c r="B287" s="19">
        <v>65</v>
      </c>
      <c r="C287" s="20">
        <f>C218*66</f>
        <v>45.54</v>
      </c>
      <c r="D287" s="21">
        <v>0.1</v>
      </c>
      <c r="E287" s="21">
        <v>0</v>
      </c>
      <c r="F287" s="21">
        <v>0</v>
      </c>
      <c r="G287" s="22">
        <f>$C$287*D287*InfraBoul*TauxC*MasseMol</f>
        <v>4.1244060000000005</v>
      </c>
      <c r="H287" s="22">
        <f>$C$287*E287*InfraBoul*TauxC*MasseMol</f>
        <v>0</v>
      </c>
      <c r="I287" s="22">
        <f>$C$287*F287*InfraBoul*TauxC*MasseMol</f>
        <v>0</v>
      </c>
      <c r="J287" s="20">
        <f t="array" ref="J287">SUM($G$222:$I$222*DecCours*DecPasse^(B287-$B$222-1))</f>
        <v>34.034907545382055</v>
      </c>
      <c r="K287" s="23"/>
      <c r="L287" s="34"/>
      <c r="M287" s="6"/>
      <c r="N287" s="62"/>
      <c r="O287" s="62"/>
      <c r="P287" s="62"/>
      <c r="Q287" s="62"/>
      <c r="R287" s="62"/>
      <c r="S287" s="62"/>
      <c r="T287" s="62"/>
      <c r="U287" s="80"/>
      <c r="V287" s="62"/>
      <c r="W287" s="62"/>
      <c r="X287" s="62"/>
      <c r="Y287" s="62"/>
      <c r="Z287" s="62"/>
      <c r="AA287" s="79"/>
      <c r="AB287"/>
      <c r="AC287" s="56">
        <v>96</v>
      </c>
      <c r="AD287" s="70">
        <f>AD222+($AD$323-$AD$222)/($AC$323-$AC$222)</f>
        <v>566.6</v>
      </c>
      <c r="AE287" s="71">
        <f>AD287*1.3</f>
        <v>736.58</v>
      </c>
      <c r="AF287" s="72">
        <f>AE287*InfraCed</f>
        <v>265.16880000000003</v>
      </c>
      <c r="AG287" s="72">
        <f>EXP(-1.0587  + 0.8836*LN(AF287) + 0.284)</f>
        <v>63.822891796787367</v>
      </c>
      <c r="AH287" s="128">
        <f>((AF287+AG287)*TauxC + Csol + Clitiere)*MasseMol</f>
        <v>866.32719654607126</v>
      </c>
      <c r="AI287"/>
      <c r="AJ287" s="62"/>
      <c r="AK287" s="62"/>
      <c r="AL287" s="62"/>
      <c r="AM287" s="62"/>
      <c r="AN287" s="62"/>
      <c r="AO287" s="79"/>
    </row>
    <row r="288" spans="1:41" x14ac:dyDescent="0.25">
      <c r="A288" s="24" t="s">
        <v>10</v>
      </c>
      <c r="B288" s="35">
        <v>0</v>
      </c>
      <c r="C288" s="26">
        <f>'[1]itinéraires bas carbone'!C73*Analyse_carbone!C218</f>
        <v>241.49999999999997</v>
      </c>
      <c r="D288" s="27">
        <f>61.25%*0.9</f>
        <v>0.55125000000000002</v>
      </c>
      <c r="E288" s="27">
        <f>22.5%*0.9</f>
        <v>0.20250000000000001</v>
      </c>
      <c r="F288" s="27">
        <f>11.25%*0.9</f>
        <v>0.10125000000000001</v>
      </c>
      <c r="G288" s="28">
        <f>(0.5625*InfraRx+0.05*InfraFs)*C288*TauxC*MasseMol</f>
        <v>111.35715937499997</v>
      </c>
      <c r="H288" s="28">
        <f>E288*C288*TauxC*MasseMol*InfraRx</f>
        <v>35.773093124999995</v>
      </c>
      <c r="I288" s="28">
        <f>F288*C288*TauxC*MasseMol*InfraRx</f>
        <v>17.886546562499998</v>
      </c>
      <c r="J288" s="26">
        <v>0</v>
      </c>
      <c r="K288" s="15">
        <v>0.2</v>
      </c>
      <c r="L288" s="33">
        <f>C288*(D288*CoefSubSciage+E288*CoefSubEmballage+F288*CoefSubPanneaux+K288*CoefSubEnergie)</f>
        <v>233.25579375000001</v>
      </c>
      <c r="M288" s="6"/>
      <c r="N288" s="62"/>
      <c r="O288" s="62"/>
      <c r="P288" s="62"/>
      <c r="Q288" s="62"/>
      <c r="R288" s="62"/>
      <c r="S288" s="62"/>
      <c r="T288" s="62"/>
      <c r="U288" s="80"/>
      <c r="V288" s="62"/>
      <c r="W288" s="62"/>
      <c r="X288" s="62"/>
      <c r="Y288" s="62"/>
      <c r="Z288" s="62"/>
      <c r="AA288" s="79"/>
      <c r="AB288"/>
      <c r="AC288" s="56">
        <v>97</v>
      </c>
      <c r="AD288" s="70">
        <f>AD287+($AD$323-$AD$222)/($AC$323-$AC$222)</f>
        <v>557.20000000000005</v>
      </c>
      <c r="AE288" s="71">
        <f>AD288*1.3</f>
        <v>724.36000000000013</v>
      </c>
      <c r="AF288" s="72">
        <f>AE288*InfraCed</f>
        <v>260.76960000000003</v>
      </c>
      <c r="AG288" s="72">
        <f>EXP(-1.0587  + 0.8836*LN(AF288) + 0.284)</f>
        <v>62.886397346191856</v>
      </c>
      <c r="AH288" s="128">
        <f>((AF288+AG288)*TauxC + Csol + Clitiere)*MasseMol</f>
        <v>857.03419537795082</v>
      </c>
      <c r="AI288"/>
      <c r="AJ288" s="62"/>
      <c r="AK288" s="62"/>
      <c r="AL288" s="62"/>
      <c r="AM288" s="62"/>
      <c r="AN288" s="62"/>
      <c r="AO288" s="79"/>
    </row>
    <row r="289" spans="1:41" x14ac:dyDescent="0.25">
      <c r="A289" s="24" t="s">
        <v>10</v>
      </c>
      <c r="B289" s="25">
        <v>1</v>
      </c>
      <c r="C289" s="26">
        <v>0</v>
      </c>
      <c r="D289" s="27">
        <v>0</v>
      </c>
      <c r="E289" s="27">
        <v>0</v>
      </c>
      <c r="F289" s="27">
        <v>0</v>
      </c>
      <c r="G289" s="28"/>
      <c r="H289" s="28"/>
      <c r="I289" s="28"/>
      <c r="J289" s="28">
        <f t="array" ref="J289">SUM($G$288:$I$288*DecCours)</f>
        <v>158.13483609867407</v>
      </c>
      <c r="K289" s="27"/>
      <c r="L289" s="36"/>
      <c r="M289" s="6"/>
      <c r="N289" s="62"/>
      <c r="O289" s="62"/>
      <c r="P289" s="62"/>
      <c r="Q289" s="62"/>
      <c r="R289" s="62"/>
      <c r="S289" s="62"/>
      <c r="T289" s="62"/>
      <c r="U289" s="80"/>
      <c r="V289" s="62"/>
      <c r="W289" s="62"/>
      <c r="X289" s="62"/>
      <c r="Y289" s="62"/>
      <c r="Z289" s="62"/>
      <c r="AA289" s="79"/>
      <c r="AB289"/>
      <c r="AC289" s="56"/>
      <c r="AD289" s="70"/>
      <c r="AE289" s="71"/>
      <c r="AF289" s="72"/>
      <c r="AG289" s="72"/>
      <c r="AH289" s="128"/>
      <c r="AI289"/>
      <c r="AJ289" s="62"/>
      <c r="AK289" s="62"/>
      <c r="AL289" s="62"/>
      <c r="AM289" s="62"/>
      <c r="AN289" s="62"/>
      <c r="AO289" s="79"/>
    </row>
    <row r="290" spans="1:41" x14ac:dyDescent="0.25">
      <c r="A290" s="24" t="s">
        <v>10</v>
      </c>
      <c r="B290" s="25">
        <v>2</v>
      </c>
      <c r="C290" s="26">
        <v>0</v>
      </c>
      <c r="D290" s="27">
        <v>0</v>
      </c>
      <c r="E290" s="27">
        <v>0</v>
      </c>
      <c r="F290" s="27">
        <v>0</v>
      </c>
      <c r="G290" s="28"/>
      <c r="H290" s="28"/>
      <c r="I290" s="28"/>
      <c r="J290" s="28">
        <f t="array" ref="J290">SUM($G$288:$I$288*DecCours*DecPasse^(B290-$B$288-1))</f>
        <v>146.63546201804439</v>
      </c>
      <c r="K290" s="27"/>
      <c r="L290" s="36"/>
      <c r="M290" s="6"/>
      <c r="N290" s="62"/>
      <c r="O290" s="62"/>
      <c r="P290" s="62"/>
      <c r="Q290" s="62"/>
      <c r="R290" s="62"/>
      <c r="S290" s="62"/>
      <c r="T290" s="62"/>
      <c r="U290" s="80"/>
      <c r="V290" s="62"/>
      <c r="W290" s="62"/>
      <c r="X290" s="62"/>
      <c r="Y290" s="62"/>
      <c r="Z290" s="62"/>
      <c r="AA290" s="79"/>
      <c r="AB290"/>
      <c r="AC290" s="56"/>
      <c r="AD290" s="70"/>
      <c r="AE290" s="71"/>
      <c r="AF290" s="72"/>
      <c r="AG290" s="72"/>
      <c r="AH290" s="128"/>
      <c r="AI290"/>
      <c r="AJ290" s="62"/>
      <c r="AK290" s="62"/>
      <c r="AL290" s="62"/>
      <c r="AM290" s="62"/>
      <c r="AN290" s="62"/>
      <c r="AO290" s="79"/>
    </row>
    <row r="291" spans="1:41" x14ac:dyDescent="0.25">
      <c r="A291" s="24" t="s">
        <v>10</v>
      </c>
      <c r="B291" s="25">
        <v>3</v>
      </c>
      <c r="C291" s="26">
        <v>0</v>
      </c>
      <c r="D291" s="27">
        <v>0</v>
      </c>
      <c r="E291" s="27">
        <v>0</v>
      </c>
      <c r="F291" s="27">
        <v>0</v>
      </c>
      <c r="G291" s="28"/>
      <c r="H291" s="28"/>
      <c r="I291" s="28"/>
      <c r="J291" s="28">
        <f t="array" ref="J291">SUM($G$288:$I$288*DecCours*DecPasse^(B291-$B$288-1))</f>
        <v>137.78519394721684</v>
      </c>
      <c r="K291" s="27"/>
      <c r="L291" s="36"/>
      <c r="M291" s="6"/>
      <c r="N291" s="62"/>
      <c r="O291" s="62"/>
      <c r="P291" s="62"/>
      <c r="Q291" s="62"/>
      <c r="R291" s="62"/>
      <c r="S291" s="62"/>
      <c r="T291" s="62"/>
      <c r="U291" s="80"/>
      <c r="V291" s="62"/>
      <c r="W291" s="62"/>
      <c r="X291" s="62"/>
      <c r="Y291" s="62"/>
      <c r="Z291" s="62"/>
      <c r="AA291" s="79"/>
      <c r="AB291"/>
      <c r="AC291" s="56"/>
      <c r="AD291" s="70"/>
      <c r="AE291" s="71"/>
      <c r="AF291" s="72"/>
      <c r="AG291" s="72"/>
      <c r="AH291" s="128"/>
      <c r="AI291"/>
      <c r="AJ291" s="62"/>
      <c r="AK291" s="62"/>
      <c r="AL291" s="62"/>
      <c r="AM291" s="62"/>
      <c r="AN291" s="62"/>
      <c r="AO291" s="79"/>
    </row>
    <row r="292" spans="1:41" x14ac:dyDescent="0.25">
      <c r="A292" s="24" t="s">
        <v>10</v>
      </c>
      <c r="B292" s="25">
        <v>4</v>
      </c>
      <c r="C292" s="26">
        <v>0</v>
      </c>
      <c r="D292" s="27">
        <v>0</v>
      </c>
      <c r="E292" s="27">
        <v>0</v>
      </c>
      <c r="F292" s="27">
        <v>0</v>
      </c>
      <c r="G292" s="28"/>
      <c r="H292" s="28"/>
      <c r="I292" s="28"/>
      <c r="J292" s="28">
        <f t="array" ref="J292">SUM($G$288:$I$288*DecCours*DecPasse^(B292-$B$288-1))</f>
        <v>130.82321643362417</v>
      </c>
      <c r="K292" s="27"/>
      <c r="L292" s="36"/>
      <c r="M292" s="6"/>
      <c r="N292" s="62"/>
      <c r="O292" s="62"/>
      <c r="P292" s="62"/>
      <c r="Q292" s="62"/>
      <c r="R292" s="62"/>
      <c r="S292" s="62"/>
      <c r="T292" s="62"/>
      <c r="U292" s="80"/>
      <c r="V292" s="62"/>
      <c r="W292" s="62"/>
      <c r="X292" s="62"/>
      <c r="Y292" s="62"/>
      <c r="Z292" s="62"/>
      <c r="AA292" s="79"/>
      <c r="AB292"/>
      <c r="AC292" s="56"/>
      <c r="AD292" s="70"/>
      <c r="AE292" s="71"/>
      <c r="AF292" s="72"/>
      <c r="AG292" s="72"/>
      <c r="AH292" s="128"/>
      <c r="AI292"/>
      <c r="AJ292" s="62"/>
      <c r="AK292" s="62"/>
      <c r="AL292" s="62"/>
      <c r="AM292" s="62"/>
      <c r="AN292" s="62"/>
      <c r="AO292" s="79"/>
    </row>
    <row r="293" spans="1:41" x14ac:dyDescent="0.25">
      <c r="A293" s="24" t="s">
        <v>10</v>
      </c>
      <c r="B293" s="25">
        <v>5</v>
      </c>
      <c r="C293" s="26">
        <v>0</v>
      </c>
      <c r="D293" s="27">
        <v>0</v>
      </c>
      <c r="E293" s="27">
        <v>0</v>
      </c>
      <c r="F293" s="27">
        <v>0</v>
      </c>
      <c r="G293" s="28"/>
      <c r="H293" s="28"/>
      <c r="I293" s="28"/>
      <c r="J293" s="28">
        <f t="array" ref="J293">SUM($G$288:$I$288*DecCours*DecPasse^(B293-$B$288-1))</f>
        <v>125.21122871424284</v>
      </c>
      <c r="K293" s="27"/>
      <c r="L293" s="36"/>
      <c r="M293" s="6"/>
      <c r="N293" s="62"/>
      <c r="O293" s="62"/>
      <c r="P293" s="62"/>
      <c r="Q293" s="62"/>
      <c r="R293" s="62"/>
      <c r="S293" s="62"/>
      <c r="T293" s="62"/>
      <c r="U293" s="80"/>
      <c r="V293" s="62"/>
      <c r="W293" s="62"/>
      <c r="X293" s="62"/>
      <c r="Y293" s="62"/>
      <c r="Z293" s="62"/>
      <c r="AA293" s="79"/>
      <c r="AB293"/>
      <c r="AC293" s="56"/>
      <c r="AD293" s="70"/>
      <c r="AE293" s="71"/>
      <c r="AF293" s="72"/>
      <c r="AG293" s="72"/>
      <c r="AH293" s="128"/>
      <c r="AI293"/>
      <c r="AJ293" s="62"/>
      <c r="AK293" s="62"/>
      <c r="AL293" s="62"/>
      <c r="AM293" s="62"/>
      <c r="AN293" s="62"/>
      <c r="AO293" s="79"/>
    </row>
    <row r="294" spans="1:41" x14ac:dyDescent="0.25">
      <c r="A294" s="24" t="s">
        <v>10</v>
      </c>
      <c r="B294" s="25">
        <v>6</v>
      </c>
      <c r="C294" s="26">
        <v>0</v>
      </c>
      <c r="D294" s="27">
        <v>0</v>
      </c>
      <c r="E294" s="27">
        <v>0</v>
      </c>
      <c r="F294" s="27">
        <v>0</v>
      </c>
      <c r="G294" s="28"/>
      <c r="H294" s="28"/>
      <c r="I294" s="28"/>
      <c r="J294" s="28">
        <f t="array" ref="J294">SUM($G$288:$I$288*DecCours*DecPasse^(B294-$B$288-1))</f>
        <v>120.56827874668245</v>
      </c>
      <c r="K294" s="27"/>
      <c r="L294" s="36"/>
      <c r="M294" s="6"/>
      <c r="N294" s="62"/>
      <c r="O294" s="62"/>
      <c r="P294" s="62"/>
      <c r="Q294" s="62"/>
      <c r="R294" s="62"/>
      <c r="S294" s="62"/>
      <c r="T294" s="62"/>
      <c r="U294" s="80"/>
      <c r="V294" s="62"/>
      <c r="W294" s="62"/>
      <c r="X294" s="62"/>
      <c r="Y294" s="62"/>
      <c r="Z294" s="62"/>
      <c r="AA294" s="79"/>
      <c r="AB294"/>
      <c r="AC294" s="56"/>
      <c r="AD294" s="70"/>
      <c r="AE294" s="71"/>
      <c r="AF294" s="72"/>
      <c r="AG294" s="72"/>
      <c r="AH294" s="128"/>
      <c r="AI294"/>
      <c r="AJ294" s="62"/>
      <c r="AK294" s="62"/>
      <c r="AL294" s="62"/>
      <c r="AM294" s="62"/>
      <c r="AN294" s="62"/>
      <c r="AO294" s="79"/>
    </row>
    <row r="295" spans="1:41" x14ac:dyDescent="0.25">
      <c r="A295" s="24" t="s">
        <v>10</v>
      </c>
      <c r="B295" s="25">
        <v>7</v>
      </c>
      <c r="C295" s="26">
        <v>0</v>
      </c>
      <c r="D295" s="27">
        <v>0</v>
      </c>
      <c r="E295" s="27">
        <v>0</v>
      </c>
      <c r="F295" s="27">
        <v>0</v>
      </c>
      <c r="G295" s="28"/>
      <c r="H295" s="28"/>
      <c r="I295" s="28"/>
      <c r="J295" s="28">
        <f t="array" ref="J295">SUM($G$288:$I$288*DecCours*DecPasse^(B295-$B$288-1))</f>
        <v>116.62468375167373</v>
      </c>
      <c r="K295" s="27"/>
      <c r="L295" s="36"/>
      <c r="M295" s="6"/>
      <c r="N295" s="62"/>
      <c r="O295" s="62"/>
      <c r="P295" s="62"/>
      <c r="Q295" s="62"/>
      <c r="R295" s="62"/>
      <c r="S295" s="62"/>
      <c r="T295" s="62"/>
      <c r="U295" s="80"/>
      <c r="V295" s="62"/>
      <c r="W295" s="62"/>
      <c r="X295" s="62"/>
      <c r="Y295" s="62"/>
      <c r="Z295" s="62"/>
      <c r="AA295" s="79"/>
      <c r="AB295"/>
      <c r="AC295" s="56"/>
      <c r="AD295" s="70"/>
      <c r="AE295" s="71"/>
      <c r="AF295" s="72"/>
      <c r="AG295" s="72"/>
      <c r="AH295" s="128"/>
      <c r="AI295"/>
      <c r="AJ295" s="62"/>
      <c r="AK295" s="62"/>
      <c r="AL295" s="62"/>
      <c r="AM295" s="62"/>
      <c r="AN295" s="62"/>
      <c r="AO295" s="79"/>
    </row>
    <row r="296" spans="1:41" x14ac:dyDescent="0.25">
      <c r="A296" s="24" t="s">
        <v>10</v>
      </c>
      <c r="B296" s="25">
        <v>8</v>
      </c>
      <c r="C296" s="26">
        <v>0</v>
      </c>
      <c r="D296" s="27">
        <v>0</v>
      </c>
      <c r="E296" s="27">
        <v>0</v>
      </c>
      <c r="F296" s="27">
        <v>0</v>
      </c>
      <c r="G296" s="28"/>
      <c r="H296" s="28"/>
      <c r="I296" s="28"/>
      <c r="J296" s="28">
        <f t="array" ref="J296">SUM($G$288:$I$288*DecCours*DecPasse^(B296-$B$288-1))</f>
        <v>113.18944696086687</v>
      </c>
      <c r="K296" s="27"/>
      <c r="L296" s="36"/>
      <c r="M296" s="6"/>
      <c r="N296" s="62"/>
      <c r="O296" s="62"/>
      <c r="P296" s="62"/>
      <c r="Q296" s="62"/>
      <c r="R296" s="62"/>
      <c r="S296" s="62"/>
      <c r="T296" s="62"/>
      <c r="U296" s="80"/>
      <c r="V296" s="62"/>
      <c r="W296" s="62"/>
      <c r="X296" s="62"/>
      <c r="Y296" s="62"/>
      <c r="Z296" s="62"/>
      <c r="AA296" s="79"/>
      <c r="AB296"/>
      <c r="AC296" s="56"/>
      <c r="AD296" s="70"/>
      <c r="AE296" s="71"/>
      <c r="AF296" s="72"/>
      <c r="AG296" s="72"/>
      <c r="AH296" s="128"/>
      <c r="AI296"/>
      <c r="AJ296" s="62"/>
      <c r="AK296" s="62"/>
      <c r="AL296" s="62"/>
      <c r="AM296" s="62"/>
      <c r="AN296" s="62"/>
      <c r="AO296" s="79"/>
    </row>
    <row r="297" spans="1:41" x14ac:dyDescent="0.25">
      <c r="A297" s="24" t="s">
        <v>10</v>
      </c>
      <c r="B297" s="25">
        <v>9</v>
      </c>
      <c r="C297" s="26">
        <v>0</v>
      </c>
      <c r="D297" s="27">
        <v>0</v>
      </c>
      <c r="E297" s="27">
        <v>0</v>
      </c>
      <c r="F297" s="27">
        <v>0</v>
      </c>
      <c r="G297" s="28"/>
      <c r="H297" s="28"/>
      <c r="I297" s="28"/>
      <c r="J297" s="28">
        <f t="array" ref="J297">SUM($G$288:$I$288*DecCours*DecPasse^(B297-$B$288-1))</f>
        <v>110.12721762651024</v>
      </c>
      <c r="K297" s="27"/>
      <c r="L297" s="36"/>
      <c r="M297" s="6"/>
      <c r="N297" s="62"/>
      <c r="O297" s="62"/>
      <c r="P297" s="62"/>
      <c r="Q297" s="62"/>
      <c r="R297" s="62"/>
      <c r="S297" s="62"/>
      <c r="T297" s="62"/>
      <c r="U297" s="80"/>
      <c r="V297" s="62"/>
      <c r="W297" s="62"/>
      <c r="X297" s="62"/>
      <c r="Y297" s="62"/>
      <c r="Z297" s="62"/>
      <c r="AA297" s="79"/>
      <c r="AB297"/>
      <c r="AC297" s="56"/>
      <c r="AD297" s="70"/>
      <c r="AE297" s="71"/>
      <c r="AF297" s="72"/>
      <c r="AG297" s="72"/>
      <c r="AH297" s="128"/>
      <c r="AI297"/>
      <c r="AJ297" s="62"/>
      <c r="AK297" s="62"/>
      <c r="AL297" s="62"/>
      <c r="AM297" s="62"/>
      <c r="AN297" s="62"/>
      <c r="AO297" s="79"/>
    </row>
    <row r="298" spans="1:41" x14ac:dyDescent="0.25">
      <c r="A298" s="24" t="s">
        <v>10</v>
      </c>
      <c r="B298" s="25">
        <v>10</v>
      </c>
      <c r="C298" s="26">
        <v>0</v>
      </c>
      <c r="D298" s="27">
        <v>0</v>
      </c>
      <c r="E298" s="27">
        <v>0</v>
      </c>
      <c r="F298" s="27">
        <v>0</v>
      </c>
      <c r="G298" s="28"/>
      <c r="H298" s="28"/>
      <c r="I298" s="28"/>
      <c r="J298" s="28">
        <f t="array" ref="J298">SUM($G$288:$I$288*DecCours*DecPasse^(B298-$B$288-1))</f>
        <v>107.3419991398185</v>
      </c>
      <c r="K298" s="27"/>
      <c r="L298" s="36"/>
      <c r="M298" s="6"/>
      <c r="N298" s="62"/>
      <c r="O298" s="62"/>
      <c r="P298" s="62"/>
      <c r="Q298" s="62"/>
      <c r="R298" s="62"/>
      <c r="S298" s="62"/>
      <c r="T298" s="62"/>
      <c r="U298" s="80"/>
      <c r="V298" s="62"/>
      <c r="W298" s="62"/>
      <c r="X298" s="62"/>
      <c r="Y298" s="62"/>
      <c r="Z298" s="62"/>
      <c r="AA298" s="79"/>
      <c r="AB298"/>
      <c r="AC298" s="56"/>
      <c r="AD298" s="70"/>
      <c r="AE298" s="71"/>
      <c r="AF298" s="72"/>
      <c r="AG298" s="72"/>
      <c r="AH298" s="128"/>
      <c r="AI298"/>
      <c r="AJ298" s="62"/>
      <c r="AK298" s="62"/>
      <c r="AL298" s="62"/>
      <c r="AM298" s="62"/>
      <c r="AN298" s="62"/>
      <c r="AO298" s="79"/>
    </row>
    <row r="299" spans="1:41" x14ac:dyDescent="0.25">
      <c r="A299" s="24" t="s">
        <v>10</v>
      </c>
      <c r="B299" s="25">
        <v>11</v>
      </c>
      <c r="C299" s="26">
        <v>0</v>
      </c>
      <c r="D299" s="27">
        <v>0</v>
      </c>
      <c r="E299" s="27">
        <v>0</v>
      </c>
      <c r="F299" s="27">
        <v>0</v>
      </c>
      <c r="G299" s="28"/>
      <c r="H299" s="28"/>
      <c r="I299" s="28"/>
      <c r="J299" s="28">
        <f t="array" ref="J299">SUM($G$288:$I$288*DecCours*DecPasse^(B299-$B$288-1))</f>
        <v>104.76562878617227</v>
      </c>
      <c r="K299" s="27"/>
      <c r="L299" s="36"/>
      <c r="M299" s="6"/>
      <c r="N299" s="62"/>
      <c r="O299" s="62"/>
      <c r="P299" s="62"/>
      <c r="Q299" s="62"/>
      <c r="R299" s="62"/>
      <c r="S299" s="62"/>
      <c r="T299" s="62"/>
      <c r="U299" s="80"/>
      <c r="V299" s="62"/>
      <c r="W299" s="62"/>
      <c r="X299" s="62"/>
      <c r="Y299" s="62"/>
      <c r="Z299" s="62"/>
      <c r="AA299" s="79"/>
      <c r="AB299"/>
      <c r="AC299" s="56"/>
      <c r="AD299" s="70"/>
      <c r="AE299" s="71"/>
      <c r="AF299" s="72"/>
      <c r="AG299" s="72"/>
      <c r="AH299" s="128"/>
      <c r="AI299"/>
      <c r="AJ299" s="62"/>
      <c r="AK299" s="62"/>
      <c r="AL299" s="62"/>
      <c r="AM299" s="62"/>
      <c r="AN299" s="62"/>
      <c r="AO299" s="79"/>
    </row>
    <row r="300" spans="1:41" x14ac:dyDescent="0.25">
      <c r="A300" s="24" t="s">
        <v>10</v>
      </c>
      <c r="B300" s="25">
        <v>12</v>
      </c>
      <c r="C300" s="26">
        <v>0</v>
      </c>
      <c r="D300" s="27">
        <v>0</v>
      </c>
      <c r="E300" s="27">
        <v>0</v>
      </c>
      <c r="F300" s="27">
        <v>0</v>
      </c>
      <c r="G300" s="28"/>
      <c r="H300" s="28"/>
      <c r="I300" s="28"/>
      <c r="J300" s="28">
        <f t="array" ref="J300">SUM($G$288:$I$288*DecCours*DecPasse^(B300-$B$288-1))</f>
        <v>102.34963156041425</v>
      </c>
      <c r="K300" s="27"/>
      <c r="L300" s="36"/>
      <c r="M300" s="6"/>
      <c r="N300" s="62"/>
      <c r="O300" s="62"/>
      <c r="P300" s="62"/>
      <c r="Q300" s="62"/>
      <c r="R300" s="62"/>
      <c r="S300" s="62"/>
      <c r="T300" s="62"/>
      <c r="U300" s="80"/>
      <c r="V300" s="62"/>
      <c r="W300" s="62"/>
      <c r="X300" s="62"/>
      <c r="Y300" s="62"/>
      <c r="Z300" s="62"/>
      <c r="AA300" s="79"/>
      <c r="AB300"/>
      <c r="AC300" s="56"/>
      <c r="AD300" s="70"/>
      <c r="AE300" s="71"/>
      <c r="AF300" s="72"/>
      <c r="AG300" s="72"/>
      <c r="AH300" s="128"/>
      <c r="AI300"/>
      <c r="AJ300" s="62"/>
      <c r="AK300" s="62"/>
      <c r="AL300" s="62"/>
      <c r="AM300" s="62"/>
      <c r="AN300" s="62"/>
      <c r="AO300" s="79"/>
    </row>
    <row r="301" spans="1:41" x14ac:dyDescent="0.25">
      <c r="A301" s="24" t="s">
        <v>10</v>
      </c>
      <c r="B301" s="25">
        <v>13</v>
      </c>
      <c r="C301" s="26">
        <v>0</v>
      </c>
      <c r="D301" s="27">
        <v>0</v>
      </c>
      <c r="E301" s="27">
        <v>0</v>
      </c>
      <c r="F301" s="27">
        <v>0</v>
      </c>
      <c r="G301" s="28"/>
      <c r="H301" s="28"/>
      <c r="I301" s="28"/>
      <c r="J301" s="28">
        <f t="array" ref="J301">SUM($G$288:$I$288*DecCours*DecPasse^(B301-$B$288-1))</f>
        <v>100.05945980617655</v>
      </c>
      <c r="K301" s="27"/>
      <c r="L301" s="36"/>
      <c r="M301" s="6"/>
      <c r="N301" s="62"/>
      <c r="O301" s="62"/>
      <c r="P301" s="62"/>
      <c r="Q301" s="62"/>
      <c r="R301" s="62"/>
      <c r="S301" s="62"/>
      <c r="T301" s="62"/>
      <c r="U301" s="80"/>
      <c r="V301" s="62"/>
      <c r="W301" s="62"/>
      <c r="X301" s="62"/>
      <c r="Y301" s="62"/>
      <c r="Z301" s="62"/>
      <c r="AA301" s="79"/>
      <c r="AB301"/>
      <c r="AC301" s="56"/>
      <c r="AD301" s="70"/>
      <c r="AE301" s="71"/>
      <c r="AF301" s="72"/>
      <c r="AG301" s="72"/>
      <c r="AH301" s="128"/>
      <c r="AI301"/>
      <c r="AJ301" s="62"/>
      <c r="AK301" s="62"/>
      <c r="AL301" s="62"/>
      <c r="AM301" s="62"/>
      <c r="AN301" s="62"/>
      <c r="AO301" s="79"/>
    </row>
    <row r="302" spans="1:41" x14ac:dyDescent="0.25">
      <c r="A302" s="24" t="s">
        <v>10</v>
      </c>
      <c r="B302" s="25">
        <v>14</v>
      </c>
      <c r="C302" s="26">
        <v>0</v>
      </c>
      <c r="D302" s="27">
        <v>0</v>
      </c>
      <c r="E302" s="27">
        <v>0</v>
      </c>
      <c r="F302" s="27">
        <v>0</v>
      </c>
      <c r="G302" s="28"/>
      <c r="H302" s="28"/>
      <c r="I302" s="28"/>
      <c r="J302" s="28">
        <f t="array" ref="J302">SUM($G$288:$I$288*DecCours*DecPasse^(B302-$B$288-1))</f>
        <v>97.870419890738617</v>
      </c>
      <c r="K302" s="27"/>
      <c r="L302" s="36"/>
      <c r="M302" s="6"/>
      <c r="N302" s="62"/>
      <c r="O302" s="62"/>
      <c r="P302" s="62"/>
      <c r="Q302" s="62"/>
      <c r="R302" s="62"/>
      <c r="S302" s="62"/>
      <c r="T302" s="62"/>
      <c r="U302" s="80"/>
      <c r="V302" s="62"/>
      <c r="W302" s="62"/>
      <c r="X302" s="62"/>
      <c r="Y302" s="62"/>
      <c r="Z302" s="62"/>
      <c r="AA302" s="79"/>
      <c r="AB302"/>
      <c r="AC302" s="56"/>
      <c r="AD302" s="70"/>
      <c r="AE302" s="71"/>
      <c r="AF302" s="72"/>
      <c r="AG302" s="72"/>
      <c r="AH302" s="128"/>
      <c r="AI302"/>
      <c r="AJ302" s="62"/>
      <c r="AK302" s="62"/>
      <c r="AL302" s="62"/>
      <c r="AM302" s="62"/>
      <c r="AN302" s="62"/>
      <c r="AO302" s="79"/>
    </row>
    <row r="303" spans="1:41" x14ac:dyDescent="0.25">
      <c r="A303" s="24" t="s">
        <v>10</v>
      </c>
      <c r="B303" s="25">
        <v>15</v>
      </c>
      <c r="C303" s="26">
        <v>0</v>
      </c>
      <c r="D303" s="27">
        <v>0</v>
      </c>
      <c r="E303" s="27">
        <v>0</v>
      </c>
      <c r="F303" s="27">
        <v>0</v>
      </c>
      <c r="G303" s="28"/>
      <c r="H303" s="28"/>
      <c r="I303" s="28"/>
      <c r="J303" s="28">
        <f t="array" ref="J303">SUM($G$288:$I$288*DecCours*DecPasse^(B303-$B$288-1))</f>
        <v>95.764791797254105</v>
      </c>
      <c r="K303" s="27"/>
      <c r="L303" s="36"/>
      <c r="M303" s="6"/>
      <c r="N303" s="62"/>
      <c r="O303" s="62"/>
      <c r="P303" s="62"/>
      <c r="Q303" s="62"/>
      <c r="R303" s="62"/>
      <c r="S303" s="62"/>
      <c r="T303" s="62"/>
      <c r="U303" s="80"/>
      <c r="V303" s="62"/>
      <c r="W303" s="62"/>
      <c r="X303" s="62"/>
      <c r="Y303" s="62"/>
      <c r="Z303" s="62"/>
      <c r="AA303" s="79"/>
      <c r="AB303"/>
      <c r="AC303" s="56"/>
      <c r="AD303" s="70"/>
      <c r="AE303" s="71"/>
      <c r="AF303" s="72"/>
      <c r="AG303" s="72"/>
      <c r="AH303" s="128"/>
      <c r="AI303"/>
      <c r="AJ303" s="62"/>
      <c r="AK303" s="62"/>
      <c r="AL303" s="62"/>
      <c r="AM303" s="62"/>
      <c r="AN303" s="62"/>
      <c r="AO303" s="79"/>
    </row>
    <row r="304" spans="1:41" x14ac:dyDescent="0.25">
      <c r="A304" s="24" t="s">
        <v>10</v>
      </c>
      <c r="B304" s="25">
        <v>16</v>
      </c>
      <c r="C304" s="26">
        <v>0</v>
      </c>
      <c r="D304" s="27">
        <v>0</v>
      </c>
      <c r="E304" s="27">
        <v>0</v>
      </c>
      <c r="F304" s="27">
        <v>0</v>
      </c>
      <c r="G304" s="28"/>
      <c r="H304" s="28"/>
      <c r="I304" s="28"/>
      <c r="J304" s="28">
        <f t="array" ref="J304">SUM($G$288:$I$288*DecCours*DecPasse^(B304-$B$288-1))</f>
        <v>93.729792239969214</v>
      </c>
      <c r="K304" s="27"/>
      <c r="L304" s="36"/>
      <c r="M304" s="6"/>
      <c r="N304" s="62"/>
      <c r="O304" s="62"/>
      <c r="P304" s="62"/>
      <c r="Q304" s="62"/>
      <c r="R304" s="62"/>
      <c r="S304" s="62"/>
      <c r="T304" s="62"/>
      <c r="U304" s="80"/>
      <c r="V304" s="62"/>
      <c r="W304" s="62"/>
      <c r="X304" s="62"/>
      <c r="Y304" s="62"/>
      <c r="Z304" s="62"/>
      <c r="AA304" s="79"/>
      <c r="AB304"/>
      <c r="AC304" s="56"/>
      <c r="AD304" s="70"/>
      <c r="AE304" s="71"/>
      <c r="AF304" s="72"/>
      <c r="AG304" s="72"/>
      <c r="AH304" s="128"/>
      <c r="AI304"/>
      <c r="AJ304" s="62"/>
      <c r="AK304" s="62"/>
      <c r="AL304" s="62"/>
      <c r="AM304" s="62"/>
      <c r="AN304" s="62"/>
      <c r="AO304" s="79"/>
    </row>
    <row r="305" spans="1:41" x14ac:dyDescent="0.25">
      <c r="A305" s="24" t="s">
        <v>10</v>
      </c>
      <c r="B305" s="25">
        <v>17</v>
      </c>
      <c r="C305" s="26">
        <v>0</v>
      </c>
      <c r="D305" s="27">
        <v>0</v>
      </c>
      <c r="E305" s="27">
        <v>0</v>
      </c>
      <c r="F305" s="27">
        <v>0</v>
      </c>
      <c r="G305" s="28"/>
      <c r="H305" s="28"/>
      <c r="I305" s="28"/>
      <c r="J305" s="28">
        <f t="array" ref="J305">SUM($G$288:$I$288*DecCours*DecPasse^(B305-$B$288-1))</f>
        <v>91.756134243228317</v>
      </c>
      <c r="K305" s="27"/>
      <c r="L305" s="36"/>
      <c r="M305" s="6"/>
      <c r="N305" s="62"/>
      <c r="O305" s="62"/>
      <c r="P305" s="62"/>
      <c r="Q305" s="62"/>
      <c r="R305" s="62"/>
      <c r="S305" s="62"/>
      <c r="T305" s="62"/>
      <c r="U305" s="80"/>
      <c r="V305" s="62"/>
      <c r="W305" s="62"/>
      <c r="X305" s="62"/>
      <c r="Y305" s="62"/>
      <c r="Z305" s="62"/>
      <c r="AA305" s="79"/>
      <c r="AB305"/>
      <c r="AC305" s="56"/>
      <c r="AD305" s="70"/>
      <c r="AE305" s="71"/>
      <c r="AF305" s="72"/>
      <c r="AG305" s="72"/>
      <c r="AH305" s="128"/>
      <c r="AI305"/>
      <c r="AJ305" s="62"/>
      <c r="AK305" s="62"/>
      <c r="AL305" s="62"/>
      <c r="AM305" s="62"/>
      <c r="AN305" s="62"/>
      <c r="AO305" s="79"/>
    </row>
    <row r="306" spans="1:41" x14ac:dyDescent="0.25">
      <c r="A306" s="24" t="s">
        <v>10</v>
      </c>
      <c r="B306" s="25">
        <v>18</v>
      </c>
      <c r="C306" s="26">
        <v>0</v>
      </c>
      <c r="D306" s="27">
        <v>0</v>
      </c>
      <c r="E306" s="27">
        <v>0</v>
      </c>
      <c r="F306" s="27">
        <v>0</v>
      </c>
      <c r="G306" s="28"/>
      <c r="H306" s="28"/>
      <c r="I306" s="28"/>
      <c r="J306" s="28">
        <f t="array" ref="J306">SUM($G$288:$I$288*DecCours*DecPasse^(B306-$B$288-1))</f>
        <v>89.837008486958084</v>
      </c>
      <c r="K306" s="27"/>
      <c r="L306" s="36"/>
      <c r="M306" s="6"/>
      <c r="N306" s="62"/>
      <c r="O306" s="62"/>
      <c r="P306" s="62"/>
      <c r="Q306" s="62"/>
      <c r="R306" s="62"/>
      <c r="S306" s="62"/>
      <c r="T306" s="62"/>
      <c r="U306" s="80"/>
      <c r="V306" s="62"/>
      <c r="W306" s="62"/>
      <c r="X306" s="62"/>
      <c r="Y306" s="62"/>
      <c r="Z306" s="62"/>
      <c r="AA306" s="79"/>
      <c r="AB306"/>
      <c r="AC306" s="56"/>
      <c r="AD306" s="70"/>
      <c r="AE306" s="71"/>
      <c r="AF306" s="72"/>
      <c r="AG306" s="72"/>
      <c r="AH306" s="128"/>
      <c r="AI306"/>
      <c r="AJ306" s="62"/>
      <c r="AK306" s="62"/>
      <c r="AL306" s="62"/>
      <c r="AM306" s="62"/>
      <c r="AN306" s="62"/>
      <c r="AO306" s="79"/>
    </row>
    <row r="307" spans="1:41" x14ac:dyDescent="0.25">
      <c r="A307" s="24" t="s">
        <v>10</v>
      </c>
      <c r="B307" s="25">
        <v>19</v>
      </c>
      <c r="C307" s="26">
        <v>0</v>
      </c>
      <c r="D307" s="27">
        <v>0</v>
      </c>
      <c r="E307" s="27">
        <v>0</v>
      </c>
      <c r="F307" s="27">
        <v>0</v>
      </c>
      <c r="G307" s="28"/>
      <c r="H307" s="28"/>
      <c r="I307" s="28"/>
      <c r="J307" s="28">
        <f t="array" ref="J307">SUM($G$288:$I$288*DecCours*DecPasse^(B307-$B$288-1))</f>
        <v>87.967362888910159</v>
      </c>
      <c r="K307" s="27"/>
      <c r="L307" s="36"/>
      <c r="M307" s="6"/>
      <c r="N307" s="62"/>
      <c r="O307" s="62"/>
      <c r="P307" s="62"/>
      <c r="Q307" s="62"/>
      <c r="R307" s="62"/>
      <c r="S307" s="62"/>
      <c r="T307" s="62"/>
      <c r="U307" s="80"/>
      <c r="V307" s="62"/>
      <c r="W307" s="62"/>
      <c r="X307" s="62"/>
      <c r="Y307" s="62"/>
      <c r="Z307" s="62"/>
      <c r="AA307" s="79"/>
      <c r="AB307"/>
      <c r="AC307" s="56"/>
      <c r="AD307" s="70"/>
      <c r="AE307" s="71"/>
      <c r="AF307" s="72"/>
      <c r="AG307" s="72"/>
      <c r="AH307" s="128"/>
      <c r="AI307"/>
      <c r="AJ307" s="62"/>
      <c r="AK307" s="62"/>
      <c r="AL307" s="62"/>
      <c r="AM307" s="62"/>
      <c r="AN307" s="62"/>
      <c r="AO307" s="79"/>
    </row>
    <row r="308" spans="1:41" x14ac:dyDescent="0.25">
      <c r="A308" s="24" t="s">
        <v>10</v>
      </c>
      <c r="B308" s="25">
        <v>20</v>
      </c>
      <c r="C308" s="26">
        <v>0</v>
      </c>
      <c r="D308" s="27">
        <v>0</v>
      </c>
      <c r="E308" s="27">
        <v>0</v>
      </c>
      <c r="F308" s="27">
        <v>0</v>
      </c>
      <c r="G308" s="28"/>
      <c r="H308" s="28"/>
      <c r="I308" s="28"/>
      <c r="J308" s="28">
        <f t="array" ref="J308">SUM($G$288:$I$288*DecCours*DecPasse^(B308-$B$288-1))</f>
        <v>86.143393074893197</v>
      </c>
      <c r="K308" s="27"/>
      <c r="L308" s="36"/>
      <c r="M308" s="6"/>
      <c r="N308" s="62"/>
      <c r="O308" s="62"/>
      <c r="P308" s="62"/>
      <c r="Q308" s="62"/>
      <c r="R308" s="62"/>
      <c r="S308" s="62"/>
      <c r="T308" s="62"/>
      <c r="U308" s="80"/>
      <c r="V308" s="62"/>
      <c r="W308" s="62"/>
      <c r="X308" s="62"/>
      <c r="Y308" s="62"/>
      <c r="Z308" s="62"/>
      <c r="AA308" s="79"/>
      <c r="AB308"/>
      <c r="AC308" s="56"/>
      <c r="AD308" s="70"/>
      <c r="AE308" s="71"/>
      <c r="AF308" s="72"/>
      <c r="AG308" s="72"/>
      <c r="AH308" s="128"/>
      <c r="AI308"/>
      <c r="AJ308" s="62"/>
      <c r="AK308" s="62"/>
      <c r="AL308" s="62"/>
      <c r="AM308" s="62"/>
      <c r="AN308" s="62"/>
      <c r="AO308" s="79"/>
    </row>
    <row r="309" spans="1:41" x14ac:dyDescent="0.25">
      <c r="A309" s="24" t="s">
        <v>10</v>
      </c>
      <c r="B309" s="25">
        <v>21</v>
      </c>
      <c r="C309" s="26">
        <v>0</v>
      </c>
      <c r="D309" s="27">
        <v>0</v>
      </c>
      <c r="E309" s="27">
        <v>0</v>
      </c>
      <c r="F309" s="27">
        <v>0</v>
      </c>
      <c r="G309" s="28"/>
      <c r="H309" s="28"/>
      <c r="I309" s="28"/>
      <c r="J309" s="28">
        <f t="array" ref="J309">SUM($G$288:$I$288*DecCours*DecPasse^(B309-$B$288-1))</f>
        <v>84.362181972022853</v>
      </c>
      <c r="K309" s="27"/>
      <c r="L309" s="36"/>
      <c r="M309" s="6"/>
      <c r="N309" s="62"/>
      <c r="O309" s="62"/>
      <c r="P309" s="62"/>
      <c r="Q309" s="62"/>
      <c r="R309" s="62"/>
      <c r="S309" s="62"/>
      <c r="T309" s="62"/>
      <c r="U309" s="80"/>
      <c r="V309" s="62"/>
      <c r="W309" s="62"/>
      <c r="X309" s="62"/>
      <c r="Y309" s="62"/>
      <c r="Z309" s="62"/>
      <c r="AA309" s="79"/>
      <c r="AB309"/>
      <c r="AC309" s="56"/>
      <c r="AD309" s="70"/>
      <c r="AE309" s="71"/>
      <c r="AF309" s="72"/>
      <c r="AG309" s="72"/>
      <c r="AH309" s="128"/>
      <c r="AI309"/>
      <c r="AJ309" s="62"/>
      <c r="AK309" s="62"/>
      <c r="AL309" s="62"/>
      <c r="AM309" s="62"/>
      <c r="AN309" s="62"/>
      <c r="AO309" s="79"/>
    </row>
    <row r="310" spans="1:41" x14ac:dyDescent="0.25">
      <c r="A310" s="24" t="s">
        <v>10</v>
      </c>
      <c r="B310" s="25">
        <v>22</v>
      </c>
      <c r="C310" s="26">
        <v>0</v>
      </c>
      <c r="D310" s="27">
        <v>0</v>
      </c>
      <c r="E310" s="27">
        <v>0</v>
      </c>
      <c r="F310" s="27">
        <v>0</v>
      </c>
      <c r="G310" s="28"/>
      <c r="H310" s="28"/>
      <c r="I310" s="28"/>
      <c r="J310" s="28">
        <f t="array" ref="J310">SUM($G$288:$I$288*DecCours*DecPasse^(B310-$B$288-1))</f>
        <v>82.621444850495266</v>
      </c>
      <c r="K310" s="27"/>
      <c r="L310" s="36"/>
      <c r="M310" s="6"/>
      <c r="N310" s="62"/>
      <c r="O310" s="62"/>
      <c r="P310" s="62"/>
      <c r="Q310" s="62"/>
      <c r="R310" s="62"/>
      <c r="S310" s="62"/>
      <c r="T310" s="62"/>
      <c r="U310" s="80"/>
      <c r="V310" s="62"/>
      <c r="W310" s="62"/>
      <c r="X310" s="62"/>
      <c r="Y310" s="62"/>
      <c r="Z310" s="62"/>
      <c r="AA310" s="79"/>
      <c r="AB310"/>
      <c r="AC310" s="56"/>
      <c r="AD310" s="70"/>
      <c r="AE310" s="71"/>
      <c r="AF310" s="72"/>
      <c r="AG310" s="72"/>
      <c r="AH310" s="128"/>
      <c r="AI310"/>
      <c r="AJ310" s="62"/>
      <c r="AK310" s="62"/>
      <c r="AL310" s="62"/>
      <c r="AM310" s="62"/>
      <c r="AN310" s="62"/>
      <c r="AO310" s="79"/>
    </row>
    <row r="311" spans="1:41" x14ac:dyDescent="0.25">
      <c r="A311" s="24" t="s">
        <v>10</v>
      </c>
      <c r="B311" s="25">
        <v>23</v>
      </c>
      <c r="C311" s="26">
        <v>0</v>
      </c>
      <c r="D311" s="27">
        <v>0</v>
      </c>
      <c r="E311" s="27">
        <v>0</v>
      </c>
      <c r="F311" s="27">
        <v>0</v>
      </c>
      <c r="G311" s="28"/>
      <c r="H311" s="28"/>
      <c r="I311" s="28"/>
      <c r="J311" s="28">
        <f t="array" ref="J311">SUM($G$288:$I$288*DecCours*DecPasse^(B311-$B$288-1))</f>
        <v>80.919348931292447</v>
      </c>
      <c r="K311" s="27"/>
      <c r="L311" s="36"/>
      <c r="M311" s="6"/>
      <c r="N311" s="62"/>
      <c r="O311" s="62"/>
      <c r="P311" s="62"/>
      <c r="Q311" s="62"/>
      <c r="R311" s="62"/>
      <c r="S311" s="62"/>
      <c r="T311" s="62"/>
      <c r="U311" s="80"/>
      <c r="V311" s="62"/>
      <c r="W311" s="62"/>
      <c r="X311" s="62"/>
      <c r="Y311" s="62"/>
      <c r="Z311" s="62"/>
      <c r="AA311" s="79"/>
      <c r="AB311"/>
      <c r="AC311" s="56"/>
      <c r="AD311" s="70"/>
      <c r="AE311" s="71"/>
      <c r="AF311" s="72"/>
      <c r="AG311" s="72"/>
      <c r="AH311" s="128"/>
      <c r="AI311"/>
      <c r="AJ311" s="62"/>
      <c r="AK311" s="62"/>
      <c r="AL311" s="62"/>
      <c r="AM311" s="62"/>
      <c r="AN311" s="62"/>
      <c r="AO311" s="79"/>
    </row>
    <row r="312" spans="1:41" x14ac:dyDescent="0.25">
      <c r="A312" s="24" t="s">
        <v>10</v>
      </c>
      <c r="B312" s="25">
        <v>24</v>
      </c>
      <c r="C312" s="26">
        <v>0</v>
      </c>
      <c r="D312" s="27">
        <v>0</v>
      </c>
      <c r="E312" s="27">
        <v>0</v>
      </c>
      <c r="F312" s="27">
        <v>0</v>
      </c>
      <c r="G312" s="28"/>
      <c r="H312" s="28"/>
      <c r="I312" s="28"/>
      <c r="J312" s="28">
        <f t="array" ref="J312">SUM($G$288:$I$288*DecCours*DecPasse^(B312-$B$288-1))</f>
        <v>79.254385722467958</v>
      </c>
      <c r="K312" s="27"/>
      <c r="L312" s="36"/>
      <c r="M312" s="6"/>
      <c r="N312" s="62"/>
      <c r="O312" s="62"/>
      <c r="P312" s="62"/>
      <c r="Q312" s="62"/>
      <c r="R312" s="62"/>
      <c r="S312" s="62"/>
      <c r="T312" s="62"/>
      <c r="U312" s="80"/>
      <c r="V312" s="62"/>
      <c r="W312" s="62"/>
      <c r="X312" s="62"/>
      <c r="Y312" s="62"/>
      <c r="Z312" s="62"/>
      <c r="AA312" s="79"/>
      <c r="AB312"/>
      <c r="AC312" s="56"/>
      <c r="AD312" s="70"/>
      <c r="AE312" s="71"/>
      <c r="AF312" s="72"/>
      <c r="AG312" s="72"/>
      <c r="AH312" s="128"/>
      <c r="AI312"/>
      <c r="AJ312" s="62"/>
      <c r="AK312" s="62"/>
      <c r="AL312" s="62"/>
      <c r="AM312" s="62"/>
      <c r="AN312" s="62"/>
      <c r="AO312" s="79"/>
    </row>
    <row r="313" spans="1:41" x14ac:dyDescent="0.25">
      <c r="A313" s="24" t="s">
        <v>10</v>
      </c>
      <c r="B313" s="25">
        <v>25</v>
      </c>
      <c r="C313" s="26">
        <f>36*$C$218</f>
        <v>24.839999999999996</v>
      </c>
      <c r="D313" s="27">
        <f>30%*0.84</f>
        <v>0.252</v>
      </c>
      <c r="E313" s="27">
        <v>0</v>
      </c>
      <c r="F313" s="27">
        <v>0.7</v>
      </c>
      <c r="G313" s="28">
        <f>$C$313*D313*InfraPinL*TauxC*MasseMol</f>
        <v>5.0150469599999985</v>
      </c>
      <c r="H313" s="28">
        <f>$C$313*E313*InfraPinL*TauxC*MasseMol</f>
        <v>0</v>
      </c>
      <c r="I313" s="28">
        <f>$C$313*F313*InfraPinL*TauxC*MasseMol</f>
        <v>13.930685999999994</v>
      </c>
      <c r="J313" s="28">
        <f t="array" ref="J313">SUM($G$288:$I$288*DecCours*DecPasse^(B313-$B$288-1))</f>
        <v>77.625280642615479</v>
      </c>
      <c r="K313" s="29"/>
      <c r="L313" s="36">
        <f t="array" ref="L313">C313*(SUM(D313:F313*CoefSubst))</f>
        <v>22.903473599999995</v>
      </c>
      <c r="M313" s="6"/>
      <c r="N313" s="62"/>
      <c r="O313" s="62"/>
      <c r="P313" s="62"/>
      <c r="Q313" s="62"/>
      <c r="R313" s="62"/>
      <c r="S313" s="62"/>
      <c r="T313" s="62"/>
      <c r="U313" s="80"/>
      <c r="V313" s="62"/>
      <c r="W313" s="62"/>
      <c r="X313" s="62"/>
      <c r="Y313" s="62"/>
      <c r="Z313" s="62"/>
      <c r="AA313" s="79"/>
      <c r="AB313"/>
      <c r="AC313" s="56">
        <v>98</v>
      </c>
      <c r="AD313" s="70">
        <f>AD288+($AD$323-$AD$222)/($AC$323-$AC$222)</f>
        <v>547.80000000000007</v>
      </c>
      <c r="AE313" s="71">
        <f>AD313*1.3</f>
        <v>712.1400000000001</v>
      </c>
      <c r="AF313" s="72">
        <f>AE313*InfraCed</f>
        <v>256.37040000000002</v>
      </c>
      <c r="AG313" s="72">
        <f>EXP(-1.0587  + 0.8836*LN(AF313) + 0.284)</f>
        <v>61.94806202511753</v>
      </c>
      <c r="AH313" s="128">
        <f>((AF313+AG313)*TauxC + Csol + Clitiere)*MasseMol</f>
        <v>847.73798802707961</v>
      </c>
      <c r="AI313"/>
      <c r="AJ313" s="62"/>
      <c r="AK313" s="62"/>
      <c r="AL313" s="62"/>
      <c r="AM313" s="62"/>
      <c r="AN313" s="62"/>
      <c r="AO313" s="79"/>
    </row>
    <row r="314" spans="1:41" x14ac:dyDescent="0.25">
      <c r="A314" s="24" t="s">
        <v>10</v>
      </c>
      <c r="B314" s="25">
        <v>26</v>
      </c>
      <c r="C314" s="26">
        <v>0</v>
      </c>
      <c r="D314" s="27">
        <v>0</v>
      </c>
      <c r="E314" s="27">
        <v>0</v>
      </c>
      <c r="F314" s="27">
        <v>0</v>
      </c>
      <c r="G314" s="28"/>
      <c r="H314" s="28"/>
      <c r="I314" s="28"/>
      <c r="J314" s="28">
        <f t="array" ref="J314">SUM($G$288:$I$288*DecCours*DecPasse^(B314-$B$288-1)) + SUM($G$313:$I$313*DecCours)</f>
        <v>94.735980862144402</v>
      </c>
      <c r="K314" s="29"/>
      <c r="L314" s="36"/>
      <c r="M314" s="6"/>
      <c r="N314" s="62"/>
      <c r="O314" s="62"/>
      <c r="P314" s="62"/>
      <c r="Q314" s="62"/>
      <c r="R314" s="62"/>
      <c r="S314" s="62"/>
      <c r="T314" s="62"/>
      <c r="U314" s="80"/>
      <c r="V314" s="62"/>
      <c r="W314" s="62"/>
      <c r="X314" s="62"/>
      <c r="Y314" s="62"/>
      <c r="Z314" s="62"/>
      <c r="AA314" s="79"/>
      <c r="AB314"/>
      <c r="AC314" s="56"/>
      <c r="AD314" s="70"/>
      <c r="AE314" s="71"/>
      <c r="AF314" s="72"/>
      <c r="AG314" s="72"/>
      <c r="AH314" s="128"/>
      <c r="AI314"/>
      <c r="AJ314" s="62"/>
      <c r="AK314" s="62"/>
      <c r="AL314" s="62"/>
      <c r="AM314" s="62"/>
      <c r="AN314" s="62"/>
      <c r="AO314" s="79"/>
    </row>
    <row r="315" spans="1:41" x14ac:dyDescent="0.25">
      <c r="A315" s="24" t="s">
        <v>10</v>
      </c>
      <c r="B315" s="25">
        <v>27</v>
      </c>
      <c r="C315" s="26">
        <v>0</v>
      </c>
      <c r="D315" s="27">
        <v>0</v>
      </c>
      <c r="E315" s="27">
        <v>0</v>
      </c>
      <c r="F315" s="27">
        <v>0</v>
      </c>
      <c r="G315" s="28"/>
      <c r="H315" s="28"/>
      <c r="I315" s="28"/>
      <c r="J315" s="28">
        <f t="array" ref="J315">SUM($G$288:$I$288*DecCours*DecPasse^(B315-$B$288-1)) + SUM($G$313:$I$313*DecCours*DecPasse^(B315-$B$313-1))</f>
        <v>92.702325003751</v>
      </c>
      <c r="K315" s="29"/>
      <c r="L315" s="36"/>
      <c r="M315" s="6"/>
      <c r="N315" s="62"/>
      <c r="O315" s="62"/>
      <c r="P315" s="62"/>
      <c r="Q315" s="62"/>
      <c r="R315" s="62"/>
      <c r="S315" s="62"/>
      <c r="T315" s="62"/>
      <c r="U315" s="80"/>
      <c r="V315" s="62"/>
      <c r="W315" s="62"/>
      <c r="X315" s="62"/>
      <c r="Y315" s="62"/>
      <c r="Z315" s="62"/>
      <c r="AA315" s="79"/>
      <c r="AB315"/>
      <c r="AC315" s="56"/>
      <c r="AD315" s="70"/>
      <c r="AE315" s="71"/>
      <c r="AF315" s="72"/>
      <c r="AG315" s="72"/>
      <c r="AH315" s="128"/>
      <c r="AI315"/>
      <c r="AJ315" s="62"/>
      <c r="AK315" s="62"/>
      <c r="AL315" s="62"/>
      <c r="AM315" s="62"/>
      <c r="AN315" s="62"/>
      <c r="AO315" s="79"/>
    </row>
    <row r="316" spans="1:41" x14ac:dyDescent="0.25">
      <c r="A316" s="24" t="s">
        <v>10</v>
      </c>
      <c r="B316" s="25">
        <v>28</v>
      </c>
      <c r="C316" s="26">
        <v>0</v>
      </c>
      <c r="D316" s="27">
        <v>0</v>
      </c>
      <c r="E316" s="27">
        <v>0</v>
      </c>
      <c r="F316" s="27">
        <v>0</v>
      </c>
      <c r="G316" s="28"/>
      <c r="H316" s="28"/>
      <c r="I316" s="28"/>
      <c r="J316" s="28">
        <f t="array" ref="J316">SUM($G$288:$I$288*DecCours*DecPasse^(B316-$B$288-1)) + SUM($G$313:$I$313*DecCours*DecPasse^(B316-$B$313-1))</f>
        <v>90.713737763784991</v>
      </c>
      <c r="K316" s="29"/>
      <c r="L316" s="36"/>
      <c r="M316" s="6"/>
      <c r="N316" s="62"/>
      <c r="O316" s="62"/>
      <c r="P316" s="62"/>
      <c r="Q316" s="62"/>
      <c r="R316" s="62"/>
      <c r="S316" s="62"/>
      <c r="T316" s="62"/>
      <c r="U316" s="80"/>
      <c r="V316" s="62"/>
      <c r="W316" s="62"/>
      <c r="X316" s="62"/>
      <c r="Y316" s="62"/>
      <c r="Z316" s="62"/>
      <c r="AA316" s="79"/>
      <c r="AB316"/>
      <c r="AC316" s="56"/>
      <c r="AD316" s="70"/>
      <c r="AE316" s="71"/>
      <c r="AF316" s="72"/>
      <c r="AG316" s="72"/>
      <c r="AH316" s="128"/>
      <c r="AI316"/>
      <c r="AJ316" s="62"/>
      <c r="AK316" s="62"/>
      <c r="AL316" s="62"/>
      <c r="AM316" s="62"/>
      <c r="AN316" s="62"/>
      <c r="AO316" s="79"/>
    </row>
    <row r="317" spans="1:41" x14ac:dyDescent="0.25">
      <c r="A317" s="24" t="s">
        <v>10</v>
      </c>
      <c r="B317" s="25">
        <v>29</v>
      </c>
      <c r="C317" s="26">
        <v>0</v>
      </c>
      <c r="D317" s="27">
        <v>0</v>
      </c>
      <c r="E317" s="27">
        <v>0</v>
      </c>
      <c r="F317" s="27">
        <v>0</v>
      </c>
      <c r="G317" s="28"/>
      <c r="H317" s="28"/>
      <c r="I317" s="28"/>
      <c r="J317" s="28">
        <f t="array" ref="J317">SUM($G$288:$I$288*DecCours*DecPasse^(B317-$B$288-1)) + SUM($G$313:$I$313*DecCours*DecPasse^(B317-$B$313-1))</f>
        <v>88.769082523623808</v>
      </c>
      <c r="K317" s="29"/>
      <c r="L317" s="36"/>
      <c r="M317" s="6"/>
      <c r="N317" s="62"/>
      <c r="O317" s="62"/>
      <c r="P317" s="62"/>
      <c r="Q317" s="62"/>
      <c r="R317" s="62"/>
      <c r="S317" s="62"/>
      <c r="T317" s="62"/>
      <c r="U317" s="80"/>
      <c r="V317" s="62"/>
      <c r="W317" s="62"/>
      <c r="X317" s="62"/>
      <c r="Y317" s="62"/>
      <c r="Z317" s="62"/>
      <c r="AA317" s="79"/>
      <c r="AB317"/>
      <c r="AC317" s="56"/>
      <c r="AD317" s="70"/>
      <c r="AE317" s="71"/>
      <c r="AF317" s="72"/>
      <c r="AG317" s="72"/>
      <c r="AH317" s="128"/>
      <c r="AI317"/>
      <c r="AJ317" s="62"/>
      <c r="AK317" s="62"/>
      <c r="AL317" s="62"/>
      <c r="AM317" s="62"/>
      <c r="AN317" s="62"/>
      <c r="AO317" s="79"/>
    </row>
    <row r="318" spans="1:41" x14ac:dyDescent="0.25">
      <c r="A318" s="24" t="s">
        <v>10</v>
      </c>
      <c r="B318" s="25">
        <v>30</v>
      </c>
      <c r="C318" s="26">
        <f>54*C218</f>
        <v>37.26</v>
      </c>
      <c r="D318" s="27">
        <f>30%*0.84</f>
        <v>0.252</v>
      </c>
      <c r="E318" s="27">
        <v>0</v>
      </c>
      <c r="F318" s="27">
        <v>0.7</v>
      </c>
      <c r="G318" s="28">
        <f>$C$318*D318*InfraPinL*TauxC*MasseMol</f>
        <v>7.5225704399999991</v>
      </c>
      <c r="H318" s="28">
        <f>$C$318*E318*InfraPinL*TauxC*MasseMol</f>
        <v>0</v>
      </c>
      <c r="I318" s="28">
        <f>$C$318*F318*InfraPinL*TauxC*MasseMol</f>
        <v>20.896028999999999</v>
      </c>
      <c r="J318" s="28">
        <f t="array" ref="J318">SUM($G$288:$I$288*DecCours*DecPasse^(B318-$B$288-1)) + SUM($G$313:$I$313*DecCours*DecPasse^(B318-$B$313-1))</f>
        <v>86.867284358866129</v>
      </c>
      <c r="K318" s="29"/>
      <c r="L318" s="36">
        <f t="array" ref="L318">C318*(SUM(D318:F318*CoefSubst))</f>
        <v>34.355210399999997</v>
      </c>
      <c r="M318" s="6"/>
      <c r="N318" s="62"/>
      <c r="O318" s="62"/>
      <c r="P318" s="62"/>
      <c r="Q318" s="62"/>
      <c r="R318" s="62"/>
      <c r="S318" s="62"/>
      <c r="T318" s="62"/>
      <c r="U318" s="80"/>
      <c r="V318" s="62"/>
      <c r="W318" s="62"/>
      <c r="X318" s="62"/>
      <c r="Y318" s="62"/>
      <c r="Z318" s="62"/>
      <c r="AA318" s="79"/>
      <c r="AB318"/>
      <c r="AC318" s="56">
        <v>99</v>
      </c>
      <c r="AD318" s="70">
        <f>AD313+($AD$323-$AD$222)/($AC$323-$AC$222)</f>
        <v>538.40000000000009</v>
      </c>
      <c r="AE318" s="71">
        <f>AD318*1.3</f>
        <v>699.92000000000019</v>
      </c>
      <c r="AF318" s="72">
        <f>AE318*InfraCed</f>
        <v>251.97120000000007</v>
      </c>
      <c r="AG318" s="72">
        <f>EXP(-1.0587  + 0.8836*LN(AF318) + 0.284)</f>
        <v>61.00785052947608</v>
      </c>
      <c r="AH318" s="128">
        <f>((AF318+AG318)*TauxC + Csol + Clitiere)*MasseMol</f>
        <v>838.43851300550421</v>
      </c>
      <c r="AI318"/>
      <c r="AJ318" s="62"/>
      <c r="AK318" s="62"/>
      <c r="AL318" s="62"/>
      <c r="AM318" s="62"/>
      <c r="AN318" s="62"/>
      <c r="AO318" s="79"/>
    </row>
    <row r="319" spans="1:41" x14ac:dyDescent="0.25">
      <c r="A319" s="24" t="s">
        <v>10</v>
      </c>
      <c r="B319" s="25">
        <v>31</v>
      </c>
      <c r="C319" s="26">
        <v>0</v>
      </c>
      <c r="D319" s="27">
        <v>0</v>
      </c>
      <c r="E319" s="27">
        <v>0</v>
      </c>
      <c r="F319" s="27">
        <v>0</v>
      </c>
      <c r="G319" s="28"/>
      <c r="H319" s="28"/>
      <c r="I319" s="28"/>
      <c r="J319" s="28">
        <f t="array" ref="J319">SUM($G$288:$I$288*DecCours*DecPasse^(B319-$B$288-1)) + SUM($G$313:$I$313*DecCours*DecPasse^(B319-$B$313-1)) + SUM($G$318:$I$318*DecCours)</f>
        <v>113.06489600951637</v>
      </c>
      <c r="K319" s="29"/>
      <c r="L319" s="36"/>
      <c r="M319" s="6"/>
      <c r="N319" s="62"/>
      <c r="O319" s="62"/>
      <c r="P319" s="62"/>
      <c r="Q319" s="62"/>
      <c r="R319" s="62"/>
      <c r="S319" s="62"/>
      <c r="T319" s="62"/>
      <c r="U319" s="80"/>
      <c r="V319" s="62"/>
      <c r="W319" s="62"/>
      <c r="X319" s="62"/>
      <c r="Y319" s="62"/>
      <c r="Z319" s="62"/>
      <c r="AA319" s="79"/>
      <c r="AB319"/>
      <c r="AC319" s="56"/>
      <c r="AD319" s="70"/>
      <c r="AE319" s="71"/>
      <c r="AF319" s="72"/>
      <c r="AG319" s="72"/>
      <c r="AH319" s="128"/>
      <c r="AI319"/>
      <c r="AJ319" s="62"/>
      <c r="AK319" s="62"/>
      <c r="AL319" s="62"/>
      <c r="AM319" s="62"/>
      <c r="AN319" s="62"/>
      <c r="AO319" s="79"/>
    </row>
    <row r="320" spans="1:41" x14ac:dyDescent="0.25">
      <c r="A320" s="24" t="s">
        <v>10</v>
      </c>
      <c r="B320" s="25">
        <v>32</v>
      </c>
      <c r="C320" s="26">
        <v>0</v>
      </c>
      <c r="D320" s="27">
        <v>0</v>
      </c>
      <c r="E320" s="27">
        <v>0</v>
      </c>
      <c r="F320" s="27">
        <v>0</v>
      </c>
      <c r="G320" s="28"/>
      <c r="H320" s="28"/>
      <c r="I320" s="28"/>
      <c r="J320" s="28">
        <f t="array" ref="J320">SUM($G$288:$I$288*DecCours*DecPasse^(B320-$B$288-1)) + SUM($G$313:$I$313*DecCours*DecPasse^(B320-$B$313-1)) + SUM($G$318:$I$318*DecCours*DecPasse^(B320-$B$318-1))</f>
        <v>110.53616197604701</v>
      </c>
      <c r="K320" s="29"/>
      <c r="L320" s="36"/>
      <c r="M320" s="6"/>
      <c r="N320" s="62"/>
      <c r="O320" s="62"/>
      <c r="P320" s="62"/>
      <c r="Q320" s="62"/>
      <c r="R320" s="62"/>
      <c r="S320" s="62"/>
      <c r="T320" s="62"/>
      <c r="U320" s="80"/>
      <c r="V320" s="62"/>
      <c r="W320" s="62"/>
      <c r="X320" s="62"/>
      <c r="Y320" s="62"/>
      <c r="Z320" s="62"/>
      <c r="AA320" s="79"/>
      <c r="AB320"/>
      <c r="AC320" s="56"/>
      <c r="AD320" s="70"/>
      <c r="AE320" s="71"/>
      <c r="AF320" s="72"/>
      <c r="AG320" s="72"/>
      <c r="AH320" s="128"/>
      <c r="AI320"/>
      <c r="AJ320" s="62"/>
      <c r="AK320" s="62"/>
      <c r="AL320" s="62"/>
      <c r="AM320" s="62"/>
      <c r="AN320" s="62"/>
      <c r="AO320" s="79"/>
    </row>
    <row r="321" spans="1:41" x14ac:dyDescent="0.25">
      <c r="A321" s="24" t="s">
        <v>10</v>
      </c>
      <c r="B321" s="25">
        <v>33</v>
      </c>
      <c r="C321" s="26">
        <v>0</v>
      </c>
      <c r="D321" s="27">
        <v>0</v>
      </c>
      <c r="E321" s="27">
        <v>0</v>
      </c>
      <c r="F321" s="27">
        <v>0</v>
      </c>
      <c r="G321" s="28"/>
      <c r="H321" s="28"/>
      <c r="I321" s="28"/>
      <c r="J321" s="28">
        <f t="array" ref="J321">SUM($G$288:$I$288*DecCours*DecPasse^(B321-$B$288-1)) + SUM($G$313:$I$313*DecCours*DecPasse^(B321-$B$313-1)) + SUM($G$318:$I$318*DecCours*DecPasse^(B321-$B$318-1))</f>
        <v>108.06560255769932</v>
      </c>
      <c r="K321" s="29"/>
      <c r="L321" s="36"/>
      <c r="M321" s="6"/>
      <c r="N321" s="62"/>
      <c r="O321" s="62"/>
      <c r="P321" s="62"/>
      <c r="Q321" s="62"/>
      <c r="R321" s="62"/>
      <c r="S321" s="62"/>
      <c r="T321" s="62"/>
      <c r="U321" s="80"/>
      <c r="V321" s="62"/>
      <c r="W321" s="62"/>
      <c r="X321" s="62"/>
      <c r="Y321" s="62"/>
      <c r="Z321" s="62"/>
      <c r="AA321" s="79"/>
      <c r="AB321"/>
      <c r="AC321" s="56"/>
      <c r="AD321" s="70"/>
      <c r="AE321" s="71"/>
      <c r="AF321" s="72"/>
      <c r="AG321" s="72"/>
      <c r="AH321" s="128"/>
      <c r="AI321"/>
      <c r="AJ321" s="62"/>
      <c r="AK321" s="62"/>
      <c r="AL321" s="62"/>
      <c r="AM321" s="62"/>
      <c r="AN321" s="62"/>
      <c r="AO321" s="79"/>
    </row>
    <row r="322" spans="1:41" x14ac:dyDescent="0.25">
      <c r="A322" s="24" t="s">
        <v>10</v>
      </c>
      <c r="B322" s="25">
        <v>34</v>
      </c>
      <c r="C322" s="26">
        <v>0</v>
      </c>
      <c r="D322" s="27">
        <v>0</v>
      </c>
      <c r="E322" s="27">
        <v>0</v>
      </c>
      <c r="F322" s="27">
        <v>0</v>
      </c>
      <c r="G322" s="28"/>
      <c r="H322" s="28"/>
      <c r="I322" s="28"/>
      <c r="J322" s="28">
        <f t="array" ref="J322">SUM($G$288:$I$288*DecCours*DecPasse^(B322-$B$288-1)) + SUM($G$313:$I$313*DecCours*DecPasse^(B322-$B$313-1)) + SUM($G$318:$I$318*DecCours*DecPasse^(B322-$B$318-1))</f>
        <v>105.65182254468453</v>
      </c>
      <c r="K322" s="29"/>
      <c r="L322" s="36"/>
      <c r="M322" s="6"/>
      <c r="N322" s="62"/>
      <c r="O322" s="62"/>
      <c r="P322" s="62"/>
      <c r="Q322" s="62"/>
      <c r="R322" s="62"/>
      <c r="S322" s="62"/>
      <c r="T322" s="62"/>
      <c r="U322" s="80"/>
      <c r="V322" s="62"/>
      <c r="W322" s="62"/>
      <c r="X322" s="62"/>
      <c r="Y322" s="62"/>
      <c r="Z322" s="62"/>
      <c r="AA322" s="79"/>
      <c r="AB322"/>
      <c r="AC322" s="56"/>
      <c r="AD322" s="70"/>
      <c r="AE322" s="71"/>
      <c r="AF322" s="72"/>
      <c r="AG322" s="72"/>
      <c r="AH322" s="128"/>
      <c r="AI322"/>
      <c r="AJ322" s="62"/>
      <c r="AK322" s="62"/>
      <c r="AL322" s="62"/>
      <c r="AM322" s="62"/>
      <c r="AN322" s="62"/>
      <c r="AO322" s="79"/>
    </row>
    <row r="323" spans="1:41" x14ac:dyDescent="0.25">
      <c r="A323" s="24" t="s">
        <v>10</v>
      </c>
      <c r="B323" s="25">
        <v>35</v>
      </c>
      <c r="C323" s="26">
        <f>52*C218</f>
        <v>35.879999999999995</v>
      </c>
      <c r="D323" s="27">
        <f>50%*0.84</f>
        <v>0.42</v>
      </c>
      <c r="E323" s="27">
        <f>30%*0.84</f>
        <v>0.252</v>
      </c>
      <c r="F323" s="27">
        <v>0.2</v>
      </c>
      <c r="G323" s="28">
        <f>$C$323*D323*InfraPinL*TauxC*MasseMol</f>
        <v>12.073261199999997</v>
      </c>
      <c r="H323" s="28">
        <f>$C$323*E323*InfraPinL*TauxC*MasseMol</f>
        <v>7.243956719999999</v>
      </c>
      <c r="I323" s="28">
        <f>$C$323*F323*InfraPinL*TauxC*MasseMol</f>
        <v>5.7491719999999997</v>
      </c>
      <c r="J323" s="28">
        <f t="array" ref="J323">SUM($G$288:$I$288*DecCours*DecPasse^(B323-$B$288-1)) + SUM($G$313:$I$313*DecCours*DecPasse^(B323-$B$313-1)) + SUM($G$318:$I$318*DecCours*DecPasse^(B323-$B$318-1))</f>
        <v>103.2934667878913</v>
      </c>
      <c r="K323" s="29"/>
      <c r="L323" s="36"/>
      <c r="M323" s="6"/>
      <c r="N323" s="62"/>
      <c r="O323" s="62"/>
      <c r="P323" s="62"/>
      <c r="Q323" s="62"/>
      <c r="R323" s="62"/>
      <c r="S323" s="62"/>
      <c r="T323" s="62"/>
      <c r="U323" s="80"/>
      <c r="V323" s="62"/>
      <c r="W323" s="62"/>
      <c r="X323" s="62"/>
      <c r="Y323" s="62"/>
      <c r="Z323" s="62"/>
      <c r="AA323" s="79"/>
      <c r="AB323"/>
      <c r="AC323" s="56">
        <v>100</v>
      </c>
      <c r="AD323" s="70">
        <v>529</v>
      </c>
      <c r="AE323" s="71">
        <f>AD323*1.3</f>
        <v>687.7</v>
      </c>
      <c r="AF323" s="72">
        <f>AE323*InfraCed</f>
        <v>247.572</v>
      </c>
      <c r="AG323" s="72">
        <f>EXP(-1.0587  + 0.8836*LN(AF323) + 0.284)</f>
        <v>60.065726249156526</v>
      </c>
      <c r="AH323" s="128">
        <f>((AF323+AG323)*TauxC + Csol + Clitiere)*MasseMol</f>
        <v>829.13570655061426</v>
      </c>
      <c r="AI323"/>
      <c r="AJ323" s="62"/>
      <c r="AK323" s="62"/>
      <c r="AL323" s="62"/>
      <c r="AM323" s="62"/>
      <c r="AN323" s="62"/>
      <c r="AO323" s="79"/>
    </row>
    <row r="324" spans="1:41" x14ac:dyDescent="0.25">
      <c r="A324" s="24" t="s">
        <v>10</v>
      </c>
      <c r="B324" s="25">
        <v>36</v>
      </c>
      <c r="C324" s="26">
        <v>0</v>
      </c>
      <c r="D324" s="27">
        <v>0</v>
      </c>
      <c r="E324" s="27">
        <v>0</v>
      </c>
      <c r="F324" s="27">
        <v>0</v>
      </c>
      <c r="G324" s="28"/>
      <c r="H324" s="28"/>
      <c r="I324" s="28"/>
      <c r="J324" s="28">
        <f t="array" ref="J324">SUM($G$288:$I$288*DecCours*DecPasse^(B324-$B$288-1)) + SUM($G$313:$I$313*DecCours*DecPasse^(B324-$B$313-1)) + SUM($G$318:$I$318*DecCours*DecPasse^(B324-$B$318-1))+SUM($G$323:$I$323*DecCours)</f>
        <v>124.73586516039087</v>
      </c>
      <c r="K324" s="29"/>
      <c r="L324" s="36"/>
      <c r="M324" s="6"/>
      <c r="N324" s="62"/>
      <c r="O324" s="62"/>
      <c r="P324" s="62"/>
      <c r="Q324" s="62"/>
      <c r="R324" s="62"/>
      <c r="S324" s="62"/>
      <c r="T324" s="62"/>
      <c r="U324" s="80"/>
      <c r="V324" s="62"/>
      <c r="W324" s="62"/>
      <c r="X324" s="62"/>
      <c r="Y324" s="62"/>
      <c r="Z324" s="62"/>
      <c r="AA324" s="79"/>
      <c r="AB324"/>
      <c r="AC324" s="56"/>
      <c r="AD324" s="70"/>
      <c r="AE324" s="71"/>
      <c r="AF324" s="72"/>
      <c r="AG324" s="72"/>
      <c r="AH324" s="128"/>
      <c r="AI324"/>
      <c r="AJ324" s="62"/>
      <c r="AK324" s="62"/>
      <c r="AL324" s="62"/>
      <c r="AM324" s="62"/>
      <c r="AN324" s="62"/>
      <c r="AO324" s="79"/>
    </row>
    <row r="325" spans="1:41" x14ac:dyDescent="0.25">
      <c r="A325" s="24" t="s">
        <v>10</v>
      </c>
      <c r="B325" s="25">
        <v>37</v>
      </c>
      <c r="C325" s="26">
        <v>0</v>
      </c>
      <c r="D325" s="27">
        <v>0</v>
      </c>
      <c r="E325" s="27">
        <v>0</v>
      </c>
      <c r="F325" s="27">
        <v>0</v>
      </c>
      <c r="G325" s="28"/>
      <c r="H325" s="28"/>
      <c r="I325" s="28"/>
      <c r="J325" s="28">
        <f t="array" ref="J325">SUM($G$288:$I$288*DecCours*DecPasse^(B325-$B$288-1)) + SUM($G$313:$I$313*DecCours*DecPasse^(B325-$B$313-1)) + SUM($G$318:$I$318*DecCours*DecPasse^(B325-$B$318-1))+SUM($G$323:$I$323*DecCours*DecPasse^(B325-$B$323-1))</f>
        <v>120.30188955500277</v>
      </c>
      <c r="K325" s="29"/>
      <c r="L325" s="36"/>
      <c r="M325" s="6"/>
      <c r="N325" s="62"/>
      <c r="O325" s="62"/>
      <c r="P325" s="62"/>
      <c r="Q325" s="62"/>
      <c r="R325" s="62"/>
      <c r="S325" s="62"/>
      <c r="T325" s="62"/>
      <c r="U325" s="80"/>
      <c r="V325" s="62"/>
      <c r="W325" s="62"/>
      <c r="X325" s="62"/>
      <c r="Y325" s="62"/>
      <c r="Z325" s="62"/>
      <c r="AA325" s="79"/>
      <c r="AB325"/>
      <c r="AC325" s="56"/>
      <c r="AD325" s="70"/>
      <c r="AE325" s="71"/>
      <c r="AF325" s="72"/>
      <c r="AG325" s="72"/>
      <c r="AH325" s="128"/>
      <c r="AI325"/>
      <c r="AJ325" s="62"/>
      <c r="AK325" s="62"/>
      <c r="AL325" s="62"/>
      <c r="AM325" s="62"/>
      <c r="AN325" s="62"/>
      <c r="AO325" s="79"/>
    </row>
    <row r="326" spans="1:41" x14ac:dyDescent="0.25">
      <c r="A326" s="24" t="s">
        <v>10</v>
      </c>
      <c r="B326" s="25">
        <v>38</v>
      </c>
      <c r="C326" s="26">
        <v>0</v>
      </c>
      <c r="D326" s="27">
        <v>0</v>
      </c>
      <c r="E326" s="27">
        <v>0</v>
      </c>
      <c r="F326" s="27">
        <v>0</v>
      </c>
      <c r="G326" s="28"/>
      <c r="H326" s="28"/>
      <c r="I326" s="28"/>
      <c r="J326" s="28">
        <f t="array" ref="J326">SUM($G$288:$I$288*DecCours*DecPasse^(B326-$B$288-1)) + SUM($G$313:$I$313*DecCours*DecPasse^(B326-$B$313-1)) + SUM($G$318:$I$318*DecCours*DecPasse^(B326-$B$318-1))+SUM($G$323:$I$323*DecCours*DecPasse^(B326-$B$323-1))</f>
        <v>116.45350474750754</v>
      </c>
      <c r="K326" s="29"/>
      <c r="L326" s="36"/>
      <c r="M326" s="6"/>
      <c r="N326" s="62"/>
      <c r="O326" s="62"/>
      <c r="P326" s="62"/>
      <c r="Q326" s="62"/>
      <c r="R326" s="62"/>
      <c r="S326" s="62"/>
      <c r="T326" s="62"/>
      <c r="U326" s="80"/>
      <c r="V326" s="62"/>
      <c r="W326" s="62"/>
      <c r="X326" s="62"/>
      <c r="Y326" s="62"/>
      <c r="Z326" s="62"/>
      <c r="AA326" s="79"/>
      <c r="AB326"/>
      <c r="AC326" s="56"/>
      <c r="AD326" s="70"/>
      <c r="AE326" s="71"/>
      <c r="AF326" s="72"/>
      <c r="AG326" s="72"/>
      <c r="AH326" s="128"/>
      <c r="AI326"/>
      <c r="AJ326" s="62"/>
      <c r="AK326" s="62"/>
      <c r="AL326" s="62"/>
      <c r="AM326" s="62"/>
      <c r="AN326" s="62"/>
      <c r="AO326" s="79"/>
    </row>
    <row r="327" spans="1:41" x14ac:dyDescent="0.25">
      <c r="A327" s="24" t="s">
        <v>10</v>
      </c>
      <c r="B327" s="25">
        <v>39</v>
      </c>
      <c r="C327" s="26">
        <v>0</v>
      </c>
      <c r="D327" s="27">
        <v>0</v>
      </c>
      <c r="E327" s="27">
        <v>0</v>
      </c>
      <c r="F327" s="27">
        <v>0</v>
      </c>
      <c r="G327" s="28"/>
      <c r="H327" s="28"/>
      <c r="I327" s="28"/>
      <c r="J327" s="28">
        <f t="array" ref="J327">SUM($G$288:$I$288*DecCours*DecPasse^(B327-$B$288-1)) + SUM($G$313:$I$313*DecCours*DecPasse^(B327-$B$313-1)) + SUM($G$318:$I$318*DecCours*DecPasse^(B327-$B$318-1))+SUM($G$323:$I$323*DecCours*DecPasse^(B327-$B$323-1))</f>
        <v>113.03546511164964</v>
      </c>
      <c r="K327" s="29"/>
      <c r="L327" s="36"/>
      <c r="M327" s="6"/>
      <c r="N327" s="62"/>
      <c r="O327" s="62"/>
      <c r="P327" s="62"/>
      <c r="Q327" s="62"/>
      <c r="R327" s="62"/>
      <c r="S327" s="62"/>
      <c r="T327" s="62"/>
      <c r="U327" s="80"/>
      <c r="V327" s="62"/>
      <c r="W327" s="62"/>
      <c r="X327" s="62"/>
      <c r="Y327" s="62"/>
      <c r="Z327" s="62"/>
      <c r="AA327" s="79"/>
      <c r="AB327"/>
      <c r="AC327" s="56"/>
      <c r="AD327" s="70"/>
      <c r="AE327" s="71"/>
      <c r="AF327" s="72"/>
      <c r="AG327" s="72"/>
      <c r="AH327" s="128"/>
      <c r="AI327"/>
      <c r="AJ327" s="62"/>
      <c r="AK327" s="62"/>
      <c r="AL327" s="62"/>
      <c r="AM327" s="62"/>
      <c r="AN327" s="62"/>
      <c r="AO327" s="79"/>
    </row>
    <row r="328" spans="1:41" x14ac:dyDescent="0.25">
      <c r="A328" s="24" t="s">
        <v>10</v>
      </c>
      <c r="B328" s="25">
        <v>40</v>
      </c>
      <c r="C328" s="26">
        <f>48*C218</f>
        <v>33.119999999999997</v>
      </c>
      <c r="D328" s="27">
        <f>50%*0.84</f>
        <v>0.42</v>
      </c>
      <c r="E328" s="27">
        <f>30%*0.84</f>
        <v>0.252</v>
      </c>
      <c r="F328" s="27">
        <v>0.2</v>
      </c>
      <c r="G328" s="28">
        <f>$C$328*D328*InfraPinL*TauxC*MasseMol</f>
        <v>11.144548799999999</v>
      </c>
      <c r="H328" s="28">
        <f>$C$328*E328*InfraPinL*TauxC*MasseMol</f>
        <v>6.6867292799999998</v>
      </c>
      <c r="I328" s="28">
        <f>$C$328*F328*InfraPinL*TauxC*MasseMol</f>
        <v>5.3069280000000001</v>
      </c>
      <c r="J328" s="28">
        <f t="array" ref="J328">SUM($G$288:$I$288*DecCours*DecPasse^(B328-$B$288-1)) + SUM($G$313:$I$313*DecCours*DecPasse^(B328-$B$313-1)) + SUM($G$318:$I$318*DecCours*DecPasse^(B328-$B$318-1))+SUM($G$323:$I$323*DecCours*DecPasse^(B328-$B$323-1))</f>
        <v>109.93761383933492</v>
      </c>
      <c r="K328" s="29"/>
      <c r="L328" s="36"/>
      <c r="M328" s="6"/>
      <c r="N328" s="62"/>
      <c r="O328" s="62"/>
      <c r="P328" s="62"/>
      <c r="Q328" s="62"/>
      <c r="R328" s="62"/>
      <c r="S328" s="62"/>
      <c r="T328" s="62"/>
      <c r="U328" s="80"/>
      <c r="V328" s="62"/>
      <c r="W328" s="62"/>
      <c r="X328" s="62"/>
      <c r="Y328" s="62"/>
      <c r="Z328" s="62"/>
      <c r="AA328" s="79"/>
      <c r="AB328"/>
      <c r="AC328" s="56">
        <v>101</v>
      </c>
      <c r="AD328" s="70">
        <f>AD323+($AD$348-$AD$323)/($AC$348-$AC$323)</f>
        <v>539.20000000000005</v>
      </c>
      <c r="AE328" s="71">
        <f>AD328*1.3</f>
        <v>700.96</v>
      </c>
      <c r="AF328" s="72">
        <f>AE328*InfraCed</f>
        <v>252.34559999999999</v>
      </c>
      <c r="AG328" s="72">
        <f>EXP(-1.0587  + 0.8836*LN(AF328) + 0.284)</f>
        <v>61.087942472343123</v>
      </c>
      <c r="AH328" s="128">
        <f>((AF328+AG328)*TauxC + Csol + Clitiere)*MasseMol</f>
        <v>839.2300864726642</v>
      </c>
      <c r="AI328"/>
      <c r="AJ328" s="62"/>
      <c r="AK328" s="62"/>
      <c r="AL328" s="62"/>
      <c r="AM328" s="62"/>
      <c r="AN328" s="62"/>
      <c r="AO328" s="79"/>
    </row>
    <row r="329" spans="1:41" x14ac:dyDescent="0.25">
      <c r="A329" s="24" t="s">
        <v>10</v>
      </c>
      <c r="B329" s="25">
        <v>41</v>
      </c>
      <c r="C329" s="26">
        <v>0</v>
      </c>
      <c r="D329" s="27">
        <v>0</v>
      </c>
      <c r="E329" s="27">
        <v>0</v>
      </c>
      <c r="F329" s="27">
        <v>0</v>
      </c>
      <c r="G329" s="28"/>
      <c r="H329" s="28"/>
      <c r="I329" s="28"/>
      <c r="J329" s="28">
        <f t="array" ref="J329">SUM($G$288:$I$288*DecCours*DecPasse^(B329-$B$288-1)) + SUM($G$313:$I$313*DecCours*DecPasse^(B329-$B$313-1)) + SUM($G$318:$I$318*DecCours*DecPasse^(B329-$B$318-1))+SUM($G$323:$I$323*DecCours*DecPasse^(B329-$B$323-1)) + SUM($G$328:$I$328*DecCours)</f>
        <v>129.00166848693604</v>
      </c>
      <c r="K329" s="29"/>
      <c r="L329" s="36"/>
      <c r="M329" s="6"/>
      <c r="N329" s="62"/>
      <c r="O329" s="62"/>
      <c r="P329" s="62"/>
      <c r="Q329" s="62"/>
      <c r="R329" s="62"/>
      <c r="S329" s="62"/>
      <c r="T329" s="62"/>
      <c r="U329" s="80"/>
      <c r="V329" s="62"/>
      <c r="W329" s="62"/>
      <c r="X329" s="62"/>
      <c r="Y329" s="62"/>
      <c r="Z329" s="62"/>
      <c r="AA329" s="79"/>
      <c r="AB329"/>
      <c r="AC329" s="56"/>
      <c r="AD329" s="70"/>
      <c r="AE329" s="71"/>
      <c r="AF329" s="72"/>
      <c r="AG329" s="72"/>
      <c r="AH329" s="128"/>
      <c r="AI329"/>
      <c r="AJ329" s="62"/>
      <c r="AK329" s="62"/>
      <c r="AL329" s="62"/>
      <c r="AM329" s="62"/>
      <c r="AN329" s="62"/>
      <c r="AO329" s="79"/>
    </row>
    <row r="330" spans="1:41" x14ac:dyDescent="0.25">
      <c r="A330" s="24" t="s">
        <v>10</v>
      </c>
      <c r="B330" s="25">
        <v>42</v>
      </c>
      <c r="C330" s="26">
        <v>0</v>
      </c>
      <c r="D330" s="27">
        <v>0</v>
      </c>
      <c r="E330" s="27">
        <v>0</v>
      </c>
      <c r="F330" s="27">
        <v>0</v>
      </c>
      <c r="G330" s="28"/>
      <c r="H330" s="28"/>
      <c r="I330" s="28"/>
      <c r="J330" s="28">
        <f t="array" ref="J330">SUM($G$288:$I$288*DecCours*DecPasse^(B330-$B$288-1)) + SUM($G$313:$I$313*DecCours*DecPasse^(B330-$B$313-1)) + SUM($G$318:$I$318*DecCours*DecPasse^(B330-$B$318-1))+SUM($G$323:$I$323*DecCours*DecPasse^(B330-$B$323-1)) + SUM($G$328:$I$328*DecCours*DecPasse^(B330-$B$328-1))</f>
        <v>124.31729754911912</v>
      </c>
      <c r="K330" s="29"/>
      <c r="L330" s="36"/>
      <c r="M330" s="6"/>
      <c r="N330" s="62"/>
      <c r="O330" s="62"/>
      <c r="P330" s="62"/>
      <c r="Q330" s="62"/>
      <c r="R330" s="62"/>
      <c r="S330" s="62"/>
      <c r="T330" s="62"/>
      <c r="U330" s="80"/>
      <c r="V330" s="62"/>
      <c r="W330" s="62"/>
      <c r="X330" s="62"/>
      <c r="Y330" s="62"/>
      <c r="Z330" s="62"/>
      <c r="AA330" s="79"/>
      <c r="AB330"/>
      <c r="AC330" s="56"/>
      <c r="AD330" s="70"/>
      <c r="AE330" s="71"/>
      <c r="AF330" s="72"/>
      <c r="AG330" s="72"/>
      <c r="AH330" s="128"/>
      <c r="AI330"/>
      <c r="AJ330" s="62"/>
      <c r="AK330" s="62"/>
      <c r="AL330" s="62"/>
      <c r="AM330" s="62"/>
      <c r="AN330" s="62"/>
      <c r="AO330" s="79"/>
    </row>
    <row r="331" spans="1:41" x14ac:dyDescent="0.25">
      <c r="A331" s="24" t="s">
        <v>10</v>
      </c>
      <c r="B331" s="25">
        <v>43</v>
      </c>
      <c r="C331" s="26">
        <v>0</v>
      </c>
      <c r="D331" s="27">
        <v>0</v>
      </c>
      <c r="E331" s="27">
        <v>0</v>
      </c>
      <c r="F331" s="27">
        <v>0</v>
      </c>
      <c r="G331" s="28"/>
      <c r="H331" s="28"/>
      <c r="I331" s="28"/>
      <c r="J331" s="28">
        <f t="array" ref="J331">SUM($G$288:$I$288*DecCours*DecPasse^(B331-$B$288-1)) + SUM($G$313:$I$313*DecCours*DecPasse^(B331-$B$313-1)) + SUM($G$318:$I$318*DecCours*DecPasse^(B331-$B$318-1))+SUM($G$323:$I$323*DecCours*DecPasse^(B331-$B$323-1)) + SUM($G$328:$I$328*DecCours*DecPasse^(B331-$B$328-1))</f>
        <v>120.27233939264266</v>
      </c>
      <c r="K331" s="29"/>
      <c r="L331" s="36"/>
      <c r="M331" s="6"/>
      <c r="N331" s="62"/>
      <c r="O331" s="62"/>
      <c r="P331" s="62"/>
      <c r="Q331" s="62"/>
      <c r="R331" s="62"/>
      <c r="S331" s="62"/>
      <c r="T331" s="62"/>
      <c r="U331" s="80"/>
      <c r="V331" s="62"/>
      <c r="W331" s="62"/>
      <c r="X331" s="62"/>
      <c r="Y331" s="62"/>
      <c r="Z331" s="62"/>
      <c r="AA331" s="79"/>
      <c r="AB331"/>
      <c r="AC331" s="56"/>
      <c r="AD331" s="70"/>
      <c r="AE331" s="71"/>
      <c r="AF331" s="72"/>
      <c r="AG331" s="72"/>
      <c r="AH331" s="128"/>
      <c r="AI331"/>
      <c r="AJ331" s="62"/>
      <c r="AK331" s="62"/>
      <c r="AL331" s="62"/>
      <c r="AM331" s="62"/>
      <c r="AN331" s="62"/>
      <c r="AO331" s="79"/>
    </row>
    <row r="332" spans="1:41" x14ac:dyDescent="0.25">
      <c r="A332" s="24" t="s">
        <v>10</v>
      </c>
      <c r="B332" s="25">
        <v>44</v>
      </c>
      <c r="C332" s="26">
        <v>0</v>
      </c>
      <c r="D332" s="27">
        <v>0</v>
      </c>
      <c r="E332" s="27">
        <v>0</v>
      </c>
      <c r="F332" s="27">
        <v>0</v>
      </c>
      <c r="G332" s="28"/>
      <c r="H332" s="28"/>
      <c r="I332" s="28"/>
      <c r="J332" s="28">
        <f t="array" ref="J332">SUM($G$288:$I$288*DecCours*DecPasse^(B332-$B$288-1)) + SUM($G$313:$I$313*DecCours*DecPasse^(B332-$B$313-1)) + SUM($G$318:$I$318*DecCours*DecPasse^(B332-$B$318-1))+SUM($G$323:$I$323*DecCours*DecPasse^(B332-$B$323-1)) + SUM($G$328:$I$328*DecCours*DecPasse^(B332-$B$328-1))</f>
        <v>116.69616501294647</v>
      </c>
      <c r="K332" s="29"/>
      <c r="L332" s="36"/>
      <c r="M332" s="6"/>
      <c r="N332" s="62"/>
      <c r="O332" s="62"/>
      <c r="P332" s="62"/>
      <c r="Q332" s="62"/>
      <c r="R332" s="62"/>
      <c r="S332" s="62"/>
      <c r="T332" s="62"/>
      <c r="U332" s="80"/>
      <c r="V332" s="62"/>
      <c r="W332" s="62"/>
      <c r="X332" s="62"/>
      <c r="Y332" s="62"/>
      <c r="Z332" s="62"/>
      <c r="AA332" s="79"/>
      <c r="AB332"/>
      <c r="AC332" s="56"/>
      <c r="AD332" s="70"/>
      <c r="AE332" s="71"/>
      <c r="AF332" s="72"/>
      <c r="AG332" s="72"/>
      <c r="AH332" s="128"/>
      <c r="AI332"/>
      <c r="AJ332" s="62"/>
      <c r="AK332" s="62"/>
      <c r="AL332" s="62"/>
      <c r="AM332" s="62"/>
      <c r="AN332" s="62"/>
      <c r="AO332" s="79"/>
    </row>
    <row r="333" spans="1:41" x14ac:dyDescent="0.25">
      <c r="A333" s="24" t="s">
        <v>10</v>
      </c>
      <c r="B333" s="25">
        <v>45</v>
      </c>
      <c r="C333" s="26">
        <f>57*C218</f>
        <v>39.33</v>
      </c>
      <c r="D333" s="27">
        <f>60%*0.84</f>
        <v>0.504</v>
      </c>
      <c r="E333" s="27">
        <f>20%*0.84</f>
        <v>0.16800000000000001</v>
      </c>
      <c r="F333" s="27">
        <v>0.2</v>
      </c>
      <c r="G333" s="28">
        <f>$C$333*D333*InfraPinL*TauxC*MasseMol</f>
        <v>15.880982039999999</v>
      </c>
      <c r="H333" s="28">
        <f>$C$333*E333*InfraPinL*TauxC*MasseMol</f>
        <v>5.2936606800000003</v>
      </c>
      <c r="I333" s="28">
        <f>$C$333*F333*InfraPinL*TauxC*MasseMol</f>
        <v>6.3019769999999999</v>
      </c>
      <c r="J333" s="28">
        <f t="array" ref="J333">SUM($G$288:$I$288*DecCours*DecPasse^(B333-$B$288-1)) + SUM($G$313:$I$313*DecCours*DecPasse^(B333-$B$313-1)) + SUM($G$318:$I$318*DecCours*DecPasse^(B333-$B$318-1))+SUM($G$323:$I$323*DecCours*DecPasse^(B333-$B$323-1)) + SUM($G$328:$I$328*DecCours*DecPasse^(B333-$B$328-1))</f>
        <v>113.4677324999891</v>
      </c>
      <c r="K333" s="29"/>
      <c r="L333" s="36"/>
      <c r="M333" s="6"/>
      <c r="N333" s="62"/>
      <c r="O333" s="62"/>
      <c r="P333" s="62"/>
      <c r="Q333" s="62"/>
      <c r="R333" s="62"/>
      <c r="S333" s="62"/>
      <c r="T333" s="62"/>
      <c r="U333" s="80"/>
      <c r="V333" s="62"/>
      <c r="W333" s="62"/>
      <c r="X333" s="62"/>
      <c r="Y333" s="62"/>
      <c r="Z333" s="62"/>
      <c r="AA333" s="79"/>
      <c r="AB333"/>
      <c r="AC333" s="56">
        <v>102</v>
      </c>
      <c r="AD333" s="70">
        <f>AD328+($AD$348-$AD$323)/($AC$348-$AC$323)</f>
        <v>549.40000000000009</v>
      </c>
      <c r="AE333" s="71">
        <f>AD333*1.3</f>
        <v>714.22000000000014</v>
      </c>
      <c r="AF333" s="72">
        <f>AE333*InfraCed</f>
        <v>257.11920000000003</v>
      </c>
      <c r="AG333" s="72">
        <f>EXP(-1.0587  + 0.8836*LN(AF333) + 0.284)</f>
        <v>62.107910182723955</v>
      </c>
      <c r="AH333" s="128">
        <f>((AF333+AG333)*TauxC + Csol + Clitiere)*MasseMol</f>
        <v>849.32055023491091</v>
      </c>
      <c r="AI333"/>
      <c r="AJ333" s="62"/>
      <c r="AK333" s="62"/>
      <c r="AL333" s="62"/>
      <c r="AM333" s="62"/>
      <c r="AN333" s="62"/>
      <c r="AO333" s="79"/>
    </row>
    <row r="334" spans="1:41" x14ac:dyDescent="0.25">
      <c r="A334" s="24" t="s">
        <v>10</v>
      </c>
      <c r="B334" s="25">
        <v>46</v>
      </c>
      <c r="C334" s="26">
        <v>0</v>
      </c>
      <c r="D334" s="27">
        <v>0</v>
      </c>
      <c r="E334" s="27">
        <v>0</v>
      </c>
      <c r="F334" s="27">
        <v>0</v>
      </c>
      <c r="G334" s="28"/>
      <c r="H334" s="28"/>
      <c r="I334" s="28"/>
      <c r="J334" s="28">
        <f t="array" ref="J334">SUM($G$288:$I$288*DecCours*DecPasse^(B334-$B$288-1)) + SUM($G$313:$I$313*DecCours*DecPasse^(B334-$B$313-1)) + SUM($G$318:$I$318*DecCours*DecPasse^(B334-$B$318-1))+SUM($G$323:$I$323*DecCours*DecPasse^(B334-$B$323-1)) + SUM($G$328:$I$328*DecCours*DecPasse^(B334-$B$328-1)) + SUM($G$333:$I$333*DecCours)</f>
        <v>136.91497932828992</v>
      </c>
      <c r="K334" s="29"/>
      <c r="L334" s="36"/>
      <c r="M334" s="6"/>
      <c r="N334" s="62"/>
      <c r="O334" s="62"/>
      <c r="P334" s="62"/>
      <c r="Q334" s="62"/>
      <c r="R334" s="62"/>
      <c r="S334" s="62"/>
      <c r="T334" s="62"/>
      <c r="U334" s="80"/>
      <c r="V334" s="62"/>
      <c r="W334" s="62"/>
      <c r="X334" s="62"/>
      <c r="Y334" s="62"/>
      <c r="Z334" s="62"/>
      <c r="AA334" s="79"/>
      <c r="AB334"/>
      <c r="AC334" s="56"/>
      <c r="AD334" s="70"/>
      <c r="AE334" s="71"/>
      <c r="AF334" s="72"/>
      <c r="AG334" s="72"/>
      <c r="AH334" s="128"/>
      <c r="AI334"/>
      <c r="AJ334" s="62"/>
      <c r="AK334" s="62"/>
      <c r="AL334" s="62"/>
      <c r="AM334" s="62"/>
      <c r="AN334" s="62"/>
      <c r="AO334" s="79"/>
    </row>
    <row r="335" spans="1:41" x14ac:dyDescent="0.25">
      <c r="A335" s="24" t="s">
        <v>10</v>
      </c>
      <c r="B335" s="25">
        <v>47</v>
      </c>
      <c r="C335" s="26">
        <v>0</v>
      </c>
      <c r="D335" s="27">
        <v>0</v>
      </c>
      <c r="E335" s="27">
        <v>0</v>
      </c>
      <c r="F335" s="27">
        <v>0</v>
      </c>
      <c r="G335" s="28"/>
      <c r="H335" s="28"/>
      <c r="I335" s="28"/>
      <c r="J335" s="28">
        <f t="array" ref="J335">SUM($G$288:$I$288*DecCours*DecPasse^(B335-$B$288-1)) + SUM($G$313:$I$313*DecCours*DecPasse^(B335-$B$313-1)) + SUM($G$318:$I$318*DecCours*DecPasse^(B335-$B$318-1))+SUM($G$323:$I$323*DecCours*DecPasse^(B335-$B$323-1)) + SUM($G$328:$I$328*DecCours*DecPasse^(B335-$B$328-1)) + SUM($G$333:$I$333*DecCours*DecPasse^(B335-$B$333-1))</f>
        <v>132.36029266936839</v>
      </c>
      <c r="K335" s="29"/>
      <c r="L335" s="36"/>
      <c r="M335" s="6"/>
      <c r="N335" s="62"/>
      <c r="O335" s="62"/>
      <c r="P335" s="62"/>
      <c r="Q335" s="62"/>
      <c r="R335" s="62"/>
      <c r="S335" s="62"/>
      <c r="T335" s="62"/>
      <c r="U335" s="80"/>
      <c r="V335" s="62"/>
      <c r="W335" s="62"/>
      <c r="X335" s="62"/>
      <c r="Y335" s="62"/>
      <c r="Z335" s="62"/>
      <c r="AA335" s="79"/>
      <c r="AB335"/>
      <c r="AC335" s="56"/>
      <c r="AD335" s="70"/>
      <c r="AE335" s="71"/>
      <c r="AF335" s="72"/>
      <c r="AG335" s="72"/>
      <c r="AH335" s="128"/>
      <c r="AI335"/>
      <c r="AJ335" s="62"/>
      <c r="AK335" s="62"/>
      <c r="AL335" s="62"/>
      <c r="AM335" s="62"/>
      <c r="AN335" s="62"/>
      <c r="AO335" s="79"/>
    </row>
    <row r="336" spans="1:41" x14ac:dyDescent="0.25">
      <c r="A336" s="24" t="s">
        <v>10</v>
      </c>
      <c r="B336" s="25">
        <v>48</v>
      </c>
      <c r="C336" s="26">
        <v>0</v>
      </c>
      <c r="D336" s="27">
        <v>0</v>
      </c>
      <c r="E336" s="27">
        <v>0</v>
      </c>
      <c r="F336" s="27">
        <v>0</v>
      </c>
      <c r="G336" s="28"/>
      <c r="H336" s="28"/>
      <c r="I336" s="28"/>
      <c r="J336" s="28">
        <f t="array" ref="J336">SUM($G$288:$I$288*DecCours*DecPasse^(B336-$B$288-1)) + SUM($G$313:$I$313*DecCours*DecPasse^(B336-$B$313-1)) + SUM($G$318:$I$318*DecCours*DecPasse^(B336-$B$318-1))+SUM($G$323:$I$323*DecCours*DecPasse^(B336-$B$323-1)) + SUM($G$328:$I$328*DecCours*DecPasse^(B336-$B$328-1)) + SUM($G$333:$I$333*DecCours*DecPasse^(B336-$B$333-1))</f>
        <v>128.35709017459098</v>
      </c>
      <c r="K336" s="29"/>
      <c r="L336" s="36"/>
      <c r="M336" s="6"/>
      <c r="N336" s="62"/>
      <c r="O336" s="62"/>
      <c r="P336" s="62"/>
      <c r="Q336" s="62"/>
      <c r="R336" s="62"/>
      <c r="S336" s="62"/>
      <c r="T336" s="62"/>
      <c r="U336" s="80"/>
      <c r="V336" s="62"/>
      <c r="W336" s="62"/>
      <c r="X336" s="62"/>
      <c r="Y336" s="62"/>
      <c r="Z336" s="62"/>
      <c r="AA336" s="79"/>
      <c r="AB336"/>
      <c r="AC336" s="56"/>
      <c r="AD336" s="70"/>
      <c r="AE336" s="71"/>
      <c r="AF336" s="72"/>
      <c r="AG336" s="72"/>
      <c r="AH336" s="128"/>
      <c r="AI336"/>
      <c r="AJ336" s="62"/>
      <c r="AK336" s="62"/>
      <c r="AL336" s="62"/>
      <c r="AM336" s="62"/>
      <c r="AN336" s="62"/>
      <c r="AO336" s="79"/>
    </row>
    <row r="337" spans="1:41" x14ac:dyDescent="0.25">
      <c r="A337" s="24" t="s">
        <v>10</v>
      </c>
      <c r="B337" s="25">
        <v>49</v>
      </c>
      <c r="C337" s="26">
        <v>0</v>
      </c>
      <c r="D337" s="27">
        <v>0</v>
      </c>
      <c r="E337" s="27">
        <v>0</v>
      </c>
      <c r="F337" s="27">
        <v>0</v>
      </c>
      <c r="G337" s="28"/>
      <c r="H337" s="28"/>
      <c r="I337" s="28"/>
      <c r="J337" s="28">
        <f t="array" ref="J337">SUM($G$288:$I$288*DecCours*DecPasse^(B337-$B$288-1)) + SUM($G$313:$I$313*DecCours*DecPasse^(B337-$B$313-1)) + SUM($G$318:$I$318*DecCours*DecPasse^(B337-$B$318-1))+SUM($G$323:$I$323*DecCours*DecPasse^(B337-$B$323-1)) + SUM($G$328:$I$328*DecCours*DecPasse^(B337-$B$328-1)) + SUM($G$333:$I$333*DecCours*DecPasse^(B337-$B$333-1))</f>
        <v>124.76152930795389</v>
      </c>
      <c r="K337" s="29"/>
      <c r="L337" s="36"/>
      <c r="M337" s="6"/>
      <c r="N337" s="62"/>
      <c r="O337" s="62"/>
      <c r="P337" s="62"/>
      <c r="Q337" s="62"/>
      <c r="R337" s="62"/>
      <c r="S337" s="62"/>
      <c r="T337" s="62"/>
      <c r="U337" s="80"/>
      <c r="V337" s="62"/>
      <c r="W337" s="62"/>
      <c r="X337" s="62"/>
      <c r="Y337" s="62"/>
      <c r="Z337" s="62"/>
      <c r="AA337" s="79"/>
      <c r="AB337"/>
      <c r="AC337" s="56"/>
      <c r="AD337" s="70"/>
      <c r="AE337" s="71"/>
      <c r="AF337" s="72"/>
      <c r="AG337" s="72"/>
      <c r="AH337" s="128"/>
      <c r="AI337"/>
      <c r="AJ337" s="62"/>
      <c r="AK337" s="62"/>
      <c r="AL337" s="62"/>
      <c r="AM337" s="62"/>
      <c r="AN337" s="62"/>
      <c r="AO337" s="79"/>
    </row>
    <row r="338" spans="1:41" x14ac:dyDescent="0.25">
      <c r="A338" s="24" t="s">
        <v>10</v>
      </c>
      <c r="B338" s="25">
        <v>50</v>
      </c>
      <c r="C338" s="26">
        <f>47*C218</f>
        <v>32.43</v>
      </c>
      <c r="D338" s="27">
        <f>60%*0.84</f>
        <v>0.504</v>
      </c>
      <c r="E338" s="27">
        <f>20%*0.84</f>
        <v>0.16800000000000001</v>
      </c>
      <c r="F338" s="27">
        <v>0.2</v>
      </c>
      <c r="G338" s="28">
        <f>$C$338*D338*InfraPinL*TauxC*MasseMol</f>
        <v>13.094844839999999</v>
      </c>
      <c r="H338" s="28">
        <f>$C$338*E338*InfraPinL*TauxC*MasseMol</f>
        <v>4.3649482800000001</v>
      </c>
      <c r="I338" s="28">
        <f>$C$338*F338*InfraPinL*TauxC*MasseMol</f>
        <v>5.1963670000000004</v>
      </c>
      <c r="J338" s="28">
        <f t="array" ref="J338">SUM($G$288:$I$288*DecCours*DecPasse^(B338-$B$288-1)) + SUM($G$313:$I$313*DecCours*DecPasse^(B338-$B$313-1)) + SUM($G$318:$I$318*DecCours*DecPasse^(B338-$B$318-1))+SUM($G$323:$I$323*DecCours*DecPasse^(B338-$B$323-1)) + SUM($G$328:$I$328*DecCours*DecPasse^(B338-$B$328-1)) + SUM($G$333:$I$333*DecCours*DecPasse^(B338-$B$333-1))</f>
        <v>121.47148734118555</v>
      </c>
      <c r="K338" s="29"/>
      <c r="L338" s="36"/>
      <c r="M338" s="6"/>
      <c r="N338" s="63"/>
      <c r="O338" s="63"/>
      <c r="P338" s="63"/>
      <c r="Q338" s="62"/>
      <c r="R338" s="62"/>
      <c r="S338" s="62"/>
      <c r="T338" s="62"/>
      <c r="U338" s="80"/>
      <c r="V338" s="62"/>
      <c r="W338" s="62"/>
      <c r="X338" s="62"/>
      <c r="Y338" s="62"/>
      <c r="Z338" s="62"/>
      <c r="AA338" s="79"/>
      <c r="AB338"/>
      <c r="AC338" s="56">
        <v>103</v>
      </c>
      <c r="AD338" s="70">
        <f>AD333+($AD$348-$AD$323)/($AC$348-$AC$323)</f>
        <v>559.60000000000014</v>
      </c>
      <c r="AE338" s="71">
        <f>AD338*1.3</f>
        <v>727.48000000000025</v>
      </c>
      <c r="AF338" s="72">
        <f>AE338*InfraCed</f>
        <v>261.89280000000008</v>
      </c>
      <c r="AG338" s="72">
        <f>EXP(-1.0587  + 0.8836*LN(AF338) + 0.284)</f>
        <v>63.125675939750188</v>
      </c>
      <c r="AH338" s="128">
        <f>((AF338+AG338)*TauxC + Csol + Clitiere)*MasseMol</f>
        <v>859.40717892839825</v>
      </c>
      <c r="AI338"/>
      <c r="AJ338" s="62"/>
      <c r="AK338" s="62"/>
      <c r="AL338" s="62"/>
      <c r="AM338" s="62"/>
      <c r="AN338" s="62"/>
      <c r="AO338" s="79"/>
    </row>
    <row r="339" spans="1:41" x14ac:dyDescent="0.25">
      <c r="A339" s="24" t="s">
        <v>10</v>
      </c>
      <c r="B339" s="25">
        <v>51</v>
      </c>
      <c r="C339" s="26">
        <v>0</v>
      </c>
      <c r="D339" s="27">
        <v>0</v>
      </c>
      <c r="E339" s="27">
        <v>0</v>
      </c>
      <c r="F339" s="27">
        <v>0</v>
      </c>
      <c r="G339" s="28"/>
      <c r="H339" s="28"/>
      <c r="I339" s="28"/>
      <c r="J339" s="28">
        <f t="array" ref="J339">SUM($G$288:$I$288*DecCours*DecPasse^(B339-$B$288-1)) + SUM($G$313:$I$313*DecCours*DecPasse^(B339-$B$313-1)) + SUM($G$318:$I$318*DecCours*DecPasse^(B339-$B$318-1))+SUM($G$323:$I$323*DecCours*DecPasse^(B339-$B$323-1)) + SUM($G$328:$I$328*DecCours*DecPasse^(B339-$B$328-1)) + SUM($G$333:$I$333*DecCours*DecPasse^(B339-$B$333-1)) + SUM($G$338:$I$338*DecCours)</f>
        <v>140.19423966903128</v>
      </c>
      <c r="K339" s="29"/>
      <c r="L339" s="36"/>
      <c r="M339" s="6"/>
      <c r="N339" s="63"/>
      <c r="O339" s="63"/>
      <c r="P339" s="63"/>
      <c r="Q339" s="62"/>
      <c r="R339" s="62"/>
      <c r="S339" s="62"/>
      <c r="T339" s="62"/>
      <c r="U339" s="80"/>
      <c r="V339" s="62"/>
      <c r="W339" s="62"/>
      <c r="X339" s="62"/>
      <c r="Y339" s="62"/>
      <c r="Z339" s="62"/>
      <c r="AA339" s="79"/>
      <c r="AB339"/>
      <c r="AC339" s="56"/>
      <c r="AD339" s="70"/>
      <c r="AE339" s="71"/>
      <c r="AF339" s="72"/>
      <c r="AG339" s="72"/>
      <c r="AH339" s="128"/>
      <c r="AI339"/>
      <c r="AJ339" s="62"/>
      <c r="AK339" s="62"/>
      <c r="AL339" s="62"/>
      <c r="AM339" s="62"/>
      <c r="AN339" s="62"/>
      <c r="AO339" s="79"/>
    </row>
    <row r="340" spans="1:41" x14ac:dyDescent="0.25">
      <c r="A340" s="24" t="s">
        <v>10</v>
      </c>
      <c r="B340" s="25">
        <v>52</v>
      </c>
      <c r="C340" s="26">
        <v>0</v>
      </c>
      <c r="D340" s="27">
        <v>0</v>
      </c>
      <c r="E340" s="27">
        <v>0</v>
      </c>
      <c r="F340" s="27">
        <v>0</v>
      </c>
      <c r="G340" s="28"/>
      <c r="H340" s="28"/>
      <c r="I340" s="28"/>
      <c r="J340" s="28">
        <f t="array" ref="J340">SUM($G$288:$I$288*DecCours*DecPasse^(B340-$B$288-1)) + SUM($G$313:$I$313*DecCours*DecPasse^(B340-$B$313-1)) + SUM($G$318:$I$318*DecCours*DecPasse^(B340-$B$318-1))+SUM($G$323:$I$323*DecCours*DecPasse^(B340-$B$323-1)) + SUM($G$328:$I$328*DecCours*DecPasse^(B340-$B$328-1)) + SUM($G$333:$I$333*DecCours*DecPasse^(B340-$B$333-1)) + SUM($G$338:$I$338*DecCours*DecPasse^(B340-$B$338-1))</f>
        <v>135.84343107864092</v>
      </c>
      <c r="K340" s="29"/>
      <c r="L340" s="36"/>
      <c r="M340" s="6"/>
      <c r="N340" s="63"/>
      <c r="O340" s="63"/>
      <c r="P340" s="63"/>
      <c r="Q340" s="62"/>
      <c r="R340" s="62"/>
      <c r="S340" s="62"/>
      <c r="T340" s="62"/>
      <c r="U340" s="80"/>
      <c r="V340" s="62"/>
      <c r="W340" s="62"/>
      <c r="X340" s="62"/>
      <c r="Y340" s="62"/>
      <c r="Z340" s="62"/>
      <c r="AA340" s="79"/>
      <c r="AB340"/>
      <c r="AC340" s="56"/>
      <c r="AD340" s="70"/>
      <c r="AE340" s="71"/>
      <c r="AF340" s="72"/>
      <c r="AG340" s="72"/>
      <c r="AH340" s="128"/>
      <c r="AI340"/>
      <c r="AJ340" s="62"/>
      <c r="AK340" s="62"/>
      <c r="AL340" s="62"/>
      <c r="AM340" s="62"/>
      <c r="AN340" s="62"/>
      <c r="AO340" s="79"/>
    </row>
    <row r="341" spans="1:41" x14ac:dyDescent="0.25">
      <c r="A341" s="24" t="s">
        <v>10</v>
      </c>
      <c r="B341" s="25">
        <v>53</v>
      </c>
      <c r="C341" s="26">
        <v>0</v>
      </c>
      <c r="D341" s="27">
        <v>0</v>
      </c>
      <c r="E341" s="27">
        <v>0</v>
      </c>
      <c r="F341" s="27">
        <v>0</v>
      </c>
      <c r="G341" s="28"/>
      <c r="H341" s="28"/>
      <c r="I341" s="28"/>
      <c r="J341" s="28">
        <f t="array" ref="J341">SUM($G$288:$I$288*DecCours*DecPasse^(B341-$B$288-1)) + SUM($G$313:$I$313*DecCours*DecPasse^(B341-$B$313-1)) + SUM($G$318:$I$318*DecCours*DecPasse^(B341-$B$318-1))+SUM($G$323:$I$323*DecCours*DecPasse^(B341-$B$323-1)) + SUM($G$328:$I$328*DecCours*DecPasse^(B341-$B$328-1)) + SUM($G$333:$I$333*DecCours*DecPasse^(B341-$B$333-1)) + SUM($G$338:$I$338*DecCours*DecPasse^(B341-$B$338-1))</f>
        <v>131.96210040074203</v>
      </c>
      <c r="K341" s="29"/>
      <c r="L341" s="36"/>
      <c r="M341" s="6"/>
      <c r="N341" s="63"/>
      <c r="O341" s="63"/>
      <c r="P341" s="63"/>
      <c r="Q341" s="62"/>
      <c r="R341" s="62"/>
      <c r="S341" s="62"/>
      <c r="T341" s="62"/>
      <c r="U341" s="80"/>
      <c r="V341" s="62"/>
      <c r="W341" s="62"/>
      <c r="X341" s="62"/>
      <c r="Y341" s="62"/>
      <c r="Z341" s="62"/>
      <c r="AA341" s="79"/>
      <c r="AB341"/>
      <c r="AC341" s="56"/>
      <c r="AD341" s="70"/>
      <c r="AE341" s="71"/>
      <c r="AF341" s="72"/>
      <c r="AG341" s="72"/>
      <c r="AH341" s="128"/>
      <c r="AI341"/>
      <c r="AJ341" s="62"/>
      <c r="AK341" s="62"/>
      <c r="AL341" s="62"/>
      <c r="AM341" s="62"/>
      <c r="AN341" s="62"/>
      <c r="AO341" s="79"/>
    </row>
    <row r="342" spans="1:41" x14ac:dyDescent="0.25">
      <c r="A342" s="24" t="s">
        <v>10</v>
      </c>
      <c r="B342" s="25">
        <v>54</v>
      </c>
      <c r="C342" s="26">
        <v>0</v>
      </c>
      <c r="D342" s="27">
        <v>0</v>
      </c>
      <c r="E342" s="27">
        <v>0</v>
      </c>
      <c r="F342" s="27">
        <v>0</v>
      </c>
      <c r="G342" s="28"/>
      <c r="H342" s="28"/>
      <c r="I342" s="28"/>
      <c r="J342" s="28">
        <f t="array" ref="J342">SUM($G$288:$I$288*DecCours*DecPasse^(B342-$B$288-1)) + SUM($G$313:$I$313*DecCours*DecPasse^(B342-$B$313-1)) + SUM($G$318:$I$318*DecCours*DecPasse^(B342-$B$318-1))+SUM($G$323:$I$323*DecCours*DecPasse^(B342-$B$323-1)) + SUM($G$328:$I$328*DecCours*DecPasse^(B342-$B$328-1)) + SUM($G$333:$I$333*DecCours*DecPasse^(B342-$B$333-1)) + SUM($G$338:$I$338*DecCours*DecPasse^(B342-$B$338-1))</f>
        <v>128.4308465227769</v>
      </c>
      <c r="K342" s="29"/>
      <c r="L342" s="36"/>
      <c r="M342" s="6"/>
      <c r="N342" s="63"/>
      <c r="O342" s="63"/>
      <c r="P342" s="63"/>
      <c r="Q342" s="62"/>
      <c r="R342" s="62"/>
      <c r="S342" s="62"/>
      <c r="T342" s="62"/>
      <c r="U342" s="80"/>
      <c r="V342" s="62"/>
      <c r="W342" s="62"/>
      <c r="X342" s="62"/>
      <c r="Y342" s="62"/>
      <c r="Z342" s="62"/>
      <c r="AA342" s="79"/>
      <c r="AB342"/>
      <c r="AC342" s="56"/>
      <c r="AD342" s="70"/>
      <c r="AE342" s="71"/>
      <c r="AF342" s="72"/>
      <c r="AG342" s="72"/>
      <c r="AH342" s="128"/>
      <c r="AI342"/>
      <c r="AJ342" s="62"/>
      <c r="AK342" s="62"/>
      <c r="AL342" s="62"/>
      <c r="AM342" s="62"/>
      <c r="AN342" s="62"/>
      <c r="AO342" s="79"/>
    </row>
    <row r="343" spans="1:41" x14ac:dyDescent="0.25">
      <c r="A343" s="24" t="s">
        <v>10</v>
      </c>
      <c r="B343" s="25">
        <v>55</v>
      </c>
      <c r="C343" s="26">
        <f>48*C218</f>
        <v>33.119999999999997</v>
      </c>
      <c r="D343" s="27">
        <f>60%*0.84</f>
        <v>0.504</v>
      </c>
      <c r="E343" s="27">
        <f>20%*0.84</f>
        <v>0.16800000000000001</v>
      </c>
      <c r="F343" s="27">
        <v>0.2</v>
      </c>
      <c r="G343" s="28">
        <f>$C$343*D343*InfraPinL*TauxC*MasseMol</f>
        <v>13.37345856</v>
      </c>
      <c r="H343" s="28">
        <f>$C$343*E343*InfraPinL*TauxC*MasseMol</f>
        <v>4.4578195200000001</v>
      </c>
      <c r="I343" s="28">
        <f>$C$343*F343*InfraPinL*TauxC*MasseMol</f>
        <v>5.3069280000000001</v>
      </c>
      <c r="J343" s="28">
        <f t="array" ref="J343">SUM($G$288:$I$288*DecCours*DecPasse^(B343-$B$288-1)) + SUM($G$313:$I$313*DecCours*DecPasse^(B343-$B$313-1)) + SUM($G$318:$I$318*DecCours*DecPasse^(B343-$B$318-1))+SUM($G$323:$I$323*DecCours*DecPasse^(B343-$B$323-1)) + SUM($G$328:$I$328*DecCours*DecPasse^(B343-$B$328-1)) + SUM($G$333:$I$333*DecCours*DecPasse^(B343-$B$333-1)) + SUM($G$338:$I$338*DecCours*DecPasse^(B343-$B$338-1))</f>
        <v>125.16482153487557</v>
      </c>
      <c r="K343" s="29"/>
      <c r="L343" s="36"/>
      <c r="M343" s="6"/>
      <c r="N343" s="63"/>
      <c r="O343" s="63"/>
      <c r="P343" s="63"/>
      <c r="Q343" s="62"/>
      <c r="R343" s="62"/>
      <c r="S343" s="62"/>
      <c r="T343" s="62"/>
      <c r="U343" s="80"/>
      <c r="V343" s="62"/>
      <c r="W343" s="62"/>
      <c r="X343" s="62"/>
      <c r="Y343" s="62"/>
      <c r="Z343" s="62"/>
      <c r="AA343" s="79"/>
      <c r="AB343"/>
      <c r="AC343" s="56">
        <v>104</v>
      </c>
      <c r="AD343" s="70">
        <f>AD338+($AD$348-$AD$323)/($AC$348-$AC$323)</f>
        <v>569.80000000000018</v>
      </c>
      <c r="AE343" s="71">
        <f>AD343*1.3</f>
        <v>740.74000000000024</v>
      </c>
      <c r="AF343" s="72">
        <f>AE343*InfraCed</f>
        <v>266.66640000000007</v>
      </c>
      <c r="AG343" s="72">
        <f>EXP(-1.0587  + 0.8836*LN(AF343) + 0.284)</f>
        <v>64.141284508389361</v>
      </c>
      <c r="AH343" s="128">
        <f>((AF343+AG343)*TauxC + Csol + Clitiere)*MasseMol</f>
        <v>869.49005051877828</v>
      </c>
      <c r="AI343"/>
      <c r="AJ343" s="62"/>
      <c r="AK343" s="62"/>
      <c r="AL343" s="62"/>
      <c r="AM343" s="62"/>
      <c r="AN343" s="62"/>
      <c r="AO343" s="79"/>
    </row>
    <row r="344" spans="1:41" x14ac:dyDescent="0.25">
      <c r="A344" s="24" t="s">
        <v>10</v>
      </c>
      <c r="B344" s="25">
        <v>56</v>
      </c>
      <c r="C344" s="26">
        <v>0</v>
      </c>
      <c r="D344" s="27">
        <v>0</v>
      </c>
      <c r="E344" s="27">
        <v>0</v>
      </c>
      <c r="F344" s="27">
        <v>0</v>
      </c>
      <c r="G344" s="28"/>
      <c r="H344" s="28"/>
      <c r="I344" s="28"/>
      <c r="J344" s="28">
        <f t="array" ref="J344">SUM($G$288:$I$288*DecCours*DecPasse^(B344-$B$288-1)) + SUM($G$313:$I$313*DecCours*DecPasse^(B344-$B$313-1)) + SUM($G$318:$I$318*DecCours*DecPasse^(B344-$B$318-1))+SUM($G$323:$I$323*DecCours*DecPasse^(B344-$B$323-1)) + SUM($G$328:$I$328*DecCours*DecPasse^(B344-$B$328-1)) + SUM($G$333:$I$333*DecCours*DecPasse^(B344-$B$333-1)) + SUM($G$338:$I$338*DecCours*DecPasse^(B344-$B$338-1)) + SUM($G$343:$I$343*DecCours)</f>
        <v>144.346910110127</v>
      </c>
      <c r="K344" s="29"/>
      <c r="L344" s="36"/>
      <c r="M344" s="6"/>
      <c r="N344" s="63"/>
      <c r="O344" s="63"/>
      <c r="P344" s="63"/>
      <c r="Q344" s="62"/>
      <c r="R344" s="62"/>
      <c r="S344" s="62"/>
      <c r="T344" s="62"/>
      <c r="U344" s="80"/>
      <c r="V344" s="62"/>
      <c r="W344" s="62"/>
      <c r="X344" s="62"/>
      <c r="Y344" s="62"/>
      <c r="Z344" s="62"/>
      <c r="AA344" s="79"/>
      <c r="AB344"/>
      <c r="AC344" s="160"/>
      <c r="AD344" s="161"/>
      <c r="AE344" s="71"/>
      <c r="AF344" s="72"/>
      <c r="AG344" s="72"/>
      <c r="AH344" s="128"/>
      <c r="AI344"/>
      <c r="AJ344" s="62"/>
      <c r="AK344" s="62"/>
      <c r="AL344" s="62"/>
      <c r="AM344" s="62"/>
      <c r="AN344" s="62"/>
      <c r="AO344" s="79"/>
    </row>
    <row r="345" spans="1:41" x14ac:dyDescent="0.25">
      <c r="A345" s="24" t="s">
        <v>10</v>
      </c>
      <c r="B345" s="25">
        <v>57</v>
      </c>
      <c r="C345" s="26">
        <v>0</v>
      </c>
      <c r="D345" s="27">
        <v>0</v>
      </c>
      <c r="E345" s="27">
        <v>0</v>
      </c>
      <c r="F345" s="27">
        <v>0</v>
      </c>
      <c r="G345" s="28"/>
      <c r="H345" s="28"/>
      <c r="I345" s="28"/>
      <c r="J345" s="28">
        <f t="array" ref="J345">SUM($G$288:$I$288*DecCours*DecPasse^(B345-$B$288-1)) + SUM($G$313:$I$313*DecCours*DecPasse^(B345-$B$313-1)) + SUM($G$318:$I$318*DecCours*DecPasse^(B345-$B$318-1))+SUM($G$323:$I$323*DecCours*DecPasse^(B345-$B$323-1)) + SUM($G$328:$I$328*DecCours*DecPasse^(B345-$B$328-1)) + SUM($G$333:$I$333*DecCours*DecPasse^(B345-$B$333-1)) + SUM($G$338:$I$338*DecCours*DecPasse^(B345-$B$338-1)) + SUM($G$343:$I$343*DecCours*DecPasse^(B345-$B$343-1))</f>
        <v>139.94119799843372</v>
      </c>
      <c r="K345" s="29"/>
      <c r="L345" s="36"/>
      <c r="M345" s="6"/>
      <c r="N345" s="63"/>
      <c r="O345" s="63"/>
      <c r="P345" s="63"/>
      <c r="Q345" s="62"/>
      <c r="R345" s="62"/>
      <c r="S345" s="62"/>
      <c r="T345" s="62"/>
      <c r="U345" s="80"/>
      <c r="V345" s="62"/>
      <c r="W345" s="62"/>
      <c r="X345" s="62"/>
      <c r="Y345" s="62"/>
      <c r="Z345" s="62"/>
      <c r="AA345" s="79"/>
      <c r="AB345"/>
      <c r="AC345" s="160"/>
      <c r="AD345" s="161"/>
      <c r="AE345" s="71"/>
      <c r="AF345" s="72"/>
      <c r="AG345" s="72"/>
      <c r="AH345" s="128"/>
      <c r="AI345"/>
      <c r="AJ345" s="62"/>
      <c r="AK345" s="62"/>
      <c r="AL345" s="62"/>
      <c r="AM345" s="62"/>
      <c r="AN345" s="62"/>
      <c r="AO345" s="79"/>
    </row>
    <row r="346" spans="1:41" x14ac:dyDescent="0.25">
      <c r="A346" s="24" t="s">
        <v>10</v>
      </c>
      <c r="B346" s="25">
        <v>58</v>
      </c>
      <c r="C346" s="26">
        <v>0</v>
      </c>
      <c r="D346" s="27">
        <v>0</v>
      </c>
      <c r="E346" s="27">
        <v>0</v>
      </c>
      <c r="F346" s="27">
        <v>0</v>
      </c>
      <c r="G346" s="28"/>
      <c r="H346" s="28"/>
      <c r="I346" s="28"/>
      <c r="J346" s="28">
        <f t="array" ref="J346">SUM($G$288:$I$288*DecCours*DecPasse^(B346-$B$288-1)) + SUM($G$313:$I$313*DecCours*DecPasse^(B346-$B$313-1)) + SUM($G$318:$I$318*DecCours*DecPasse^(B346-$B$318-1))+SUM($G$323:$I$323*DecCours*DecPasse^(B346-$B$323-1)) + SUM($G$328:$I$328*DecCours*DecPasse^(B346-$B$328-1)) + SUM($G$333:$I$333*DecCours*DecPasse^(B346-$B$333-1)) + SUM($G$338:$I$338*DecCours*DecPasse^(B346-$B$338-1)) + SUM($G$343:$I$343*DecCours*DecPasse^(B346-$B$343-1))</f>
        <v>135.99851711864088</v>
      </c>
      <c r="K346" s="29"/>
      <c r="L346" s="36"/>
      <c r="M346" s="6"/>
      <c r="N346" s="63"/>
      <c r="O346" s="63"/>
      <c r="P346" s="63"/>
      <c r="Q346" s="62"/>
      <c r="R346" s="62"/>
      <c r="S346" s="62"/>
      <c r="T346" s="62"/>
      <c r="U346" s="80"/>
      <c r="V346" s="62"/>
      <c r="W346" s="62"/>
      <c r="X346" s="62"/>
      <c r="Y346" s="62"/>
      <c r="Z346" s="62"/>
      <c r="AA346" s="79"/>
      <c r="AB346"/>
      <c r="AC346" s="160"/>
      <c r="AD346" s="161"/>
      <c r="AE346" s="71"/>
      <c r="AF346" s="72"/>
      <c r="AG346" s="72"/>
      <c r="AH346" s="128"/>
      <c r="AI346"/>
      <c r="AJ346" s="62"/>
      <c r="AK346" s="62"/>
      <c r="AL346" s="62"/>
      <c r="AM346" s="62"/>
      <c r="AN346" s="62"/>
      <c r="AO346" s="79"/>
    </row>
    <row r="347" spans="1:41" x14ac:dyDescent="0.25">
      <c r="A347" s="24" t="s">
        <v>10</v>
      </c>
      <c r="B347" s="25">
        <v>59</v>
      </c>
      <c r="C347" s="26">
        <v>0</v>
      </c>
      <c r="D347" s="27">
        <v>0</v>
      </c>
      <c r="E347" s="27">
        <v>0</v>
      </c>
      <c r="F347" s="27">
        <v>0</v>
      </c>
      <c r="G347" s="28"/>
      <c r="H347" s="28"/>
      <c r="I347" s="28"/>
      <c r="J347" s="28">
        <f t="array" ref="J347">SUM($G$288:$I$288*DecCours*DecPasse^(B347-$B$288-1)) + SUM($G$313:$I$313*DecCours*DecPasse^(B347-$B$313-1)) + SUM($G$318:$I$318*DecCours*DecPasse^(B347-$B$318-1))+SUM($G$323:$I$323*DecCours*DecPasse^(B347-$B$323-1)) + SUM($G$328:$I$328*DecCours*DecPasse^(B347-$B$328-1)) + SUM($G$333:$I$333*DecCours*DecPasse^(B347-$B$333-1)) + SUM($G$338:$I$338*DecCours*DecPasse^(B347-$B$338-1)) + SUM($G$343:$I$343*DecCours*DecPasse^(B347-$B$343-1))</f>
        <v>132.40178955786016</v>
      </c>
      <c r="K347" s="29"/>
      <c r="L347" s="36"/>
      <c r="M347" s="6"/>
      <c r="N347" s="63"/>
      <c r="O347" s="63"/>
      <c r="P347" s="63"/>
      <c r="Q347" s="62"/>
      <c r="R347" s="62"/>
      <c r="S347" s="62"/>
      <c r="T347" s="62"/>
      <c r="U347" s="80"/>
      <c r="V347" s="62"/>
      <c r="W347" s="62"/>
      <c r="X347" s="62"/>
      <c r="Y347" s="62"/>
      <c r="Z347" s="62"/>
      <c r="AA347" s="79"/>
      <c r="AB347"/>
      <c r="AC347" s="160"/>
      <c r="AD347" s="161"/>
      <c r="AE347" s="71"/>
      <c r="AF347" s="72"/>
      <c r="AG347" s="72"/>
      <c r="AH347" s="128"/>
      <c r="AI347"/>
      <c r="AJ347" s="62"/>
      <c r="AK347" s="62"/>
      <c r="AL347" s="62"/>
      <c r="AM347" s="62"/>
      <c r="AN347" s="62"/>
      <c r="AO347" s="79"/>
    </row>
    <row r="348" spans="1:41" ht="16.5" thickBot="1" x14ac:dyDescent="0.3">
      <c r="A348" s="24" t="s">
        <v>10</v>
      </c>
      <c r="B348" s="25">
        <v>60</v>
      </c>
      <c r="C348" s="26">
        <f>32*C218</f>
        <v>22.08</v>
      </c>
      <c r="D348" s="27">
        <f>60%*0.84</f>
        <v>0.504</v>
      </c>
      <c r="E348" s="27">
        <f>20%*0.84</f>
        <v>0.16800000000000001</v>
      </c>
      <c r="F348" s="27">
        <v>0.2</v>
      </c>
      <c r="G348" s="28">
        <f>$C$348*D348*InfraPinL*TauxC*MasseMol</f>
        <v>8.9156390399999985</v>
      </c>
      <c r="H348" s="28">
        <f>$C$348*E348*InfraPinL*TauxC*MasseMol</f>
        <v>2.9718796799999998</v>
      </c>
      <c r="I348" s="28">
        <f>$C$348*F348*InfraPinL*TauxC*MasseMol</f>
        <v>3.5379519999999993</v>
      </c>
      <c r="J348" s="28">
        <f t="array" ref="J348">SUM($G$288:$I$288*DecCours*DecPasse^(B348-$B$288-1)) + SUM($G$313:$I$313*DecCours*DecPasse^(B348-$B$313-1)) + SUM($G$318:$I$318*DecCours*DecPasse^(B348-$B$318-1))+SUM($G$323:$I$323*DecCours*DecPasse^(B348-$B$323-1)) + SUM($G$328:$I$328*DecCours*DecPasse^(B348-$B$328-1)) + SUM($G$333:$I$333*DecCours*DecPasse^(B348-$B$333-1)) + SUM($G$338:$I$338*DecCours*DecPasse^(B348-$B$338-1)) + SUM($G$343:$I$343*DecCours*DecPasse^(B348-$B$343-1))</f>
        <v>129.06780181049814</v>
      </c>
      <c r="K348" s="29"/>
      <c r="L348" s="36"/>
      <c r="M348" s="6"/>
      <c r="N348" s="63"/>
      <c r="O348" s="63"/>
      <c r="P348" s="63"/>
      <c r="Q348" s="62"/>
      <c r="R348" s="62"/>
      <c r="S348" s="62"/>
      <c r="T348" s="62"/>
      <c r="U348" s="80"/>
      <c r="V348" s="62"/>
      <c r="W348" s="62"/>
      <c r="X348" s="62"/>
      <c r="Y348" s="62"/>
      <c r="Z348" s="62"/>
      <c r="AA348" s="79"/>
      <c r="AB348"/>
      <c r="AC348" s="60">
        <v>105</v>
      </c>
      <c r="AD348" s="75">
        <v>580</v>
      </c>
      <c r="AE348" s="71">
        <f>AD348*1.3</f>
        <v>754</v>
      </c>
      <c r="AF348" s="72">
        <f>AE348*InfraCed</f>
        <v>271.44</v>
      </c>
      <c r="AG348" s="72">
        <f>EXP(-1.0587  + 0.8836*LN(AF348) + 0.284)</f>
        <v>65.154778959151173</v>
      </c>
      <c r="AH348" s="128">
        <f>((AF348+AG348)*TauxC + Csol + Clitiere)*MasseMol</f>
        <v>879.56924002052153</v>
      </c>
      <c r="AI348"/>
      <c r="AJ348" s="62"/>
      <c r="AK348" s="62"/>
      <c r="AL348" s="62"/>
      <c r="AM348" s="62"/>
      <c r="AN348" s="62"/>
      <c r="AO348" s="79"/>
    </row>
    <row r="349" spans="1:41" x14ac:dyDescent="0.25">
      <c r="A349" s="24" t="s">
        <v>10</v>
      </c>
      <c r="B349" s="25">
        <v>61</v>
      </c>
      <c r="C349" s="26">
        <v>0</v>
      </c>
      <c r="D349" s="27">
        <v>0</v>
      </c>
      <c r="E349" s="27">
        <v>0</v>
      </c>
      <c r="F349" s="27">
        <v>0</v>
      </c>
      <c r="G349" s="28"/>
      <c r="H349" s="28"/>
      <c r="I349" s="28"/>
      <c r="J349" s="28">
        <f t="array" ref="J349">SUM($G$288:$I$288*DecCours*DecPasse^(B349-$B$288-1)) + SUM($G$313:$I$313*DecCours*DecPasse^(B349-$B$313-1)) + SUM($G$318:$I$318*DecCours*DecPasse^(B349-$B$318-1))+SUM($G$323:$I$323*DecCours*DecPasse^(B349-$B$323-1)) + SUM($G$328:$I$328*DecCours*DecPasse^(B349-$B$328-1)) + SUM($G$333:$I$333*DecCours*DecPasse^(B349-$B$333-1)) + SUM($G$338:$I$338*DecCours*DecPasse^(B349-$B$338-1)) + SUM($G$343:$I$343*DecCours*DecPasse^(B349-$B$343-1)) + SUM($G$348:$I$348*DecCours)</f>
        <v>140.76615611603853</v>
      </c>
      <c r="K349" s="29"/>
      <c r="L349" s="36"/>
      <c r="M349" s="6"/>
      <c r="N349" s="63"/>
      <c r="O349" s="63"/>
      <c r="P349" s="63"/>
      <c r="Q349" s="62"/>
      <c r="R349" s="62"/>
      <c r="S349" s="62"/>
      <c r="T349" s="62"/>
      <c r="U349" s="80"/>
      <c r="V349" s="62"/>
      <c r="W349" s="62"/>
      <c r="X349" s="62"/>
      <c r="Y349" s="62"/>
      <c r="Z349" s="62"/>
      <c r="AA349" s="79"/>
      <c r="AB349"/>
      <c r="AC349" s="63"/>
      <c r="AD349" s="63"/>
      <c r="AE349" s="63"/>
      <c r="AF349" s="63"/>
      <c r="AG349" s="63"/>
      <c r="AH349" s="141"/>
      <c r="AI349"/>
      <c r="AJ349" s="62"/>
      <c r="AK349" s="62"/>
      <c r="AL349" s="62"/>
      <c r="AM349" s="62"/>
      <c r="AN349" s="62"/>
      <c r="AO349" s="79"/>
    </row>
    <row r="350" spans="1:41" x14ac:dyDescent="0.25">
      <c r="A350" s="24" t="s">
        <v>10</v>
      </c>
      <c r="B350" s="25">
        <v>62</v>
      </c>
      <c r="C350" s="26">
        <v>0</v>
      </c>
      <c r="D350" s="27">
        <v>0</v>
      </c>
      <c r="E350" s="27">
        <v>0</v>
      </c>
      <c r="F350" s="27">
        <v>0</v>
      </c>
      <c r="G350" s="28"/>
      <c r="H350" s="28"/>
      <c r="I350" s="28"/>
      <c r="J350" s="28">
        <f t="array" ref="J350">SUM($G$288:$I$288*DecCours*DecPasse^(B350-$B$288-1)) + SUM($G$313:$I$313*DecCours*DecPasse^(B350-$B$313-1)) + SUM($G$318:$I$318*DecCours*DecPasse^(B350-$B$318-1))+SUM($G$323:$I$323*DecCours*DecPasse^(B350-$B$323-1)) + SUM($G$328:$I$328*DecCours*DecPasse^(B350-$B$328-1)) + SUM($G$333:$I$333*DecCours*DecPasse^(B350-$B$333-1)) + SUM($G$338:$I$338*DecCours*DecPasse^(B350-$B$338-1)) + SUM($G$343:$I$343*DecCours*DecPasse^(B350-$B$343-1)) + SUM($G$348:$I$348*DecCours*DecPasse^(B350-$B$348-1))</f>
        <v>136.79267574739993</v>
      </c>
      <c r="K350" s="29"/>
      <c r="L350" s="36"/>
      <c r="M350" s="6"/>
      <c r="N350" s="63"/>
      <c r="O350" s="63"/>
      <c r="P350" s="63"/>
      <c r="Q350" s="62"/>
      <c r="R350" s="62"/>
      <c r="S350" s="62"/>
      <c r="T350" s="62"/>
      <c r="U350" s="80"/>
      <c r="V350" s="62"/>
      <c r="W350" s="62"/>
      <c r="X350" s="62"/>
      <c r="Y350" s="62"/>
      <c r="Z350" s="62"/>
      <c r="AA350" s="79"/>
      <c r="AB350"/>
      <c r="AC350" s="63"/>
      <c r="AD350" s="63"/>
      <c r="AE350" s="63"/>
      <c r="AF350" s="63"/>
      <c r="AG350" s="63"/>
      <c r="AH350" s="141"/>
      <c r="AI350"/>
      <c r="AJ350" s="62"/>
      <c r="AK350" s="62"/>
      <c r="AL350" s="62"/>
      <c r="AM350" s="62"/>
      <c r="AN350" s="62"/>
      <c r="AO350" s="79"/>
    </row>
    <row r="351" spans="1:41" x14ac:dyDescent="0.25">
      <c r="A351" s="24" t="s">
        <v>10</v>
      </c>
      <c r="B351" s="25">
        <v>63</v>
      </c>
      <c r="C351" s="26">
        <v>0</v>
      </c>
      <c r="D351" s="27">
        <v>0</v>
      </c>
      <c r="E351" s="27">
        <v>0</v>
      </c>
      <c r="F351" s="27">
        <v>0</v>
      </c>
      <c r="G351" s="28"/>
      <c r="H351" s="28"/>
      <c r="I351" s="28"/>
      <c r="J351" s="28">
        <f t="array" ref="J351">SUM($G$288:$I$288*DecCours*DecPasse^(B351-$B$288-1)) + SUM($G$313:$I$313*DecCours*DecPasse^(B351-$B$313-1)) + SUM($G$318:$I$318*DecCours*DecPasse^(B351-$B$318-1))+SUM($G$323:$I$323*DecCours*DecPasse^(B351-$B$323-1)) + SUM($G$328:$I$328*DecCours*DecPasse^(B351-$B$328-1)) + SUM($G$333:$I$333*DecCours*DecPasse^(B351-$B$333-1)) + SUM($G$338:$I$338*DecCours*DecPasse^(B351-$B$338-1)) + SUM($G$343:$I$343*DecCours*DecPasse^(B351-$B$343-1)) + SUM($G$348:$I$348*DecCours*DecPasse^(B351-$B$348-1))</f>
        <v>133.17151747348245</v>
      </c>
      <c r="K351" s="29"/>
      <c r="L351" s="36"/>
      <c r="M351" s="6"/>
      <c r="N351" s="63"/>
      <c r="O351" s="63"/>
      <c r="P351" s="63"/>
      <c r="Q351" s="62"/>
      <c r="R351" s="62"/>
      <c r="S351" s="62"/>
      <c r="T351" s="62"/>
      <c r="U351" s="80"/>
      <c r="V351" s="62"/>
      <c r="W351" s="62"/>
      <c r="X351" s="62"/>
      <c r="Y351" s="62"/>
      <c r="Z351" s="62"/>
      <c r="AA351" s="79"/>
      <c r="AB351"/>
      <c r="AC351" s="63"/>
      <c r="AD351" s="63"/>
      <c r="AE351" s="63"/>
      <c r="AF351" s="63"/>
      <c r="AG351" s="63"/>
      <c r="AH351" s="141"/>
      <c r="AI351"/>
      <c r="AJ351" s="62"/>
      <c r="AK351" s="62"/>
      <c r="AL351" s="62"/>
      <c r="AM351" s="62"/>
      <c r="AN351" s="62"/>
      <c r="AO351" s="79"/>
    </row>
    <row r="352" spans="1:41" x14ac:dyDescent="0.25">
      <c r="A352" s="24" t="s">
        <v>10</v>
      </c>
      <c r="B352" s="25">
        <v>64</v>
      </c>
      <c r="C352" s="26">
        <v>0</v>
      </c>
      <c r="D352" s="27">
        <v>0</v>
      </c>
      <c r="E352" s="27">
        <v>0</v>
      </c>
      <c r="F352" s="27">
        <v>0</v>
      </c>
      <c r="G352" s="28"/>
      <c r="H352" s="28"/>
      <c r="I352" s="28"/>
      <c r="J352" s="28">
        <f t="array" ref="J352">SUM($G$288:$I$288*DecCours*DecPasse^(B352-$B$288-1)) + SUM($G$313:$I$313*DecCours*DecPasse^(B352-$B$313-1)) + SUM($G$318:$I$318*DecCours*DecPasse^(B352-$B$318-1))+SUM($G$323:$I$323*DecCours*DecPasse^(B352-$B$323-1)) + SUM($G$328:$I$328*DecCours*DecPasse^(B352-$B$328-1)) + SUM($G$333:$I$333*DecCours*DecPasse^(B352-$B$333-1)) + SUM($G$338:$I$338*DecCours*DecPasse^(B352-$B$338-1)) + SUM($G$343:$I$343*DecCours*DecPasse^(B352-$B$343-1)) + SUM($G$348:$I$348*DecCours*DecPasse^(B352-$B$348-1))</f>
        <v>129.81761390075752</v>
      </c>
      <c r="K352" s="29"/>
      <c r="L352" s="36"/>
      <c r="M352" s="6"/>
      <c r="N352" s="63"/>
      <c r="O352" s="63"/>
      <c r="P352" s="63"/>
      <c r="Q352" s="62"/>
      <c r="R352" s="62"/>
      <c r="S352" s="62"/>
      <c r="T352" s="62"/>
      <c r="U352" s="80"/>
      <c r="V352" s="62"/>
      <c r="W352" s="62"/>
      <c r="X352" s="62"/>
      <c r="Y352" s="62"/>
      <c r="Z352" s="62"/>
      <c r="AA352" s="79"/>
      <c r="AB352"/>
      <c r="AC352" s="63"/>
      <c r="AD352" s="63"/>
      <c r="AE352" s="63"/>
      <c r="AF352" s="63"/>
      <c r="AG352" s="63"/>
      <c r="AH352" s="141"/>
      <c r="AI352"/>
      <c r="AJ352" s="62"/>
      <c r="AK352" s="62"/>
      <c r="AL352" s="62"/>
      <c r="AM352" s="62"/>
      <c r="AN352" s="62"/>
      <c r="AO352" s="79"/>
    </row>
    <row r="353" spans="1:41" ht="16.5" thickBot="1" x14ac:dyDescent="0.3">
      <c r="A353" s="24" t="s">
        <v>10</v>
      </c>
      <c r="B353" s="19">
        <v>65</v>
      </c>
      <c r="C353" s="20">
        <f>28*C218</f>
        <v>19.32</v>
      </c>
      <c r="D353" s="21">
        <f>60%*0.84</f>
        <v>0.504</v>
      </c>
      <c r="E353" s="21">
        <f>20%*0.84</f>
        <v>0.16800000000000001</v>
      </c>
      <c r="F353" s="21">
        <v>0.2</v>
      </c>
      <c r="G353" s="22">
        <f>$C$353*D353*InfraPinL*TauxC*MasseMol</f>
        <v>7.8011841599999991</v>
      </c>
      <c r="H353" s="22">
        <f>$C$353*E353*InfraPinL*TauxC*MasseMol</f>
        <v>2.6003947200000002</v>
      </c>
      <c r="I353" s="22">
        <f>$C$353*F353*InfraPinL*TauxC*MasseMol</f>
        <v>3.0957080000000001</v>
      </c>
      <c r="J353" s="22">
        <f t="array" ref="J353">SUM($G$288:$I$288*DecCours*DecPasse^(B353-$B$288-1)) + SUM($G$313:$I$313*DecCours*DecPasse^(B353-$B$313-1)) + SUM($G$318:$I$318*DecCours*DecPasse^(B353-$B$318-1))+SUM($G$323:$I$323*DecCours*DecPasse^(B353-$B$323-1)) + SUM($G$328:$I$328*DecCours*DecPasse^(B353-$B$328-1)) + SUM($G$333:$I$333*DecCours*DecPasse^(B353-$B$333-1)) + SUM($G$338:$I$338*DecCours*DecPasse^(B353-$B$338-1)) + SUM($G$343:$I$343*DecCours*DecPasse^(B353-$B$343-1)) + SUM($G$348:$I$348*DecCours*DecPasse^(B353-$B$348-1))</f>
        <v>126.67039736572741</v>
      </c>
      <c r="K353" s="23"/>
      <c r="L353" s="34"/>
      <c r="M353" s="6"/>
    </row>
    <row r="354" spans="1:41" ht="16.5" thickBot="1" x14ac:dyDescent="0.3">
      <c r="K354" s="32"/>
      <c r="L354" s="6"/>
      <c r="M354" s="6"/>
      <c r="N354"/>
      <c r="O354"/>
      <c r="P354"/>
      <c r="Q354"/>
      <c r="R354"/>
      <c r="S354"/>
      <c r="T354"/>
      <c r="U354"/>
      <c r="V354"/>
      <c r="W354"/>
      <c r="X354"/>
      <c r="Y354"/>
      <c r="Z354"/>
      <c r="AA354" s="127"/>
      <c r="AB354"/>
      <c r="AC354"/>
      <c r="AD354"/>
      <c r="AE354"/>
      <c r="AF354"/>
      <c r="AG354"/>
      <c r="AH354" s="127"/>
      <c r="AI354"/>
      <c r="AJ354"/>
      <c r="AK354"/>
      <c r="AL354"/>
      <c r="AM354"/>
      <c r="AN354"/>
      <c r="AO354" s="127"/>
    </row>
    <row r="355" spans="1:41" ht="16.5" thickBot="1" x14ac:dyDescent="0.3">
      <c r="A355" s="1" t="s">
        <v>12</v>
      </c>
      <c r="B355" s="2" t="s">
        <v>1</v>
      </c>
      <c r="C355" s="115">
        <v>0.92</v>
      </c>
      <c r="K355" s="32"/>
      <c r="L355" s="6"/>
      <c r="M355" s="6"/>
    </row>
    <row r="356" spans="1:41" x14ac:dyDescent="0.25">
      <c r="A356" s="7"/>
      <c r="B356" s="7"/>
      <c r="C356" s="52"/>
      <c r="G356" s="4" t="s">
        <v>95</v>
      </c>
      <c r="K356" s="32"/>
      <c r="L356" s="6"/>
      <c r="M356" s="6"/>
    </row>
    <row r="357" spans="1:41" ht="47.25" x14ac:dyDescent="0.25">
      <c r="D357" s="183" t="s">
        <v>75</v>
      </c>
      <c r="E357" s="184"/>
      <c r="F357" s="185"/>
      <c r="G357" s="186" t="s">
        <v>93</v>
      </c>
      <c r="H357" s="187"/>
      <c r="I357" s="188"/>
      <c r="J357" s="7"/>
      <c r="K357" s="156" t="s">
        <v>86</v>
      </c>
      <c r="L357" s="157" t="s">
        <v>85</v>
      </c>
      <c r="M357" s="6"/>
    </row>
    <row r="358" spans="1:41" ht="16.5" thickBot="1" x14ac:dyDescent="0.3">
      <c r="A358" s="8" t="s">
        <v>2</v>
      </c>
      <c r="B358" s="8" t="s">
        <v>3</v>
      </c>
      <c r="C358" s="8" t="s">
        <v>76</v>
      </c>
      <c r="D358" s="155" t="s">
        <v>4</v>
      </c>
      <c r="E358" s="155" t="s">
        <v>77</v>
      </c>
      <c r="F358" s="155" t="s">
        <v>5</v>
      </c>
      <c r="G358" s="9" t="s">
        <v>4</v>
      </c>
      <c r="H358" s="9" t="s">
        <v>77</v>
      </c>
      <c r="I358" s="9" t="s">
        <v>5</v>
      </c>
      <c r="J358" s="8" t="s">
        <v>6</v>
      </c>
      <c r="K358" s="10" t="s">
        <v>7</v>
      </c>
      <c r="L358" s="11" t="s">
        <v>8</v>
      </c>
      <c r="M358" s="6"/>
    </row>
    <row r="359" spans="1:41" x14ac:dyDescent="0.25">
      <c r="A359" s="12" t="s">
        <v>9</v>
      </c>
      <c r="B359" s="13">
        <v>0</v>
      </c>
      <c r="C359" s="14">
        <f>400*C355</f>
        <v>368</v>
      </c>
      <c r="D359" s="27">
        <f>58.25%*0.9</f>
        <v>0.52424999999999999</v>
      </c>
      <c r="E359" s="27">
        <f>17%*0.9</f>
        <v>0.15300000000000002</v>
      </c>
      <c r="F359" s="27">
        <f>12.75%*0.9</f>
        <v>0.11475</v>
      </c>
      <c r="G359" s="16">
        <f>(0.5525*InfraRx+0.03*InfraHet)*C359*TauxC*MasseMol</f>
        <v>159.30397999999997</v>
      </c>
      <c r="H359" s="16">
        <f>$C$359*E359*InfraRx*TauxC*MasseMol</f>
        <v>41.186376000000003</v>
      </c>
      <c r="I359" s="16">
        <f>$C$359*F359*InfraRx*TauxC*MasseMol</f>
        <v>30.889781999999997</v>
      </c>
      <c r="J359" s="14">
        <v>0</v>
      </c>
      <c r="K359" s="15">
        <v>0.12</v>
      </c>
      <c r="L359" s="33">
        <f>C359*(D359*CoefSubSciage+E359*CoefSubEmballage+F359*CoefSubPanneaux+K359*CoefSubEnergie)</f>
        <v>336.80004000000002</v>
      </c>
      <c r="M359" s="6"/>
    </row>
    <row r="360" spans="1:41" x14ac:dyDescent="0.25">
      <c r="A360" s="24" t="s">
        <v>9</v>
      </c>
      <c r="B360" s="25">
        <v>1</v>
      </c>
      <c r="C360" s="26">
        <v>0</v>
      </c>
      <c r="D360" s="27">
        <v>0</v>
      </c>
      <c r="E360" s="27">
        <v>0</v>
      </c>
      <c r="F360" s="27">
        <v>0</v>
      </c>
      <c r="G360" s="28"/>
      <c r="H360" s="28"/>
      <c r="I360" s="28"/>
      <c r="J360" s="26">
        <f t="array" ref="J360">SUM($G$359:$I$359*DecCours)</f>
        <v>223.00945385088858</v>
      </c>
      <c r="K360" s="27"/>
      <c r="L360" s="30"/>
      <c r="M360" s="6"/>
      <c r="N360" s="62"/>
      <c r="O360" s="62"/>
      <c r="P360" s="62"/>
      <c r="Q360" s="62"/>
      <c r="R360" s="62"/>
      <c r="S360" s="62"/>
      <c r="T360" s="62"/>
      <c r="U360" s="80"/>
      <c r="V360" s="62"/>
      <c r="W360" s="62"/>
      <c r="X360" s="62"/>
      <c r="Y360" s="62"/>
      <c r="Z360" s="62"/>
      <c r="AA360" s="79"/>
      <c r="AB360"/>
      <c r="AC360" s="56"/>
      <c r="AD360" s="70"/>
      <c r="AE360" s="71"/>
      <c r="AF360" s="72"/>
      <c r="AG360" s="72"/>
      <c r="AH360" s="128"/>
      <c r="AI360"/>
      <c r="AJ360" s="62"/>
      <c r="AK360" s="62"/>
      <c r="AL360" s="62"/>
      <c r="AM360" s="62"/>
      <c r="AN360" s="62"/>
      <c r="AO360" s="79"/>
    </row>
    <row r="361" spans="1:41" x14ac:dyDescent="0.25">
      <c r="A361" s="24" t="s">
        <v>9</v>
      </c>
      <c r="B361" s="25">
        <v>2</v>
      </c>
      <c r="C361" s="26">
        <v>0</v>
      </c>
      <c r="D361" s="27">
        <v>0</v>
      </c>
      <c r="E361" s="27">
        <v>0</v>
      </c>
      <c r="F361" s="27">
        <v>0</v>
      </c>
      <c r="G361" s="28"/>
      <c r="H361" s="28"/>
      <c r="I361" s="28"/>
      <c r="J361" s="26">
        <f t="array" ref="J361">SUM($G$359:$I$359*DecCours*DecPasse^(B361-$B$359-1))</f>
        <v>208.88849515607237</v>
      </c>
      <c r="K361" s="27"/>
      <c r="L361" s="30"/>
      <c r="M361" s="6"/>
      <c r="N361" s="62"/>
      <c r="O361" s="62"/>
      <c r="P361" s="62"/>
      <c r="Q361" s="62"/>
      <c r="R361" s="62"/>
      <c r="S361" s="62"/>
      <c r="T361" s="62"/>
      <c r="U361" s="80"/>
      <c r="V361" s="62"/>
      <c r="W361" s="62"/>
      <c r="X361" s="62"/>
      <c r="Y361" s="62"/>
      <c r="Z361" s="62"/>
      <c r="AA361" s="79"/>
      <c r="AB361"/>
      <c r="AC361" s="56"/>
      <c r="AD361" s="70"/>
      <c r="AE361" s="71"/>
      <c r="AF361" s="72"/>
      <c r="AG361" s="72"/>
      <c r="AH361" s="128"/>
      <c r="AI361"/>
      <c r="AJ361" s="62"/>
      <c r="AK361" s="62"/>
      <c r="AL361" s="62"/>
      <c r="AM361" s="62"/>
      <c r="AN361" s="62"/>
      <c r="AO361" s="79"/>
    </row>
    <row r="362" spans="1:41" x14ac:dyDescent="0.25">
      <c r="A362" s="24" t="s">
        <v>9</v>
      </c>
      <c r="B362" s="25">
        <v>3</v>
      </c>
      <c r="C362" s="26">
        <v>0</v>
      </c>
      <c r="D362" s="27">
        <v>0</v>
      </c>
      <c r="E362" s="27">
        <v>0</v>
      </c>
      <c r="F362" s="27">
        <v>0</v>
      </c>
      <c r="G362" s="28"/>
      <c r="H362" s="28"/>
      <c r="I362" s="28"/>
      <c r="J362" s="26">
        <f t="array" ref="J362">SUM($G$359:$I$359*DecCours*DecPasse^(B362-$B$359-1))</f>
        <v>197.83694566770598</v>
      </c>
      <c r="K362" s="27"/>
      <c r="L362" s="30"/>
      <c r="M362" s="6"/>
      <c r="N362" s="62"/>
      <c r="O362" s="62"/>
      <c r="P362" s="62"/>
      <c r="Q362" s="62"/>
      <c r="R362" s="62"/>
      <c r="S362" s="62"/>
      <c r="T362" s="62"/>
      <c r="U362" s="80"/>
      <c r="V362" s="62"/>
      <c r="W362" s="62"/>
      <c r="X362" s="62"/>
      <c r="Y362" s="62"/>
      <c r="Z362" s="62"/>
      <c r="AA362" s="79"/>
      <c r="AB362"/>
      <c r="AC362" s="56"/>
      <c r="AD362" s="70"/>
      <c r="AE362" s="71"/>
      <c r="AF362" s="72"/>
      <c r="AG362" s="72"/>
      <c r="AH362" s="128"/>
      <c r="AI362"/>
      <c r="AJ362" s="62"/>
      <c r="AK362" s="62"/>
      <c r="AL362" s="62"/>
      <c r="AM362" s="62"/>
      <c r="AN362" s="62"/>
      <c r="AO362" s="79"/>
    </row>
    <row r="363" spans="1:41" x14ac:dyDescent="0.25">
      <c r="A363" s="24" t="s">
        <v>9</v>
      </c>
      <c r="B363" s="25">
        <v>4</v>
      </c>
      <c r="C363" s="26">
        <v>0</v>
      </c>
      <c r="D363" s="27">
        <v>0</v>
      </c>
      <c r="E363" s="27">
        <v>0</v>
      </c>
      <c r="F363" s="27">
        <v>0</v>
      </c>
      <c r="G363" s="28"/>
      <c r="H363" s="28"/>
      <c r="I363" s="28"/>
      <c r="J363" s="26">
        <f t="array" ref="J363">SUM($G$359:$I$359*DecCours*DecPasse^(B363-$B$359-1))</f>
        <v>188.97842143167108</v>
      </c>
      <c r="K363" s="27"/>
      <c r="L363" s="30"/>
      <c r="M363" s="6"/>
      <c r="N363" s="62"/>
      <c r="O363" s="62"/>
      <c r="P363" s="62"/>
      <c r="Q363" s="62"/>
      <c r="R363" s="62"/>
      <c r="S363" s="62"/>
      <c r="T363" s="62"/>
      <c r="U363" s="80"/>
      <c r="V363" s="62"/>
      <c r="W363" s="62"/>
      <c r="X363" s="62"/>
      <c r="Y363" s="62"/>
      <c r="Z363" s="62"/>
      <c r="AA363" s="79"/>
      <c r="AB363"/>
      <c r="AC363" s="56"/>
      <c r="AD363" s="70"/>
      <c r="AE363" s="71"/>
      <c r="AF363" s="72"/>
      <c r="AG363" s="72"/>
      <c r="AH363" s="128"/>
      <c r="AI363"/>
      <c r="AJ363" s="62"/>
      <c r="AK363" s="62"/>
      <c r="AL363" s="62"/>
      <c r="AM363" s="62"/>
      <c r="AN363" s="62"/>
      <c r="AO363" s="79"/>
    </row>
    <row r="364" spans="1:41" x14ac:dyDescent="0.25">
      <c r="A364" s="24" t="s">
        <v>9</v>
      </c>
      <c r="B364" s="25">
        <v>5</v>
      </c>
      <c r="C364" s="26">
        <v>0</v>
      </c>
      <c r="D364" s="27">
        <v>0</v>
      </c>
      <c r="E364" s="27">
        <v>0</v>
      </c>
      <c r="F364" s="27">
        <v>0</v>
      </c>
      <c r="G364" s="28"/>
      <c r="H364" s="28"/>
      <c r="I364" s="28"/>
      <c r="J364" s="26">
        <f t="array" ref="J364">SUM($G$359:$I$359*DecCours*DecPasse^(B364-$B$359-1))</f>
        <v>181.69273494918707</v>
      </c>
      <c r="K364" s="27"/>
      <c r="L364" s="30"/>
      <c r="M364" s="6"/>
      <c r="N364" s="62"/>
      <c r="O364" s="62"/>
      <c r="P364" s="62"/>
      <c r="Q364" s="62"/>
      <c r="R364" s="62"/>
      <c r="S364" s="62"/>
      <c r="T364" s="62"/>
      <c r="U364" s="80"/>
      <c r="V364" s="62"/>
      <c r="W364" s="62"/>
      <c r="X364" s="62"/>
      <c r="Y364" s="62"/>
      <c r="Z364" s="62"/>
      <c r="AA364" s="79"/>
      <c r="AB364"/>
      <c r="AC364" s="56"/>
      <c r="AD364" s="70"/>
      <c r="AE364" s="71"/>
      <c r="AF364" s="72"/>
      <c r="AG364" s="72"/>
      <c r="AH364" s="128"/>
      <c r="AI364"/>
      <c r="AJ364" s="62"/>
      <c r="AK364" s="62"/>
      <c r="AL364" s="62"/>
      <c r="AM364" s="62"/>
      <c r="AN364" s="62"/>
      <c r="AO364" s="79"/>
    </row>
    <row r="365" spans="1:41" x14ac:dyDescent="0.25">
      <c r="A365" s="24" t="s">
        <v>9</v>
      </c>
      <c r="B365" s="25">
        <v>6</v>
      </c>
      <c r="C365" s="26">
        <v>0</v>
      </c>
      <c r="D365" s="27">
        <v>0</v>
      </c>
      <c r="E365" s="27">
        <v>0</v>
      </c>
      <c r="F365" s="27">
        <v>0</v>
      </c>
      <c r="G365" s="28"/>
      <c r="H365" s="28"/>
      <c r="I365" s="28"/>
      <c r="J365" s="26">
        <f t="array" ref="J365">SUM($G$359:$I$359*DecCours*DecPasse^(B365-$B$359-1))</f>
        <v>175.54086786964956</v>
      </c>
      <c r="K365" s="27"/>
      <c r="L365" s="30"/>
      <c r="M365" s="6"/>
      <c r="N365" s="62"/>
      <c r="O365" s="62"/>
      <c r="P365" s="62"/>
      <c r="Q365" s="62"/>
      <c r="R365" s="62"/>
      <c r="S365" s="62"/>
      <c r="T365" s="62"/>
      <c r="U365" s="80"/>
      <c r="V365" s="62"/>
      <c r="W365" s="62"/>
      <c r="X365" s="62"/>
      <c r="Y365" s="62"/>
      <c r="Z365" s="62"/>
      <c r="AA365" s="79"/>
      <c r="AB365"/>
      <c r="AC365" s="56"/>
      <c r="AD365" s="70"/>
      <c r="AE365" s="71"/>
      <c r="AF365" s="72"/>
      <c r="AG365" s="72"/>
      <c r="AH365" s="128"/>
      <c r="AI365"/>
      <c r="AJ365" s="62"/>
      <c r="AK365" s="62"/>
      <c r="AL365" s="62"/>
      <c r="AM365" s="62"/>
      <c r="AN365" s="62"/>
      <c r="AO365" s="79"/>
    </row>
    <row r="366" spans="1:41" x14ac:dyDescent="0.25">
      <c r="A366" s="24" t="s">
        <v>9</v>
      </c>
      <c r="B366" s="25">
        <v>7</v>
      </c>
      <c r="C366" s="26">
        <v>0</v>
      </c>
      <c r="D366" s="27">
        <v>0</v>
      </c>
      <c r="E366" s="27">
        <v>0</v>
      </c>
      <c r="F366" s="27">
        <v>0</v>
      </c>
      <c r="G366" s="28"/>
      <c r="H366" s="28"/>
      <c r="I366" s="28"/>
      <c r="J366" s="26">
        <f t="array" ref="J366">SUM($G$359:$I$359*DecCours*DecPasse^(B366-$B$359-1))</f>
        <v>170.21191842428206</v>
      </c>
      <c r="K366" s="27"/>
      <c r="L366" s="30"/>
      <c r="M366" s="6"/>
      <c r="N366" s="62"/>
      <c r="O366" s="62"/>
      <c r="P366" s="62"/>
      <c r="Q366" s="62"/>
      <c r="R366" s="62"/>
      <c r="S366" s="62"/>
      <c r="T366" s="62"/>
      <c r="U366" s="80"/>
      <c r="V366" s="62"/>
      <c r="W366" s="62"/>
      <c r="X366" s="62"/>
      <c r="Y366" s="62"/>
      <c r="Z366" s="62"/>
      <c r="AA366" s="79"/>
      <c r="AB366"/>
      <c r="AC366" s="56"/>
      <c r="AD366" s="70"/>
      <c r="AE366" s="71"/>
      <c r="AF366" s="72"/>
      <c r="AG366" s="72"/>
      <c r="AH366" s="128"/>
      <c r="AI366"/>
      <c r="AJ366" s="62"/>
      <c r="AK366" s="62"/>
      <c r="AL366" s="62"/>
      <c r="AM366" s="62"/>
      <c r="AN366" s="62"/>
      <c r="AO366" s="79"/>
    </row>
    <row r="367" spans="1:41" x14ac:dyDescent="0.25">
      <c r="A367" s="24" t="s">
        <v>9</v>
      </c>
      <c r="B367" s="25">
        <v>8</v>
      </c>
      <c r="C367" s="26">
        <v>0</v>
      </c>
      <c r="D367" s="27">
        <v>0</v>
      </c>
      <c r="E367" s="27">
        <v>0</v>
      </c>
      <c r="F367" s="27">
        <v>0</v>
      </c>
      <c r="G367" s="28"/>
      <c r="H367" s="28"/>
      <c r="I367" s="28"/>
      <c r="J367" s="26">
        <f t="array" ref="J367">SUM($G$359:$I$359*DecCours*DecPasse^(B367-$B$359-1))</f>
        <v>165.48558735386376</v>
      </c>
      <c r="K367" s="27"/>
      <c r="L367" s="30"/>
      <c r="M367" s="6"/>
      <c r="N367" s="62"/>
      <c r="O367" s="62"/>
      <c r="P367" s="62"/>
      <c r="Q367" s="62"/>
      <c r="R367" s="62"/>
      <c r="S367" s="62"/>
      <c r="T367" s="62"/>
      <c r="U367" s="80"/>
      <c r="V367" s="62"/>
      <c r="W367" s="62"/>
      <c r="X367" s="62"/>
      <c r="Y367" s="62"/>
      <c r="Z367" s="62"/>
      <c r="AA367" s="79"/>
      <c r="AB367"/>
      <c r="AC367" s="56"/>
      <c r="AD367" s="70"/>
      <c r="AE367" s="71"/>
      <c r="AF367" s="72"/>
      <c r="AG367" s="72"/>
      <c r="AH367" s="128"/>
      <c r="AI367"/>
      <c r="AJ367" s="62"/>
      <c r="AK367" s="62"/>
      <c r="AL367" s="62"/>
      <c r="AM367" s="62"/>
      <c r="AN367" s="62"/>
      <c r="AO367" s="79"/>
    </row>
    <row r="368" spans="1:41" x14ac:dyDescent="0.25">
      <c r="A368" s="24" t="s">
        <v>9</v>
      </c>
      <c r="B368" s="25">
        <v>9</v>
      </c>
      <c r="C368" s="26">
        <v>0</v>
      </c>
      <c r="D368" s="27">
        <v>0</v>
      </c>
      <c r="E368" s="27">
        <v>0</v>
      </c>
      <c r="F368" s="27">
        <v>0</v>
      </c>
      <c r="G368" s="28"/>
      <c r="H368" s="28"/>
      <c r="I368" s="28"/>
      <c r="J368" s="26">
        <f t="array" ref="J368">SUM($G$359:$I$359*DecCours*DecPasse^(B368-$B$359-1))</f>
        <v>161.20565121668133</v>
      </c>
      <c r="K368" s="27"/>
      <c r="L368" s="30"/>
      <c r="M368" s="6"/>
      <c r="N368" s="62"/>
      <c r="O368" s="62"/>
      <c r="P368" s="62"/>
      <c r="Q368" s="62"/>
      <c r="R368" s="62"/>
      <c r="S368" s="62"/>
      <c r="T368" s="62"/>
      <c r="U368" s="80"/>
      <c r="V368" s="62"/>
      <c r="W368" s="62"/>
      <c r="X368" s="62"/>
      <c r="Y368" s="62"/>
      <c r="Z368" s="62"/>
      <c r="AA368" s="79"/>
      <c r="AB368"/>
      <c r="AC368" s="56"/>
      <c r="AD368" s="70"/>
      <c r="AE368" s="71"/>
      <c r="AF368" s="72"/>
      <c r="AG368" s="72"/>
      <c r="AH368" s="128"/>
      <c r="AI368"/>
      <c r="AJ368" s="62"/>
      <c r="AK368" s="62"/>
      <c r="AL368" s="62"/>
      <c r="AM368" s="62"/>
      <c r="AN368" s="62"/>
      <c r="AO368" s="79"/>
    </row>
    <row r="369" spans="1:41" x14ac:dyDescent="0.25">
      <c r="A369" s="24" t="s">
        <v>9</v>
      </c>
      <c r="B369" s="25">
        <v>10</v>
      </c>
      <c r="C369" s="26">
        <v>0</v>
      </c>
      <c r="D369" s="27">
        <v>0</v>
      </c>
      <c r="E369" s="27">
        <v>0</v>
      </c>
      <c r="F369" s="27">
        <v>0</v>
      </c>
      <c r="G369" s="28"/>
      <c r="H369" s="28"/>
      <c r="I369" s="28"/>
      <c r="J369" s="26">
        <f t="array" ref="J369">SUM($G$359:$I$359*DecCours*DecPasse^(B369-$B$359-1))</f>
        <v>157.26120495309993</v>
      </c>
      <c r="K369" s="27"/>
      <c r="L369" s="30"/>
      <c r="M369" s="6"/>
      <c r="N369" s="62"/>
      <c r="O369" s="62"/>
      <c r="P369" s="62"/>
      <c r="Q369" s="62"/>
      <c r="R369" s="62"/>
      <c r="S369" s="62"/>
      <c r="T369" s="62"/>
      <c r="U369" s="80"/>
      <c r="V369" s="62"/>
      <c r="W369" s="62"/>
      <c r="X369" s="62"/>
      <c r="Y369" s="62"/>
      <c r="Z369" s="62"/>
      <c r="AA369" s="79"/>
      <c r="AB369"/>
      <c r="AC369" s="56"/>
      <c r="AD369" s="70"/>
      <c r="AE369" s="71"/>
      <c r="AF369" s="72"/>
      <c r="AG369" s="72"/>
      <c r="AH369" s="128"/>
      <c r="AI369"/>
      <c r="AJ369" s="62"/>
      <c r="AK369" s="62"/>
      <c r="AL369" s="62"/>
      <c r="AM369" s="62"/>
      <c r="AN369" s="62"/>
      <c r="AO369" s="79"/>
    </row>
    <row r="370" spans="1:41" x14ac:dyDescent="0.25">
      <c r="A370" s="24" t="s">
        <v>9</v>
      </c>
      <c r="B370" s="25">
        <v>11</v>
      </c>
      <c r="C370" s="26">
        <v>0</v>
      </c>
      <c r="D370" s="27">
        <v>0</v>
      </c>
      <c r="E370" s="27">
        <v>0</v>
      </c>
      <c r="F370" s="27">
        <v>0</v>
      </c>
      <c r="G370" s="28"/>
      <c r="H370" s="28"/>
      <c r="I370" s="28"/>
      <c r="J370" s="26">
        <f t="array" ref="J370">SUM($G$359:$I$359*DecCours*DecPasse^(B370-$B$359-1))</f>
        <v>153.57339814959695</v>
      </c>
      <c r="K370" s="27"/>
      <c r="L370" s="30"/>
      <c r="M370" s="6"/>
      <c r="N370" s="62"/>
      <c r="O370" s="62"/>
      <c r="P370" s="62"/>
      <c r="Q370" s="62"/>
      <c r="R370" s="62"/>
      <c r="S370" s="62"/>
      <c r="T370" s="62"/>
      <c r="U370" s="80"/>
      <c r="V370" s="62"/>
      <c r="W370" s="62"/>
      <c r="X370" s="62"/>
      <c r="Y370" s="62"/>
      <c r="Z370" s="62"/>
      <c r="AA370" s="79"/>
      <c r="AB370"/>
      <c r="AC370" s="56"/>
      <c r="AD370" s="70"/>
      <c r="AE370" s="71"/>
      <c r="AF370" s="72"/>
      <c r="AG370" s="72"/>
      <c r="AH370" s="128"/>
      <c r="AI370"/>
      <c r="AJ370" s="62"/>
      <c r="AK370" s="62"/>
      <c r="AL370" s="62"/>
      <c r="AM370" s="62"/>
      <c r="AN370" s="62"/>
      <c r="AO370" s="79"/>
    </row>
    <row r="371" spans="1:41" x14ac:dyDescent="0.25">
      <c r="A371" s="24" t="s">
        <v>9</v>
      </c>
      <c r="B371" s="25">
        <v>12</v>
      </c>
      <c r="C371" s="26">
        <v>0</v>
      </c>
      <c r="D371" s="27">
        <v>0</v>
      </c>
      <c r="E371" s="27">
        <v>0</v>
      </c>
      <c r="F371" s="27">
        <v>0</v>
      </c>
      <c r="G371" s="28"/>
      <c r="H371" s="28"/>
      <c r="I371" s="28"/>
      <c r="J371" s="26">
        <f t="array" ref="J371">SUM($G$359:$I$359*DecCours*DecPasse^(B371-$B$359-1))</f>
        <v>150.08605594023075</v>
      </c>
      <c r="K371" s="27"/>
      <c r="L371" s="30"/>
      <c r="M371" s="6"/>
      <c r="N371" s="62"/>
      <c r="O371" s="62"/>
      <c r="P371" s="62"/>
      <c r="Q371" s="62"/>
      <c r="R371" s="62"/>
      <c r="S371" s="62"/>
      <c r="T371" s="62"/>
      <c r="U371" s="80"/>
      <c r="V371" s="62"/>
      <c r="W371" s="62"/>
      <c r="X371" s="62"/>
      <c r="Y371" s="62"/>
      <c r="Z371" s="62"/>
      <c r="AA371" s="79"/>
      <c r="AB371"/>
      <c r="AC371" s="56"/>
      <c r="AD371" s="70"/>
      <c r="AE371" s="71"/>
      <c r="AF371" s="72"/>
      <c r="AG371" s="72"/>
      <c r="AH371" s="128"/>
      <c r="AI371"/>
      <c r="AJ371" s="62"/>
      <c r="AK371" s="62"/>
      <c r="AL371" s="62"/>
      <c r="AM371" s="62"/>
      <c r="AN371" s="62"/>
      <c r="AO371" s="79"/>
    </row>
    <row r="372" spans="1:41" x14ac:dyDescent="0.25">
      <c r="A372" s="24" t="s">
        <v>9</v>
      </c>
      <c r="B372" s="25">
        <v>13</v>
      </c>
      <c r="C372" s="26">
        <v>0</v>
      </c>
      <c r="D372" s="27">
        <v>0</v>
      </c>
      <c r="E372" s="27">
        <v>0</v>
      </c>
      <c r="F372" s="27">
        <v>0</v>
      </c>
      <c r="G372" s="28"/>
      <c r="H372" s="28"/>
      <c r="I372" s="28"/>
      <c r="J372" s="26">
        <f t="array" ref="J372">SUM($G$359:$I$359*DecCours*DecPasse^(B372-$B$359-1))</f>
        <v>146.75904676674676</v>
      </c>
      <c r="K372" s="27"/>
      <c r="L372" s="30"/>
      <c r="M372" s="6"/>
      <c r="N372" s="62"/>
      <c r="O372" s="62"/>
      <c r="P372" s="62"/>
      <c r="Q372" s="62"/>
      <c r="R372" s="62"/>
      <c r="S372" s="62"/>
      <c r="T372" s="62"/>
      <c r="U372" s="80"/>
      <c r="V372" s="62"/>
      <c r="W372" s="62"/>
      <c r="X372" s="62"/>
      <c r="Y372" s="62"/>
      <c r="Z372" s="62"/>
      <c r="AA372" s="79"/>
      <c r="AB372"/>
      <c r="AC372" s="56"/>
      <c r="AD372" s="70"/>
      <c r="AE372" s="71"/>
      <c r="AF372" s="72"/>
      <c r="AG372" s="72"/>
      <c r="AH372" s="128"/>
      <c r="AI372"/>
      <c r="AJ372" s="62"/>
      <c r="AK372" s="62"/>
      <c r="AL372" s="62"/>
      <c r="AM372" s="62"/>
      <c r="AN372" s="62"/>
      <c r="AO372" s="79"/>
    </row>
    <row r="373" spans="1:41" x14ac:dyDescent="0.25">
      <c r="A373" s="24" t="s">
        <v>9</v>
      </c>
      <c r="B373" s="25">
        <v>14</v>
      </c>
      <c r="C373" s="26">
        <v>0</v>
      </c>
      <c r="D373" s="27">
        <v>0</v>
      </c>
      <c r="E373" s="27">
        <v>0</v>
      </c>
      <c r="F373" s="27">
        <v>0</v>
      </c>
      <c r="G373" s="28"/>
      <c r="H373" s="28"/>
      <c r="I373" s="28"/>
      <c r="J373" s="26">
        <f t="array" ref="J373">SUM($G$359:$I$359*DecCours*DecPasse^(B373-$B$359-1))</f>
        <v>143.56359246609341</v>
      </c>
      <c r="K373" s="27"/>
      <c r="L373" s="30"/>
      <c r="M373" s="6"/>
      <c r="N373" s="62"/>
      <c r="O373" s="62"/>
      <c r="P373" s="62"/>
      <c r="Q373" s="62"/>
      <c r="R373" s="62"/>
      <c r="S373" s="62"/>
      <c r="T373" s="62"/>
      <c r="U373" s="80"/>
      <c r="V373" s="62"/>
      <c r="W373" s="62"/>
      <c r="X373" s="62"/>
      <c r="Y373" s="62"/>
      <c r="Z373" s="62"/>
      <c r="AA373" s="79"/>
      <c r="AB373"/>
      <c r="AC373" s="56"/>
      <c r="AD373" s="70"/>
      <c r="AE373" s="71"/>
      <c r="AF373" s="72"/>
      <c r="AG373" s="72"/>
      <c r="AH373" s="128"/>
      <c r="AI373"/>
      <c r="AJ373" s="62"/>
      <c r="AK373" s="62"/>
      <c r="AL373" s="62"/>
      <c r="AM373" s="62"/>
      <c r="AN373" s="62"/>
      <c r="AO373" s="79"/>
    </row>
    <row r="374" spans="1:41" x14ac:dyDescent="0.25">
      <c r="A374" s="24" t="s">
        <v>9</v>
      </c>
      <c r="B374" s="25">
        <v>15</v>
      </c>
      <c r="C374" s="26">
        <v>0</v>
      </c>
      <c r="D374" s="27">
        <v>0</v>
      </c>
      <c r="E374" s="27">
        <v>0</v>
      </c>
      <c r="F374" s="27">
        <v>0</v>
      </c>
      <c r="G374" s="28"/>
      <c r="H374" s="28"/>
      <c r="I374" s="28"/>
      <c r="J374" s="26">
        <f t="array" ref="J374">SUM($G$359:$I$359*DecCours*DecPasse^(B374-$B$359-1))</f>
        <v>140.4789517957401</v>
      </c>
      <c r="K374" s="27"/>
      <c r="L374" s="30"/>
      <c r="M374" s="6"/>
      <c r="N374" s="62"/>
      <c r="O374" s="62"/>
      <c r="P374" s="62"/>
      <c r="Q374" s="62"/>
      <c r="R374" s="62"/>
      <c r="S374" s="62"/>
      <c r="T374" s="62"/>
      <c r="U374" s="80"/>
      <c r="V374" s="62"/>
      <c r="W374" s="62"/>
      <c r="X374" s="62"/>
      <c r="Y374" s="62"/>
      <c r="Z374" s="62"/>
      <c r="AA374" s="79"/>
      <c r="AB374"/>
      <c r="AC374" s="56"/>
      <c r="AD374" s="70"/>
      <c r="AE374" s="71"/>
      <c r="AF374" s="72"/>
      <c r="AG374" s="72"/>
      <c r="AH374" s="128"/>
      <c r="AI374"/>
      <c r="AJ374" s="62"/>
      <c r="AK374" s="62"/>
      <c r="AL374" s="62"/>
      <c r="AM374" s="62"/>
      <c r="AN374" s="62"/>
      <c r="AO374" s="79"/>
    </row>
    <row r="375" spans="1:41" x14ac:dyDescent="0.25">
      <c r="A375" s="24" t="s">
        <v>9</v>
      </c>
      <c r="B375" s="25">
        <v>16</v>
      </c>
      <c r="C375" s="26">
        <v>0</v>
      </c>
      <c r="D375" s="27">
        <v>0</v>
      </c>
      <c r="E375" s="27">
        <v>0</v>
      </c>
      <c r="F375" s="27">
        <v>0</v>
      </c>
      <c r="G375" s="28"/>
      <c r="H375" s="28"/>
      <c r="I375" s="28"/>
      <c r="J375" s="26">
        <f t="array" ref="J375">SUM($G$359:$I$359*DecCours*DecPasse^(B375-$B$359-1))</f>
        <v>137.49007513097985</v>
      </c>
      <c r="K375" s="27"/>
      <c r="L375" s="30"/>
      <c r="M375" s="6"/>
      <c r="N375" s="62"/>
      <c r="O375" s="62"/>
      <c r="P375" s="62"/>
      <c r="Q375" s="62"/>
      <c r="R375" s="62"/>
      <c r="S375" s="62"/>
      <c r="T375" s="62"/>
      <c r="U375" s="80"/>
      <c r="V375" s="62"/>
      <c r="W375" s="62"/>
      <c r="X375" s="62"/>
      <c r="Y375" s="62"/>
      <c r="Z375" s="62"/>
      <c r="AA375" s="79"/>
      <c r="AB375"/>
      <c r="AC375" s="56"/>
      <c r="AD375" s="70"/>
      <c r="AE375" s="71"/>
      <c r="AF375" s="72"/>
      <c r="AG375" s="72"/>
      <c r="AH375" s="128"/>
      <c r="AI375"/>
      <c r="AJ375" s="62"/>
      <c r="AK375" s="62"/>
      <c r="AL375" s="62"/>
      <c r="AM375" s="62"/>
      <c r="AN375" s="62"/>
      <c r="AO375" s="79"/>
    </row>
    <row r="376" spans="1:41" x14ac:dyDescent="0.25">
      <c r="A376" s="24" t="s">
        <v>9</v>
      </c>
      <c r="B376" s="25">
        <v>17</v>
      </c>
      <c r="C376" s="26">
        <v>0</v>
      </c>
      <c r="D376" s="27">
        <v>0</v>
      </c>
      <c r="E376" s="27">
        <v>0</v>
      </c>
      <c r="F376" s="27">
        <v>0</v>
      </c>
      <c r="G376" s="28"/>
      <c r="H376" s="28"/>
      <c r="I376" s="28"/>
      <c r="J376" s="26">
        <f t="array" ref="J376">SUM($G$359:$I$359*DecCours*DecPasse^(B376-$B$359-1))</f>
        <v>134.58594588921471</v>
      </c>
      <c r="K376" s="27"/>
      <c r="L376" s="30"/>
      <c r="M376" s="6"/>
      <c r="N376" s="62"/>
      <c r="O376" s="62"/>
      <c r="P376" s="62"/>
      <c r="Q376" s="62"/>
      <c r="R376" s="62"/>
      <c r="S376" s="62"/>
      <c r="T376" s="62"/>
      <c r="U376" s="80"/>
      <c r="V376" s="62"/>
      <c r="W376" s="62"/>
      <c r="X376" s="62"/>
      <c r="Y376" s="62"/>
      <c r="Z376" s="62"/>
      <c r="AA376" s="79"/>
      <c r="AB376"/>
      <c r="AC376" s="56"/>
      <c r="AD376" s="70"/>
      <c r="AE376" s="71"/>
      <c r="AF376" s="72"/>
      <c r="AG376" s="72"/>
      <c r="AH376" s="128"/>
      <c r="AI376"/>
      <c r="AJ376" s="62"/>
      <c r="AK376" s="62"/>
      <c r="AL376" s="62"/>
      <c r="AM376" s="62"/>
      <c r="AN376" s="62"/>
      <c r="AO376" s="79"/>
    </row>
    <row r="377" spans="1:41" x14ac:dyDescent="0.25">
      <c r="A377" s="24" t="s">
        <v>9</v>
      </c>
      <c r="B377" s="25">
        <v>18</v>
      </c>
      <c r="C377" s="26">
        <v>0</v>
      </c>
      <c r="D377" s="27">
        <v>0</v>
      </c>
      <c r="E377" s="27">
        <v>0</v>
      </c>
      <c r="F377" s="27">
        <v>0</v>
      </c>
      <c r="G377" s="28"/>
      <c r="H377" s="28"/>
      <c r="I377" s="28"/>
      <c r="J377" s="26">
        <f t="array" ref="J377">SUM($G$359:$I$359*DecCours*DecPasse^(B377-$B$359-1))</f>
        <v>131.75840754812063</v>
      </c>
      <c r="K377" s="27"/>
      <c r="L377" s="30"/>
      <c r="M377" s="6"/>
      <c r="N377" s="62"/>
      <c r="O377" s="62"/>
      <c r="P377" s="62"/>
      <c r="Q377" s="62"/>
      <c r="R377" s="62"/>
      <c r="S377" s="62"/>
      <c r="T377" s="62"/>
      <c r="U377" s="80"/>
      <c r="V377" s="62"/>
      <c r="W377" s="62"/>
      <c r="X377" s="62"/>
      <c r="Y377" s="62"/>
      <c r="Z377" s="62"/>
      <c r="AA377" s="79"/>
      <c r="AB377"/>
      <c r="AC377" s="56"/>
      <c r="AD377" s="70"/>
      <c r="AE377" s="71"/>
      <c r="AF377" s="72"/>
      <c r="AG377" s="72"/>
      <c r="AH377" s="128"/>
      <c r="AI377"/>
      <c r="AJ377" s="62"/>
      <c r="AK377" s="62"/>
      <c r="AL377" s="62"/>
      <c r="AM377" s="62"/>
      <c r="AN377" s="62"/>
      <c r="AO377" s="79"/>
    </row>
    <row r="378" spans="1:41" x14ac:dyDescent="0.25">
      <c r="A378" s="24" t="s">
        <v>9</v>
      </c>
      <c r="B378" s="25">
        <v>19</v>
      </c>
      <c r="C378" s="26">
        <v>0</v>
      </c>
      <c r="D378" s="27">
        <v>0</v>
      </c>
      <c r="E378" s="27">
        <v>0</v>
      </c>
      <c r="F378" s="27">
        <v>0</v>
      </c>
      <c r="G378" s="28"/>
      <c r="H378" s="28"/>
      <c r="I378" s="28"/>
      <c r="J378" s="26">
        <f t="array" ref="J378">SUM($G$359:$I$359*DecCours*DecPasse^(B378-$B$359-1))</f>
        <v>129.00133403500274</v>
      </c>
      <c r="K378" s="27"/>
      <c r="L378" s="30"/>
      <c r="M378" s="6"/>
      <c r="N378" s="62"/>
      <c r="O378" s="62"/>
      <c r="P378" s="62"/>
      <c r="Q378" s="62"/>
      <c r="R378" s="62"/>
      <c r="S378" s="62"/>
      <c r="T378" s="62"/>
      <c r="U378" s="80"/>
      <c r="V378" s="62"/>
      <c r="W378" s="62"/>
      <c r="X378" s="62"/>
      <c r="Y378" s="62"/>
      <c r="Z378" s="62"/>
      <c r="AA378" s="79"/>
      <c r="AB378"/>
      <c r="AC378" s="56"/>
      <c r="AD378" s="70"/>
      <c r="AE378" s="71"/>
      <c r="AF378" s="72"/>
      <c r="AG378" s="72"/>
      <c r="AH378" s="128"/>
      <c r="AI378"/>
      <c r="AJ378" s="62"/>
      <c r="AK378" s="62"/>
      <c r="AL378" s="62"/>
      <c r="AM378" s="62"/>
      <c r="AN378" s="62"/>
      <c r="AO378" s="79"/>
    </row>
    <row r="379" spans="1:41" x14ac:dyDescent="0.25">
      <c r="A379" s="24" t="s">
        <v>9</v>
      </c>
      <c r="B379" s="25">
        <v>20</v>
      </c>
      <c r="C379" s="26">
        <v>0</v>
      </c>
      <c r="D379" s="27">
        <v>0</v>
      </c>
      <c r="E379" s="27">
        <v>0</v>
      </c>
      <c r="F379" s="27">
        <v>0</v>
      </c>
      <c r="G379" s="28"/>
      <c r="H379" s="28"/>
      <c r="I379" s="28"/>
      <c r="J379" s="26">
        <f t="array" ref="J379">SUM($G$359:$I$359*DecCours*DecPasse^(B379-$B$359-1))</f>
        <v>126.31004292060462</v>
      </c>
      <c r="K379" s="27"/>
      <c r="L379" s="30"/>
      <c r="M379" s="6"/>
      <c r="N379" s="62"/>
      <c r="O379" s="62"/>
      <c r="P379" s="62"/>
      <c r="Q379" s="62"/>
      <c r="R379" s="62"/>
      <c r="S379" s="62"/>
      <c r="T379" s="62"/>
      <c r="U379" s="80"/>
      <c r="V379" s="62"/>
      <c r="W379" s="62"/>
      <c r="X379" s="62"/>
      <c r="Y379" s="62"/>
      <c r="Z379" s="62"/>
      <c r="AA379" s="79"/>
      <c r="AB379"/>
      <c r="AC379" s="56"/>
      <c r="AD379" s="70"/>
      <c r="AE379" s="71"/>
      <c r="AF379" s="72"/>
      <c r="AG379" s="72"/>
      <c r="AH379" s="128"/>
      <c r="AI379"/>
      <c r="AJ379" s="62"/>
      <c r="AK379" s="62"/>
      <c r="AL379" s="62"/>
      <c r="AM379" s="62"/>
      <c r="AN379" s="62"/>
      <c r="AO379" s="79"/>
    </row>
    <row r="380" spans="1:41" x14ac:dyDescent="0.25">
      <c r="A380" s="24" t="s">
        <v>9</v>
      </c>
      <c r="B380" s="25">
        <v>21</v>
      </c>
      <c r="C380" s="26">
        <v>0</v>
      </c>
      <c r="D380" s="27">
        <v>0</v>
      </c>
      <c r="E380" s="27">
        <v>0</v>
      </c>
      <c r="F380" s="27">
        <v>0</v>
      </c>
      <c r="G380" s="28"/>
      <c r="H380" s="28"/>
      <c r="I380" s="28"/>
      <c r="J380" s="26">
        <f t="array" ref="J380">SUM($G$359:$I$359*DecCours*DecPasse^(B380-$B$359-1))</f>
        <v>123.68088030584768</v>
      </c>
      <c r="K380" s="27"/>
      <c r="L380" s="30"/>
      <c r="M380" s="6"/>
      <c r="N380" s="62"/>
      <c r="O380" s="62"/>
      <c r="P380" s="62"/>
      <c r="Q380" s="62"/>
      <c r="R380" s="62"/>
      <c r="S380" s="62"/>
      <c r="T380" s="62"/>
      <c r="U380" s="80"/>
      <c r="V380" s="62"/>
      <c r="W380" s="62"/>
      <c r="X380" s="62"/>
      <c r="Y380" s="62"/>
      <c r="Z380" s="62"/>
      <c r="AA380" s="79"/>
      <c r="AB380"/>
      <c r="AC380" s="56"/>
      <c r="AD380" s="70"/>
      <c r="AE380" s="71"/>
      <c r="AF380" s="72"/>
      <c r="AG380" s="72"/>
      <c r="AH380" s="128"/>
      <c r="AI380"/>
      <c r="AJ380" s="62"/>
      <c r="AK380" s="62"/>
      <c r="AL380" s="62"/>
      <c r="AM380" s="62"/>
      <c r="AN380" s="62"/>
      <c r="AO380" s="79"/>
    </row>
    <row r="381" spans="1:41" x14ac:dyDescent="0.25">
      <c r="A381" s="24" t="s">
        <v>9</v>
      </c>
      <c r="B381" s="25">
        <v>22</v>
      </c>
      <c r="C381" s="26">
        <v>0</v>
      </c>
      <c r="D381" s="27">
        <v>0</v>
      </c>
      <c r="E381" s="27">
        <v>0</v>
      </c>
      <c r="F381" s="27">
        <v>0</v>
      </c>
      <c r="G381" s="28"/>
      <c r="H381" s="28"/>
      <c r="I381" s="28"/>
      <c r="J381" s="26">
        <f t="array" ref="J381">SUM($G$359:$I$359*DecCours*DecPasse^(B381-$B$359-1))</f>
        <v>121.11092711795679</v>
      </c>
      <c r="K381" s="27"/>
      <c r="L381" s="30"/>
      <c r="M381" s="6"/>
      <c r="N381" s="62"/>
      <c r="O381" s="62"/>
      <c r="P381" s="62"/>
      <c r="Q381" s="62"/>
      <c r="R381" s="62"/>
      <c r="S381" s="62"/>
      <c r="T381" s="62"/>
      <c r="U381" s="80"/>
      <c r="V381" s="62"/>
      <c r="W381" s="62"/>
      <c r="X381" s="62"/>
      <c r="Y381" s="62"/>
      <c r="Z381" s="62"/>
      <c r="AA381" s="79"/>
      <c r="AB381"/>
      <c r="AC381" s="56"/>
      <c r="AD381" s="70"/>
      <c r="AE381" s="71"/>
      <c r="AF381" s="72"/>
      <c r="AG381" s="72"/>
      <c r="AH381" s="128"/>
      <c r="AI381"/>
      <c r="AJ381" s="62"/>
      <c r="AK381" s="62"/>
      <c r="AL381" s="62"/>
      <c r="AM381" s="62"/>
      <c r="AN381" s="62"/>
      <c r="AO381" s="79"/>
    </row>
    <row r="382" spans="1:41" x14ac:dyDescent="0.25">
      <c r="A382" s="24" t="s">
        <v>9</v>
      </c>
      <c r="B382" s="25">
        <v>23</v>
      </c>
      <c r="C382" s="26">
        <v>0</v>
      </c>
      <c r="D382" s="27">
        <v>0</v>
      </c>
      <c r="E382" s="27">
        <v>0</v>
      </c>
      <c r="F382" s="27">
        <v>0</v>
      </c>
      <c r="G382" s="28"/>
      <c r="H382" s="28"/>
      <c r="I382" s="28"/>
      <c r="J382" s="26">
        <f t="array" ref="J382">SUM($G$359:$I$359*DecCours*DecPasse^(B382-$B$359-1))</f>
        <v>118.59779126003917</v>
      </c>
      <c r="K382" s="27"/>
      <c r="L382" s="30"/>
      <c r="M382" s="6"/>
      <c r="N382" s="62"/>
      <c r="O382" s="62"/>
      <c r="P382" s="62"/>
      <c r="Q382" s="62"/>
      <c r="R382" s="62"/>
      <c r="S382" s="62"/>
      <c r="T382" s="62"/>
      <c r="U382" s="80"/>
      <c r="V382" s="62"/>
      <c r="W382" s="62"/>
      <c r="X382" s="62"/>
      <c r="Y382" s="62"/>
      <c r="Z382" s="62"/>
      <c r="AA382" s="79"/>
      <c r="AB382"/>
      <c r="AC382" s="56"/>
      <c r="AD382" s="70"/>
      <c r="AE382" s="71"/>
      <c r="AF382" s="72"/>
      <c r="AG382" s="72"/>
      <c r="AH382" s="128"/>
      <c r="AI382"/>
      <c r="AJ382" s="62"/>
      <c r="AK382" s="62"/>
      <c r="AL382" s="62"/>
      <c r="AM382" s="62"/>
      <c r="AN382" s="62"/>
      <c r="AO382" s="79"/>
    </row>
    <row r="383" spans="1:41" x14ac:dyDescent="0.25">
      <c r="A383" s="24" t="s">
        <v>9</v>
      </c>
      <c r="B383" s="25">
        <v>24</v>
      </c>
      <c r="C383" s="26">
        <v>0</v>
      </c>
      <c r="D383" s="27">
        <v>0</v>
      </c>
      <c r="E383" s="27">
        <v>0</v>
      </c>
      <c r="F383" s="27">
        <v>0</v>
      </c>
      <c r="G383" s="28"/>
      <c r="H383" s="28"/>
      <c r="I383" s="28"/>
      <c r="J383" s="26">
        <f t="array" ref="J383">SUM($G$359:$I$359*DecCours*DecPasse^(B383-$B$359-1))</f>
        <v>116.1394604721781</v>
      </c>
      <c r="K383" s="27"/>
      <c r="L383" s="30"/>
      <c r="M383" s="6"/>
      <c r="N383" s="62"/>
      <c r="O383" s="62"/>
      <c r="P383" s="62"/>
      <c r="Q383" s="62"/>
      <c r="R383" s="62"/>
      <c r="S383" s="62"/>
      <c r="T383" s="62"/>
      <c r="U383" s="80"/>
      <c r="V383" s="62"/>
      <c r="W383" s="62"/>
      <c r="X383" s="62"/>
      <c r="Y383" s="62"/>
      <c r="Z383" s="62"/>
      <c r="AA383" s="79"/>
      <c r="AB383"/>
      <c r="AC383" s="56"/>
      <c r="AD383" s="70"/>
      <c r="AE383" s="71"/>
      <c r="AF383" s="72"/>
      <c r="AG383" s="72"/>
      <c r="AH383" s="128"/>
      <c r="AI383"/>
      <c r="AJ383" s="62"/>
      <c r="AK383" s="62"/>
      <c r="AL383" s="62"/>
      <c r="AM383" s="62"/>
      <c r="AN383" s="62"/>
      <c r="AO383" s="79"/>
    </row>
    <row r="384" spans="1:41" x14ac:dyDescent="0.25">
      <c r="A384" s="24" t="s">
        <v>9</v>
      </c>
      <c r="B384" s="25">
        <v>25</v>
      </c>
      <c r="C384" s="26">
        <v>0</v>
      </c>
      <c r="D384" s="27">
        <v>0</v>
      </c>
      <c r="E384" s="27">
        <v>0</v>
      </c>
      <c r="F384" s="27">
        <v>0</v>
      </c>
      <c r="G384" s="28"/>
      <c r="H384" s="28"/>
      <c r="I384" s="28"/>
      <c r="J384" s="26">
        <f t="array" ref="J384">SUM($G$359:$I$359*DecCours*DecPasse^(B384-$B$359-1))</f>
        <v>113.73419812591162</v>
      </c>
      <c r="K384" s="27"/>
      <c r="L384" s="30"/>
      <c r="M384" s="6"/>
      <c r="N384" s="62"/>
      <c r="O384" s="62"/>
      <c r="P384" s="62"/>
      <c r="Q384" s="62"/>
      <c r="R384" s="62"/>
      <c r="S384" s="62"/>
      <c r="T384" s="62"/>
      <c r="U384" s="80"/>
      <c r="V384" s="62"/>
      <c r="W384" s="62"/>
      <c r="X384" s="62"/>
      <c r="Y384" s="62"/>
      <c r="Z384" s="62"/>
      <c r="AA384" s="79"/>
      <c r="AB384"/>
      <c r="AC384" s="56"/>
      <c r="AD384" s="70"/>
      <c r="AE384" s="71"/>
      <c r="AF384" s="72"/>
      <c r="AG384" s="72"/>
      <c r="AH384" s="128"/>
      <c r="AI384"/>
      <c r="AJ384" s="62"/>
      <c r="AK384" s="62"/>
      <c r="AL384" s="62"/>
      <c r="AM384" s="62"/>
      <c r="AN384" s="62"/>
      <c r="AO384" s="79"/>
    </row>
    <row r="385" spans="1:41" x14ac:dyDescent="0.25">
      <c r="A385" s="24" t="s">
        <v>9</v>
      </c>
      <c r="B385" s="25">
        <v>26</v>
      </c>
      <c r="C385" s="26">
        <v>0</v>
      </c>
      <c r="D385" s="27">
        <v>0</v>
      </c>
      <c r="E385" s="27">
        <v>0</v>
      </c>
      <c r="F385" s="27">
        <v>0</v>
      </c>
      <c r="G385" s="28"/>
      <c r="H385" s="28"/>
      <c r="I385" s="28"/>
      <c r="J385" s="26">
        <f t="array" ref="J385">SUM($G$359:$I$359*DecCours*DecPasse^(B385-$B$359-1))</f>
        <v>111.38046938096896</v>
      </c>
      <c r="K385" s="27"/>
      <c r="L385" s="30"/>
      <c r="M385" s="6"/>
      <c r="N385" s="62"/>
      <c r="O385" s="62"/>
      <c r="P385" s="62"/>
      <c r="Q385" s="62"/>
      <c r="R385" s="62"/>
      <c r="S385" s="62"/>
      <c r="T385" s="62"/>
      <c r="U385" s="80"/>
      <c r="V385" s="62"/>
      <c r="W385" s="62"/>
      <c r="X385" s="62"/>
      <c r="Y385" s="62"/>
      <c r="Z385" s="62"/>
      <c r="AA385" s="79"/>
      <c r="AB385"/>
      <c r="AC385" s="56"/>
      <c r="AD385" s="70"/>
      <c r="AE385" s="71"/>
      <c r="AF385" s="72"/>
      <c r="AG385" s="72"/>
      <c r="AH385" s="128"/>
      <c r="AI385"/>
      <c r="AJ385" s="62"/>
      <c r="AK385" s="62"/>
      <c r="AL385" s="62"/>
      <c r="AM385" s="62"/>
      <c r="AN385" s="62"/>
      <c r="AO385" s="79"/>
    </row>
    <row r="386" spans="1:41" x14ac:dyDescent="0.25">
      <c r="A386" s="24" t="s">
        <v>9</v>
      </c>
      <c r="B386" s="25">
        <v>27</v>
      </c>
      <c r="C386" s="26">
        <v>0</v>
      </c>
      <c r="D386" s="27">
        <v>0</v>
      </c>
      <c r="E386" s="27">
        <v>0</v>
      </c>
      <c r="F386" s="27">
        <v>0</v>
      </c>
      <c r="G386" s="28"/>
      <c r="H386" s="28"/>
      <c r="I386" s="28"/>
      <c r="J386" s="26">
        <f t="array" ref="J386">SUM($G$359:$I$359*DecCours*DecPasse^(B386-$B$359-1))</f>
        <v>109.07688881504419</v>
      </c>
      <c r="K386" s="27"/>
      <c r="L386" s="30"/>
      <c r="M386" s="6"/>
      <c r="N386" s="62"/>
      <c r="O386" s="62"/>
      <c r="P386" s="62"/>
      <c r="Q386" s="62"/>
      <c r="R386" s="62"/>
      <c r="S386" s="62"/>
      <c r="T386" s="62"/>
      <c r="U386" s="80"/>
      <c r="V386" s="62"/>
      <c r="W386" s="62"/>
      <c r="X386" s="62"/>
      <c r="Y386" s="62"/>
      <c r="Z386" s="62"/>
      <c r="AA386" s="79"/>
      <c r="AB386"/>
      <c r="AC386" s="56"/>
      <c r="AD386" s="70"/>
      <c r="AE386" s="71"/>
      <c r="AF386" s="72"/>
      <c r="AG386" s="72"/>
      <c r="AH386" s="128"/>
      <c r="AI386"/>
      <c r="AJ386" s="62"/>
      <c r="AK386" s="62"/>
      <c r="AL386" s="62"/>
      <c r="AM386" s="62"/>
      <c r="AN386" s="62"/>
      <c r="AO386" s="79"/>
    </row>
    <row r="387" spans="1:41" x14ac:dyDescent="0.25">
      <c r="A387" s="24" t="s">
        <v>9</v>
      </c>
      <c r="B387" s="25">
        <v>28</v>
      </c>
      <c r="C387" s="26">
        <v>0</v>
      </c>
      <c r="D387" s="27">
        <v>0</v>
      </c>
      <c r="E387" s="27">
        <v>0</v>
      </c>
      <c r="F387" s="27">
        <v>0</v>
      </c>
      <c r="G387" s="28"/>
      <c r="H387" s="28"/>
      <c r="I387" s="28"/>
      <c r="J387" s="26">
        <f t="array" ref="J387">SUM($G$359:$I$359*DecCours*DecPasse^(B387-$B$359-1))</f>
        <v>106.82218324089285</v>
      </c>
      <c r="K387" s="27"/>
      <c r="L387" s="30"/>
      <c r="M387" s="6"/>
      <c r="N387" s="62"/>
      <c r="O387" s="62"/>
      <c r="P387" s="62"/>
      <c r="Q387" s="62"/>
      <c r="R387" s="62"/>
      <c r="S387" s="62"/>
      <c r="T387" s="62"/>
      <c r="U387" s="80"/>
      <c r="V387" s="62"/>
      <c r="W387" s="62"/>
      <c r="X387" s="62"/>
      <c r="Y387" s="62"/>
      <c r="Z387" s="62"/>
      <c r="AA387" s="79"/>
      <c r="AB387"/>
      <c r="AC387" s="56"/>
      <c r="AD387" s="70"/>
      <c r="AE387" s="71"/>
      <c r="AF387" s="72"/>
      <c r="AG387" s="72"/>
      <c r="AH387" s="128"/>
      <c r="AI387"/>
      <c r="AJ387" s="62"/>
      <c r="AK387" s="62"/>
      <c r="AL387" s="62"/>
      <c r="AM387" s="62"/>
      <c r="AN387" s="62"/>
      <c r="AO387" s="79"/>
    </row>
    <row r="388" spans="1:41" x14ac:dyDescent="0.25">
      <c r="A388" s="24" t="s">
        <v>9</v>
      </c>
      <c r="B388" s="25">
        <v>29</v>
      </c>
      <c r="C388" s="26">
        <v>0</v>
      </c>
      <c r="D388" s="27">
        <v>0</v>
      </c>
      <c r="E388" s="27">
        <v>0</v>
      </c>
      <c r="F388" s="27">
        <v>0</v>
      </c>
      <c r="G388" s="28"/>
      <c r="H388" s="28"/>
      <c r="I388" s="28"/>
      <c r="J388" s="26">
        <f t="array" ref="J388">SUM($G$359:$I$359*DecCours*DecPasse^(B388-$B$359-1))</f>
        <v>104.6151652659936</v>
      </c>
      <c r="K388" s="27"/>
      <c r="L388" s="30"/>
      <c r="M388" s="6"/>
      <c r="N388" s="62"/>
      <c r="O388" s="62"/>
      <c r="P388" s="62"/>
      <c r="Q388" s="62"/>
      <c r="R388" s="62"/>
      <c r="S388" s="62"/>
      <c r="T388" s="62"/>
      <c r="U388" s="80"/>
      <c r="V388" s="62"/>
      <c r="W388" s="62"/>
      <c r="X388" s="62"/>
      <c r="Y388" s="62"/>
      <c r="Z388" s="62"/>
      <c r="AA388" s="79"/>
      <c r="AB388"/>
      <c r="AC388" s="56"/>
      <c r="AD388" s="70"/>
      <c r="AE388" s="71"/>
      <c r="AF388" s="72"/>
      <c r="AG388" s="72"/>
      <c r="AH388" s="128"/>
      <c r="AI388"/>
      <c r="AJ388" s="62"/>
      <c r="AK388" s="62"/>
      <c r="AL388" s="62"/>
      <c r="AM388" s="62"/>
      <c r="AN388" s="62"/>
      <c r="AO388" s="79"/>
    </row>
    <row r="389" spans="1:41" x14ac:dyDescent="0.25">
      <c r="A389" s="24" t="s">
        <v>9</v>
      </c>
      <c r="B389" s="25">
        <v>30</v>
      </c>
      <c r="C389" s="26">
        <v>0</v>
      </c>
      <c r="D389" s="27">
        <v>0</v>
      </c>
      <c r="E389" s="27">
        <v>0</v>
      </c>
      <c r="F389" s="27">
        <v>0</v>
      </c>
      <c r="G389" s="28"/>
      <c r="H389" s="28"/>
      <c r="I389" s="28"/>
      <c r="J389" s="26">
        <f t="array" ref="J389">SUM($G$359:$I$359*DecCours*DecPasse^(B389-$B$359-1))</f>
        <v>102.45471445177409</v>
      </c>
      <c r="K389" s="27"/>
      <c r="L389" s="30"/>
      <c r="M389" s="6"/>
      <c r="N389" s="62"/>
      <c r="O389" s="62"/>
      <c r="P389" s="62"/>
      <c r="Q389" s="62"/>
      <c r="R389" s="62"/>
      <c r="S389" s="62"/>
      <c r="T389" s="62"/>
      <c r="U389" s="80"/>
      <c r="V389" s="62"/>
      <c r="W389" s="62"/>
      <c r="X389" s="62"/>
      <c r="Y389" s="62"/>
      <c r="Z389" s="62"/>
      <c r="AA389" s="79"/>
      <c r="AB389"/>
      <c r="AC389" s="56"/>
      <c r="AD389" s="70"/>
      <c r="AE389" s="71"/>
      <c r="AF389" s="72"/>
      <c r="AG389" s="72"/>
      <c r="AH389" s="128"/>
      <c r="AI389"/>
      <c r="AJ389" s="62"/>
      <c r="AK389" s="62"/>
      <c r="AL389" s="62"/>
      <c r="AM389" s="62"/>
      <c r="AN389" s="62"/>
      <c r="AO389" s="79"/>
    </row>
    <row r="390" spans="1:41" x14ac:dyDescent="0.25">
      <c r="A390" s="24" t="s">
        <v>9</v>
      </c>
      <c r="B390" s="25">
        <v>31</v>
      </c>
      <c r="C390" s="26">
        <v>0</v>
      </c>
      <c r="D390" s="27">
        <v>0</v>
      </c>
      <c r="E390" s="27">
        <v>0</v>
      </c>
      <c r="F390" s="27">
        <v>0</v>
      </c>
      <c r="G390" s="28"/>
      <c r="H390" s="28"/>
      <c r="I390" s="28"/>
      <c r="J390" s="26">
        <f t="array" ref="J390">SUM($G$359:$I$359*DecCours*DecPasse^(B390-$B$359-1))</f>
        <v>100.33976384988182</v>
      </c>
      <c r="K390" s="27"/>
      <c r="L390" s="30"/>
      <c r="M390" s="6"/>
      <c r="N390" s="62"/>
      <c r="O390" s="62"/>
      <c r="P390" s="62"/>
      <c r="Q390" s="62"/>
      <c r="R390" s="62"/>
      <c r="S390" s="62"/>
      <c r="T390" s="62"/>
      <c r="U390" s="80"/>
      <c r="V390" s="62"/>
      <c r="W390" s="62"/>
      <c r="X390" s="62"/>
      <c r="Y390" s="62"/>
      <c r="Z390" s="62"/>
      <c r="AA390" s="79"/>
      <c r="AB390"/>
      <c r="AC390" s="56"/>
      <c r="AD390" s="70"/>
      <c r="AE390" s="71"/>
      <c r="AF390" s="72"/>
      <c r="AG390" s="72"/>
      <c r="AH390" s="128"/>
      <c r="AI390"/>
      <c r="AJ390" s="62"/>
      <c r="AK390" s="62"/>
      <c r="AL390" s="62"/>
      <c r="AM390" s="62"/>
      <c r="AN390" s="62"/>
      <c r="AO390" s="79"/>
    </row>
    <row r="391" spans="1:41" x14ac:dyDescent="0.25">
      <c r="A391" s="24" t="s">
        <v>9</v>
      </c>
      <c r="B391" s="25">
        <v>32</v>
      </c>
      <c r="C391" s="26">
        <v>0</v>
      </c>
      <c r="D391" s="27">
        <v>0</v>
      </c>
      <c r="E391" s="27">
        <v>0</v>
      </c>
      <c r="F391" s="27">
        <v>0</v>
      </c>
      <c r="G391" s="28"/>
      <c r="H391" s="28"/>
      <c r="I391" s="28"/>
      <c r="J391" s="26">
        <f t="array" ref="J391">SUM($G$359:$I$359*DecCours*DecPasse^(B391-$B$359-1))</f>
        <v>98.269290343862409</v>
      </c>
      <c r="K391" s="27"/>
      <c r="L391" s="30"/>
      <c r="M391" s="6"/>
      <c r="N391" s="62"/>
      <c r="O391" s="62"/>
      <c r="P391" s="62"/>
      <c r="Q391" s="62"/>
      <c r="R391" s="62"/>
      <c r="S391" s="62"/>
      <c r="T391" s="62"/>
      <c r="U391" s="80"/>
      <c r="V391" s="62"/>
      <c r="W391" s="62"/>
      <c r="X391" s="62"/>
      <c r="Y391" s="62"/>
      <c r="Z391" s="62"/>
      <c r="AA391" s="79"/>
      <c r="AB391"/>
      <c r="AC391" s="56"/>
      <c r="AD391" s="70"/>
      <c r="AE391" s="71"/>
      <c r="AF391" s="72"/>
      <c r="AG391" s="72"/>
      <c r="AH391" s="128"/>
      <c r="AI391"/>
      <c r="AJ391" s="62"/>
      <c r="AK391" s="62"/>
      <c r="AL391" s="62"/>
      <c r="AM391" s="62"/>
      <c r="AN391" s="62"/>
      <c r="AO391" s="79"/>
    </row>
    <row r="392" spans="1:41" x14ac:dyDescent="0.25">
      <c r="A392" s="24" t="s">
        <v>9</v>
      </c>
      <c r="B392" s="25">
        <v>33</v>
      </c>
      <c r="C392" s="26">
        <v>0</v>
      </c>
      <c r="D392" s="27">
        <v>0</v>
      </c>
      <c r="E392" s="27">
        <v>0</v>
      </c>
      <c r="F392" s="27">
        <v>0</v>
      </c>
      <c r="G392" s="28"/>
      <c r="H392" s="28"/>
      <c r="I392" s="28"/>
      <c r="J392" s="26">
        <f t="array" ref="J392">SUM($G$359:$I$359*DecCours*DecPasse^(B392-$B$359-1))</f>
        <v>96.242307684852648</v>
      </c>
      <c r="K392" s="27"/>
      <c r="L392" s="30"/>
      <c r="M392" s="6"/>
      <c r="N392" s="62"/>
      <c r="O392" s="62"/>
      <c r="P392" s="62"/>
      <c r="Q392" s="62"/>
      <c r="R392" s="62"/>
      <c r="S392" s="62"/>
      <c r="T392" s="62"/>
      <c r="U392" s="80"/>
      <c r="V392" s="62"/>
      <c r="W392" s="62"/>
      <c r="X392" s="62"/>
      <c r="Y392" s="62"/>
      <c r="Z392" s="62"/>
      <c r="AA392" s="79"/>
      <c r="AB392"/>
      <c r="AC392" s="56"/>
      <c r="AD392" s="70"/>
      <c r="AE392" s="71"/>
      <c r="AF392" s="72"/>
      <c r="AG392" s="72"/>
      <c r="AH392" s="128"/>
      <c r="AI392"/>
      <c r="AJ392" s="62"/>
      <c r="AK392" s="62"/>
      <c r="AL392" s="62"/>
      <c r="AM392" s="62"/>
      <c r="AN392" s="62"/>
      <c r="AO392" s="79"/>
    </row>
    <row r="393" spans="1:41" x14ac:dyDescent="0.25">
      <c r="A393" s="24" t="s">
        <v>9</v>
      </c>
      <c r="B393" s="25">
        <v>34</v>
      </c>
      <c r="C393" s="26">
        <v>0</v>
      </c>
      <c r="D393" s="27">
        <v>0</v>
      </c>
      <c r="E393" s="27">
        <v>0</v>
      </c>
      <c r="F393" s="27">
        <v>0</v>
      </c>
      <c r="G393" s="28"/>
      <c r="H393" s="28"/>
      <c r="I393" s="28"/>
      <c r="J393" s="26">
        <f t="array" ref="J393">SUM($G$359:$I$359*DecCours*DecPasse^(B393-$B$359-1))</f>
        <v>94.257861435338782</v>
      </c>
      <c r="K393" s="27"/>
      <c r="L393" s="30"/>
      <c r="M393" s="6"/>
      <c r="N393" s="62"/>
      <c r="O393" s="62"/>
      <c r="P393" s="62"/>
      <c r="Q393" s="62"/>
      <c r="R393" s="62"/>
      <c r="S393" s="62"/>
      <c r="T393" s="62"/>
      <c r="U393" s="80"/>
      <c r="V393" s="62"/>
      <c r="W393" s="62"/>
      <c r="X393" s="62"/>
      <c r="Y393" s="62"/>
      <c r="Z393" s="62"/>
      <c r="AA393" s="79"/>
      <c r="AB393"/>
      <c r="AC393" s="56"/>
      <c r="AD393" s="70"/>
      <c r="AE393" s="71"/>
      <c r="AF393" s="72"/>
      <c r="AG393" s="72"/>
      <c r="AH393" s="128"/>
      <c r="AI393"/>
      <c r="AJ393" s="62"/>
      <c r="AK393" s="62"/>
      <c r="AL393" s="62"/>
      <c r="AM393" s="62"/>
      <c r="AN393" s="62"/>
      <c r="AO393" s="79"/>
    </row>
    <row r="394" spans="1:41" x14ac:dyDescent="0.25">
      <c r="A394" s="24" t="s">
        <v>9</v>
      </c>
      <c r="B394" s="25">
        <v>35</v>
      </c>
      <c r="C394" s="26">
        <v>0</v>
      </c>
      <c r="D394" s="27">
        <v>0</v>
      </c>
      <c r="E394" s="27">
        <v>0</v>
      </c>
      <c r="F394" s="27">
        <v>0</v>
      </c>
      <c r="G394" s="28"/>
      <c r="H394" s="28"/>
      <c r="I394" s="28"/>
      <c r="J394" s="26">
        <f t="array" ref="J394">SUM($G$359:$I$359*DecCours*DecPasse^(B394-$B$359-1))</f>
        <v>92.315025265156706</v>
      </c>
      <c r="K394" s="27"/>
      <c r="L394" s="30"/>
      <c r="M394" s="6"/>
      <c r="N394" s="62"/>
      <c r="O394" s="62"/>
      <c r="P394" s="62"/>
      <c r="Q394" s="62"/>
      <c r="R394" s="62"/>
      <c r="S394" s="62"/>
      <c r="T394" s="62"/>
      <c r="U394" s="80"/>
      <c r="V394" s="62"/>
      <c r="W394" s="62"/>
      <c r="X394" s="62"/>
      <c r="Y394" s="62"/>
      <c r="Z394" s="62"/>
      <c r="AA394" s="79"/>
      <c r="AB394"/>
      <c r="AC394" s="56"/>
      <c r="AD394" s="70"/>
      <c r="AE394" s="71"/>
      <c r="AF394" s="72"/>
      <c r="AG394" s="72"/>
      <c r="AH394" s="128"/>
      <c r="AI394"/>
      <c r="AJ394" s="62"/>
      <c r="AK394" s="62"/>
      <c r="AL394" s="62"/>
      <c r="AM394" s="62"/>
      <c r="AN394" s="62"/>
      <c r="AO394" s="79"/>
    </row>
    <row r="395" spans="1:41" x14ac:dyDescent="0.25">
      <c r="A395" s="24" t="s">
        <v>9</v>
      </c>
      <c r="B395" s="25">
        <v>36</v>
      </c>
      <c r="C395" s="26">
        <v>0</v>
      </c>
      <c r="D395" s="27">
        <v>0</v>
      </c>
      <c r="E395" s="27">
        <v>0</v>
      </c>
      <c r="F395" s="27">
        <v>0</v>
      </c>
      <c r="G395" s="28"/>
      <c r="H395" s="28"/>
      <c r="I395" s="28"/>
      <c r="J395" s="26">
        <f t="array" ref="J395">SUM($G$359:$I$359*DecCours*DecPasse^(B395-$B$359-1))</f>
        <v>90.412898206635475</v>
      </c>
      <c r="K395" s="27"/>
      <c r="L395" s="30"/>
      <c r="M395" s="6"/>
      <c r="N395" s="62"/>
      <c r="O395" s="62"/>
      <c r="P395" s="62"/>
      <c r="Q395" s="62"/>
      <c r="R395" s="62"/>
      <c r="S395" s="62"/>
      <c r="T395" s="62"/>
      <c r="U395" s="80"/>
      <c r="V395" s="62"/>
      <c r="W395" s="62"/>
      <c r="X395" s="62"/>
      <c r="Y395" s="62"/>
      <c r="Z395" s="62"/>
      <c r="AA395" s="79"/>
      <c r="AB395"/>
      <c r="AC395" s="56"/>
      <c r="AD395" s="70"/>
      <c r="AE395" s="71"/>
      <c r="AF395" s="72"/>
      <c r="AG395" s="72"/>
      <c r="AH395" s="128"/>
      <c r="AI395"/>
      <c r="AJ395" s="62"/>
      <c r="AK395" s="62"/>
      <c r="AL395" s="62"/>
      <c r="AM395" s="62"/>
      <c r="AN395" s="62"/>
      <c r="AO395" s="79"/>
    </row>
    <row r="396" spans="1:41" x14ac:dyDescent="0.25">
      <c r="A396" s="24" t="s">
        <v>9</v>
      </c>
      <c r="B396" s="25">
        <v>37</v>
      </c>
      <c r="C396" s="26">
        <v>0</v>
      </c>
      <c r="D396" s="27">
        <v>0</v>
      </c>
      <c r="E396" s="27">
        <v>0</v>
      </c>
      <c r="F396" s="27">
        <v>0</v>
      </c>
      <c r="G396" s="28"/>
      <c r="H396" s="28"/>
      <c r="I396" s="28"/>
      <c r="J396" s="26">
        <f t="array" ref="J396">SUM($G$359:$I$359*DecCours*DecPasse^(B396-$B$359-1))</f>
        <v>88.550602590851156</v>
      </c>
      <c r="K396" s="27"/>
      <c r="L396" s="30"/>
      <c r="M396" s="6"/>
      <c r="N396" s="62"/>
      <c r="O396" s="62"/>
      <c r="P396" s="62"/>
      <c r="Q396" s="62"/>
      <c r="R396" s="62"/>
      <c r="S396" s="62"/>
      <c r="T396" s="62"/>
      <c r="U396" s="80"/>
      <c r="V396" s="62"/>
      <c r="W396" s="62"/>
      <c r="X396" s="62"/>
      <c r="Y396" s="62"/>
      <c r="Z396" s="62"/>
      <c r="AA396" s="79"/>
      <c r="AB396"/>
      <c r="AC396" s="56"/>
      <c r="AD396" s="70"/>
      <c r="AE396" s="71"/>
      <c r="AF396" s="72"/>
      <c r="AG396" s="72"/>
      <c r="AH396" s="128"/>
      <c r="AI396"/>
      <c r="AJ396" s="62"/>
      <c r="AK396" s="62"/>
      <c r="AL396" s="62"/>
      <c r="AM396" s="62"/>
      <c r="AN396" s="62"/>
      <c r="AO396" s="79"/>
    </row>
    <row r="397" spans="1:41" x14ac:dyDescent="0.25">
      <c r="A397" s="24" t="s">
        <v>9</v>
      </c>
      <c r="B397" s="25">
        <v>38</v>
      </c>
      <c r="C397" s="26">
        <v>0</v>
      </c>
      <c r="D397" s="27">
        <v>0</v>
      </c>
      <c r="E397" s="27">
        <v>0</v>
      </c>
      <c r="F397" s="27">
        <v>0</v>
      </c>
      <c r="G397" s="28"/>
      <c r="H397" s="28"/>
      <c r="I397" s="28"/>
      <c r="J397" s="26">
        <f t="array" ref="J397">SUM($G$359:$I$359*DecCours*DecPasse^(B397-$B$359-1))</f>
        <v>86.727282468324105</v>
      </c>
      <c r="K397" s="27"/>
      <c r="L397" s="30"/>
      <c r="M397" s="6"/>
      <c r="N397" s="62"/>
      <c r="O397" s="62"/>
      <c r="P397" s="62"/>
      <c r="Q397" s="62"/>
      <c r="R397" s="62"/>
      <c r="S397" s="62"/>
      <c r="T397" s="62"/>
      <c r="U397" s="80"/>
      <c r="V397" s="62"/>
      <c r="W397" s="62"/>
      <c r="X397" s="62"/>
      <c r="Y397" s="62"/>
      <c r="Z397" s="62"/>
      <c r="AA397" s="79"/>
      <c r="AB397"/>
      <c r="AC397" s="56"/>
      <c r="AD397" s="70"/>
      <c r="AE397" s="71"/>
      <c r="AF397" s="72"/>
      <c r="AG397" s="72"/>
      <c r="AH397" s="128"/>
      <c r="AI397"/>
      <c r="AJ397" s="62"/>
      <c r="AK397" s="62"/>
      <c r="AL397" s="62"/>
      <c r="AM397" s="62"/>
      <c r="AN397" s="62"/>
      <c r="AO397" s="79"/>
    </row>
    <row r="398" spans="1:41" x14ac:dyDescent="0.25">
      <c r="A398" s="24" t="s">
        <v>9</v>
      </c>
      <c r="B398" s="25">
        <v>39</v>
      </c>
      <c r="C398" s="26">
        <v>0</v>
      </c>
      <c r="D398" s="27">
        <v>0</v>
      </c>
      <c r="E398" s="27">
        <v>0</v>
      </c>
      <c r="F398" s="27">
        <v>0</v>
      </c>
      <c r="G398" s="28"/>
      <c r="H398" s="28"/>
      <c r="I398" s="28"/>
      <c r="J398" s="26">
        <f t="array" ref="J398">SUM($G$359:$I$359*DecCours*DecPasse^(B398-$B$359-1))</f>
        <v>84.942102375027346</v>
      </c>
      <c r="K398" s="27"/>
      <c r="L398" s="30"/>
      <c r="M398" s="6"/>
      <c r="N398" s="62"/>
      <c r="O398" s="62"/>
      <c r="P398" s="62"/>
      <c r="Q398" s="62"/>
      <c r="R398" s="62"/>
      <c r="S398" s="62"/>
      <c r="T398" s="62"/>
      <c r="U398" s="80"/>
      <c r="V398" s="62"/>
      <c r="W398" s="62"/>
      <c r="X398" s="62"/>
      <c r="Y398" s="62"/>
      <c r="Z398" s="62"/>
      <c r="AA398" s="79"/>
      <c r="AB398"/>
      <c r="AC398" s="56"/>
      <c r="AD398" s="70"/>
      <c r="AE398" s="71"/>
      <c r="AF398" s="72"/>
      <c r="AG398" s="72"/>
      <c r="AH398" s="128"/>
      <c r="AI398"/>
      <c r="AJ398" s="62"/>
      <c r="AK398" s="62"/>
      <c r="AL398" s="62"/>
      <c r="AM398" s="62"/>
      <c r="AN398" s="62"/>
      <c r="AO398" s="79"/>
    </row>
    <row r="399" spans="1:41" x14ac:dyDescent="0.25">
      <c r="A399" s="24" t="s">
        <v>9</v>
      </c>
      <c r="B399" s="25">
        <v>40</v>
      </c>
      <c r="C399" s="26">
        <v>0</v>
      </c>
      <c r="D399" s="27">
        <v>0</v>
      </c>
      <c r="E399" s="27">
        <v>0</v>
      </c>
      <c r="F399" s="27">
        <v>0</v>
      </c>
      <c r="G399" s="28"/>
      <c r="H399" s="28"/>
      <c r="I399" s="28"/>
      <c r="J399" s="26">
        <f t="array" ref="J399">SUM($G$359:$I$359*DecCours*DecPasse^(B399-$B$359-1))</f>
        <v>83.194246345260851</v>
      </c>
      <c r="K399" s="27"/>
      <c r="L399" s="30"/>
      <c r="M399" s="6"/>
      <c r="N399" s="62"/>
      <c r="O399" s="62"/>
      <c r="P399" s="62"/>
      <c r="Q399" s="62"/>
      <c r="R399" s="62"/>
      <c r="S399" s="62"/>
      <c r="T399" s="62"/>
      <c r="U399" s="80"/>
      <c r="V399" s="62"/>
      <c r="W399" s="62"/>
      <c r="X399" s="62"/>
      <c r="Y399" s="62"/>
      <c r="Z399" s="62"/>
      <c r="AA399" s="79"/>
      <c r="AB399"/>
      <c r="AC399" s="56"/>
      <c r="AD399" s="70"/>
      <c r="AE399" s="71"/>
      <c r="AF399" s="72"/>
      <c r="AG399" s="72"/>
      <c r="AH399" s="128"/>
      <c r="AI399"/>
      <c r="AJ399" s="62"/>
      <c r="AK399" s="62"/>
      <c r="AL399" s="62"/>
      <c r="AM399" s="62"/>
      <c r="AN399" s="62"/>
      <c r="AO399" s="79"/>
    </row>
    <row r="400" spans="1:41" x14ac:dyDescent="0.25">
      <c r="A400" s="24" t="s">
        <v>9</v>
      </c>
      <c r="B400" s="25">
        <v>41</v>
      </c>
      <c r="C400" s="26">
        <v>0</v>
      </c>
      <c r="D400" s="27">
        <v>0</v>
      </c>
      <c r="E400" s="27">
        <v>0</v>
      </c>
      <c r="F400" s="27">
        <v>0</v>
      </c>
      <c r="G400" s="28"/>
      <c r="H400" s="28"/>
      <c r="I400" s="28"/>
      <c r="J400" s="26">
        <f t="array" ref="J400">SUM($G$359:$I$359*DecCours*DecPasse^(B400-$B$359-1))</f>
        <v>81.482917101715472</v>
      </c>
      <c r="K400" s="27"/>
      <c r="L400" s="30"/>
      <c r="M400" s="6"/>
      <c r="N400" s="62"/>
      <c r="O400" s="62"/>
      <c r="P400" s="62"/>
      <c r="Q400" s="62"/>
      <c r="R400" s="62"/>
      <c r="S400" s="62"/>
      <c r="T400" s="62"/>
      <c r="U400" s="80"/>
      <c r="V400" s="62"/>
      <c r="W400" s="62"/>
      <c r="X400" s="62"/>
      <c r="Y400" s="62"/>
      <c r="Z400" s="62"/>
      <c r="AA400" s="79"/>
      <c r="AB400"/>
      <c r="AC400" s="56"/>
      <c r="AD400" s="70"/>
      <c r="AE400" s="71"/>
      <c r="AF400" s="72"/>
      <c r="AG400" s="72"/>
      <c r="AH400" s="128"/>
      <c r="AI400"/>
      <c r="AJ400" s="62"/>
      <c r="AK400" s="62"/>
      <c r="AL400" s="62"/>
      <c r="AM400" s="62"/>
      <c r="AN400" s="62"/>
      <c r="AO400" s="79"/>
    </row>
    <row r="401" spans="1:41" x14ac:dyDescent="0.25">
      <c r="A401" s="24" t="s">
        <v>9</v>
      </c>
      <c r="B401" s="25">
        <v>42</v>
      </c>
      <c r="C401" s="26">
        <v>0</v>
      </c>
      <c r="D401" s="27">
        <v>0</v>
      </c>
      <c r="E401" s="27">
        <v>0</v>
      </c>
      <c r="F401" s="27">
        <v>0</v>
      </c>
      <c r="G401" s="28"/>
      <c r="H401" s="28"/>
      <c r="I401" s="28"/>
      <c r="J401" s="26">
        <f t="array" ref="J401">SUM($G$359:$I$359*DecCours*DecPasse^(B401-$B$359-1))</f>
        <v>79.807335373397024</v>
      </c>
      <c r="K401" s="27"/>
      <c r="L401" s="30"/>
      <c r="M401" s="6"/>
      <c r="N401" s="62"/>
      <c r="O401" s="62"/>
      <c r="P401" s="62"/>
      <c r="Q401" s="62"/>
      <c r="R401" s="62"/>
      <c r="S401" s="62"/>
      <c r="T401" s="62"/>
      <c r="U401" s="80"/>
      <c r="V401" s="62"/>
      <c r="W401" s="62"/>
      <c r="X401" s="62"/>
      <c r="Y401" s="62"/>
      <c r="Z401" s="62"/>
      <c r="AA401" s="79"/>
      <c r="AB401"/>
      <c r="AC401" s="56"/>
      <c r="AD401" s="70"/>
      <c r="AE401" s="71"/>
      <c r="AF401" s="72"/>
      <c r="AG401" s="72"/>
      <c r="AH401" s="128"/>
      <c r="AI401"/>
      <c r="AJ401" s="62"/>
      <c r="AK401" s="62"/>
      <c r="AL401" s="62"/>
      <c r="AM401" s="62"/>
      <c r="AN401" s="62"/>
      <c r="AO401" s="79"/>
    </row>
    <row r="402" spans="1:41" x14ac:dyDescent="0.25">
      <c r="A402" s="24" t="s">
        <v>9</v>
      </c>
      <c r="B402" s="25">
        <v>43</v>
      </c>
      <c r="C402" s="26">
        <v>0</v>
      </c>
      <c r="D402" s="27">
        <v>0</v>
      </c>
      <c r="E402" s="27">
        <v>0</v>
      </c>
      <c r="F402" s="27">
        <v>0</v>
      </c>
      <c r="G402" s="28"/>
      <c r="H402" s="28"/>
      <c r="I402" s="28"/>
      <c r="J402" s="26">
        <f t="array" ref="J402">SUM($G$359:$I$359*DecCours*DecPasse^(B402-$B$359-1))</f>
        <v>78.166739306467989</v>
      </c>
      <c r="K402" s="27"/>
      <c r="L402" s="30"/>
      <c r="M402" s="6"/>
      <c r="N402" s="62"/>
      <c r="O402" s="62"/>
      <c r="P402" s="62"/>
      <c r="Q402" s="62"/>
      <c r="R402" s="62"/>
      <c r="S402" s="62"/>
      <c r="T402" s="62"/>
      <c r="U402" s="80"/>
      <c r="V402" s="62"/>
      <c r="W402" s="62"/>
      <c r="X402" s="62"/>
      <c r="Y402" s="62"/>
      <c r="Z402" s="62"/>
      <c r="AA402" s="79"/>
      <c r="AB402"/>
      <c r="AC402" s="56"/>
      <c r="AD402" s="70"/>
      <c r="AE402" s="71"/>
      <c r="AF402" s="72"/>
      <c r="AG402" s="72"/>
      <c r="AH402" s="128"/>
      <c r="AI402"/>
      <c r="AJ402" s="62"/>
      <c r="AK402" s="62"/>
      <c r="AL402" s="62"/>
      <c r="AM402" s="62"/>
      <c r="AN402" s="62"/>
      <c r="AO402" s="79"/>
    </row>
    <row r="403" spans="1:41" x14ac:dyDescent="0.25">
      <c r="A403" s="24" t="s">
        <v>9</v>
      </c>
      <c r="B403" s="25">
        <v>44</v>
      </c>
      <c r="C403" s="26">
        <v>0</v>
      </c>
      <c r="D403" s="27">
        <v>0</v>
      </c>
      <c r="E403" s="27">
        <v>0</v>
      </c>
      <c r="F403" s="27">
        <v>0</v>
      </c>
      <c r="G403" s="28"/>
      <c r="H403" s="28"/>
      <c r="I403" s="28"/>
      <c r="J403" s="26">
        <f t="array" ref="J403">SUM($G$359:$I$359*DecCours*DecPasse^(B403-$B$359-1))</f>
        <v>76.560383943240211</v>
      </c>
      <c r="K403" s="27"/>
      <c r="L403" s="30"/>
      <c r="M403" s="6"/>
      <c r="N403" s="62"/>
      <c r="O403" s="62"/>
      <c r="P403" s="62"/>
      <c r="Q403" s="62"/>
      <c r="R403" s="62"/>
      <c r="S403" s="62"/>
      <c r="T403" s="62"/>
      <c r="U403" s="80"/>
      <c r="V403" s="62"/>
      <c r="W403" s="62"/>
      <c r="X403" s="62"/>
      <c r="Y403" s="62"/>
      <c r="Z403" s="62"/>
      <c r="AA403" s="79"/>
      <c r="AB403"/>
      <c r="AC403" s="56"/>
      <c r="AD403" s="70"/>
      <c r="AE403" s="71"/>
      <c r="AF403" s="72"/>
      <c r="AG403" s="72"/>
      <c r="AH403" s="128"/>
      <c r="AI403"/>
      <c r="AJ403" s="62"/>
      <c r="AK403" s="62"/>
      <c r="AL403" s="62"/>
      <c r="AM403" s="62"/>
      <c r="AN403" s="62"/>
      <c r="AO403" s="79"/>
    </row>
    <row r="404" spans="1:41" x14ac:dyDescent="0.25">
      <c r="A404" s="24" t="s">
        <v>9</v>
      </c>
      <c r="B404" s="25">
        <v>45</v>
      </c>
      <c r="C404" s="26">
        <v>0</v>
      </c>
      <c r="D404" s="27">
        <v>0</v>
      </c>
      <c r="E404" s="27">
        <v>0</v>
      </c>
      <c r="F404" s="27">
        <v>0</v>
      </c>
      <c r="G404" s="28"/>
      <c r="H404" s="28"/>
      <c r="I404" s="28"/>
      <c r="J404" s="26">
        <f t="array" ref="J404">SUM($G$359:$I$359*DecCours*DecPasse^(B404-$B$359-1))</f>
        <v>74.987540751748</v>
      </c>
      <c r="K404" s="27"/>
      <c r="L404" s="30"/>
      <c r="M404" s="6"/>
      <c r="N404" s="62"/>
      <c r="O404" s="62"/>
      <c r="P404" s="62"/>
      <c r="Q404" s="62"/>
      <c r="R404" s="62"/>
      <c r="S404" s="62"/>
      <c r="T404" s="62"/>
      <c r="U404" s="80"/>
      <c r="V404" s="62"/>
      <c r="W404" s="62"/>
      <c r="X404" s="62"/>
      <c r="Y404" s="62"/>
      <c r="Z404" s="62"/>
      <c r="AA404" s="79"/>
      <c r="AB404"/>
      <c r="AC404" s="56"/>
      <c r="AD404" s="70"/>
      <c r="AE404" s="71"/>
      <c r="AF404" s="72"/>
      <c r="AG404" s="72"/>
      <c r="AH404" s="128"/>
      <c r="AI404"/>
      <c r="AJ404" s="62"/>
      <c r="AK404" s="62"/>
      <c r="AL404" s="62"/>
      <c r="AM404" s="62"/>
      <c r="AN404" s="62"/>
      <c r="AO404" s="79"/>
    </row>
    <row r="405" spans="1:41" x14ac:dyDescent="0.25">
      <c r="A405" s="24" t="s">
        <v>9</v>
      </c>
      <c r="B405" s="25">
        <v>46</v>
      </c>
      <c r="C405" s="26">
        <v>0</v>
      </c>
      <c r="D405" s="27">
        <v>0</v>
      </c>
      <c r="E405" s="27">
        <v>0</v>
      </c>
      <c r="F405" s="27">
        <v>0</v>
      </c>
      <c r="G405" s="28"/>
      <c r="H405" s="28"/>
      <c r="I405" s="28"/>
      <c r="J405" s="26">
        <f t="array" ref="J405">SUM($G$359:$I$359*DecCours*DecPasse^(B405-$B$359-1))</f>
        <v>73.447497193420944</v>
      </c>
      <c r="K405" s="27"/>
      <c r="L405" s="30"/>
      <c r="M405" s="6"/>
      <c r="N405" s="62"/>
      <c r="O405" s="62"/>
      <c r="P405" s="62"/>
      <c r="Q405" s="62"/>
      <c r="R405" s="62"/>
      <c r="S405" s="62"/>
      <c r="T405" s="62"/>
      <c r="U405" s="80"/>
      <c r="V405" s="62"/>
      <c r="W405" s="62"/>
      <c r="X405" s="62"/>
      <c r="Y405" s="62"/>
      <c r="Z405" s="62"/>
      <c r="AA405" s="79"/>
      <c r="AB405"/>
      <c r="AC405" s="56"/>
      <c r="AD405" s="70"/>
      <c r="AE405" s="71"/>
      <c r="AF405" s="72"/>
      <c r="AG405" s="72"/>
      <c r="AH405" s="128"/>
      <c r="AI405"/>
      <c r="AJ405" s="62"/>
      <c r="AK405" s="62"/>
      <c r="AL405" s="62"/>
      <c r="AM405" s="62"/>
      <c r="AN405" s="62"/>
      <c r="AO405" s="79"/>
    </row>
    <row r="406" spans="1:41" x14ac:dyDescent="0.25">
      <c r="A406" s="24" t="s">
        <v>9</v>
      </c>
      <c r="B406" s="25">
        <v>47</v>
      </c>
      <c r="C406" s="26">
        <v>0</v>
      </c>
      <c r="D406" s="27">
        <v>0</v>
      </c>
      <c r="E406" s="27">
        <v>0</v>
      </c>
      <c r="F406" s="27">
        <v>0</v>
      </c>
      <c r="G406" s="28"/>
      <c r="H406" s="28"/>
      <c r="I406" s="28"/>
      <c r="J406" s="26">
        <f t="array" ref="J406">SUM($G$359:$I$359*DecCours*DecPasse^(B406-$B$359-1))</f>
        <v>71.939556319976901</v>
      </c>
      <c r="K406" s="27"/>
      <c r="L406" s="30"/>
      <c r="M406" s="6"/>
      <c r="N406" s="62"/>
      <c r="O406" s="62"/>
      <c r="P406" s="62"/>
      <c r="Q406" s="62"/>
      <c r="R406" s="62"/>
      <c r="S406" s="62"/>
      <c r="T406" s="62"/>
      <c r="U406" s="80"/>
      <c r="V406" s="62"/>
      <c r="W406" s="62"/>
      <c r="X406" s="62"/>
      <c r="Y406" s="62"/>
      <c r="Z406" s="62"/>
      <c r="AA406" s="79"/>
      <c r="AB406"/>
      <c r="AC406" s="56"/>
      <c r="AD406" s="70"/>
      <c r="AE406" s="71"/>
      <c r="AF406" s="72"/>
      <c r="AG406" s="72"/>
      <c r="AH406" s="128"/>
      <c r="AI406"/>
      <c r="AJ406" s="62"/>
      <c r="AK406" s="62"/>
      <c r="AL406" s="62"/>
      <c r="AM406" s="62"/>
      <c r="AN406" s="62"/>
      <c r="AO406" s="79"/>
    </row>
    <row r="407" spans="1:41" x14ac:dyDescent="0.25">
      <c r="A407" s="24" t="s">
        <v>9</v>
      </c>
      <c r="B407" s="25">
        <v>48</v>
      </c>
      <c r="C407" s="26">
        <v>0</v>
      </c>
      <c r="D407" s="27">
        <v>0</v>
      </c>
      <c r="E407" s="27">
        <v>0</v>
      </c>
      <c r="F407" s="27">
        <v>0</v>
      </c>
      <c r="G407" s="28"/>
      <c r="H407" s="28"/>
      <c r="I407" s="28"/>
      <c r="J407" s="26">
        <f t="array" ref="J407">SUM($G$359:$I$359*DecCours*DecPasse^(B407-$B$359-1))</f>
        <v>70.463036393202131</v>
      </c>
      <c r="K407" s="27"/>
      <c r="L407" s="30"/>
      <c r="M407" s="6"/>
      <c r="N407" s="62"/>
      <c r="O407" s="62"/>
      <c r="P407" s="62"/>
      <c r="Q407" s="62"/>
      <c r="R407" s="62"/>
      <c r="S407" s="62"/>
      <c r="T407" s="62"/>
      <c r="U407" s="80"/>
      <c r="V407" s="62"/>
      <c r="W407" s="62"/>
      <c r="X407" s="62"/>
      <c r="Y407" s="62"/>
      <c r="Z407" s="62"/>
      <c r="AA407" s="79"/>
      <c r="AB407"/>
      <c r="AC407" s="56"/>
      <c r="AD407" s="70"/>
      <c r="AE407" s="71"/>
      <c r="AF407" s="72"/>
      <c r="AG407" s="72"/>
      <c r="AH407" s="128"/>
      <c r="AI407"/>
      <c r="AJ407" s="62"/>
      <c r="AK407" s="62"/>
      <c r="AL407" s="62"/>
      <c r="AM407" s="62"/>
      <c r="AN407" s="62"/>
      <c r="AO407" s="79"/>
    </row>
    <row r="408" spans="1:41" x14ac:dyDescent="0.25">
      <c r="A408" s="24" t="s">
        <v>9</v>
      </c>
      <c r="B408" s="25">
        <v>49</v>
      </c>
      <c r="C408" s="26">
        <v>0</v>
      </c>
      <c r="D408" s="27">
        <v>0</v>
      </c>
      <c r="E408" s="27">
        <v>0</v>
      </c>
      <c r="F408" s="27">
        <v>0</v>
      </c>
      <c r="G408" s="28"/>
      <c r="H408" s="28"/>
      <c r="I408" s="28"/>
      <c r="J408" s="26">
        <f t="array" ref="J408">SUM($G$359:$I$359*DecCours*DecPasse^(B408-$B$359-1))</f>
        <v>69.017270523088968</v>
      </c>
      <c r="K408" s="27"/>
      <c r="L408" s="30"/>
      <c r="M408" s="6"/>
      <c r="N408" s="62"/>
      <c r="O408" s="62"/>
      <c r="P408" s="62"/>
      <c r="Q408" s="62"/>
      <c r="R408" s="62"/>
      <c r="S408" s="62"/>
      <c r="T408" s="62"/>
      <c r="U408" s="80"/>
      <c r="V408" s="62"/>
      <c r="W408" s="62"/>
      <c r="X408" s="62"/>
      <c r="Y408" s="62"/>
      <c r="Z408" s="62"/>
      <c r="AA408" s="79"/>
      <c r="AB408"/>
      <c r="AC408" s="56"/>
      <c r="AD408" s="70"/>
      <c r="AE408" s="71"/>
      <c r="AF408" s="72"/>
      <c r="AG408" s="72"/>
      <c r="AH408" s="128"/>
      <c r="AI408"/>
      <c r="AJ408" s="62"/>
      <c r="AK408" s="62"/>
      <c r="AL408" s="62"/>
      <c r="AM408" s="62"/>
      <c r="AN408" s="62"/>
      <c r="AO408" s="79"/>
    </row>
    <row r="409" spans="1:41" x14ac:dyDescent="0.25">
      <c r="A409" s="24" t="s">
        <v>9</v>
      </c>
      <c r="B409" s="25">
        <v>50</v>
      </c>
      <c r="C409" s="26">
        <v>0</v>
      </c>
      <c r="D409" s="27">
        <v>0</v>
      </c>
      <c r="E409" s="27">
        <v>0</v>
      </c>
      <c r="F409" s="27">
        <v>0</v>
      </c>
      <c r="G409" s="28"/>
      <c r="H409" s="28"/>
      <c r="I409" s="28"/>
      <c r="J409" s="26">
        <f t="array" ref="J409">SUM($G$359:$I$359*DecCours*DecPasse^(B409-$B$359-1))</f>
        <v>67.601606321076048</v>
      </c>
      <c r="K409" s="27"/>
      <c r="L409" s="30"/>
      <c r="M409" s="6"/>
      <c r="N409" s="62"/>
      <c r="O409" s="62"/>
      <c r="P409" s="62"/>
      <c r="Q409" s="62"/>
      <c r="R409" s="62"/>
      <c r="S409" s="62"/>
      <c r="T409" s="62"/>
      <c r="U409" s="80"/>
      <c r="V409" s="62"/>
      <c r="W409" s="62"/>
      <c r="X409" s="62"/>
      <c r="Y409" s="62"/>
      <c r="Z409" s="62"/>
      <c r="AA409" s="79"/>
      <c r="AB409"/>
      <c r="AC409" s="56"/>
      <c r="AD409" s="70"/>
      <c r="AE409" s="71"/>
      <c r="AF409" s="72"/>
      <c r="AG409" s="72"/>
      <c r="AH409" s="128"/>
      <c r="AI409"/>
      <c r="AJ409" s="62"/>
      <c r="AK409" s="62"/>
      <c r="AL409" s="62"/>
      <c r="AM409" s="62"/>
      <c r="AN409" s="62"/>
      <c r="AO409" s="79"/>
    </row>
    <row r="410" spans="1:41" x14ac:dyDescent="0.25">
      <c r="A410" s="24" t="s">
        <v>9</v>
      </c>
      <c r="B410" s="25">
        <v>51</v>
      </c>
      <c r="C410" s="26">
        <v>0</v>
      </c>
      <c r="D410" s="27">
        <v>0</v>
      </c>
      <c r="E410" s="27">
        <v>0</v>
      </c>
      <c r="F410" s="27">
        <v>0</v>
      </c>
      <c r="G410" s="28"/>
      <c r="H410" s="28"/>
      <c r="I410" s="28"/>
      <c r="J410" s="26">
        <f t="array" ref="J410">SUM($G$359:$I$359*DecCours*DecPasse^(B410-$B$359-1))</f>
        <v>66.215405566040843</v>
      </c>
      <c r="K410" s="27"/>
      <c r="L410" s="30"/>
      <c r="M410" s="6"/>
      <c r="N410" s="62"/>
      <c r="O410" s="62"/>
      <c r="P410" s="62"/>
      <c r="Q410" s="62"/>
      <c r="R410" s="62"/>
      <c r="S410" s="62"/>
      <c r="T410" s="62"/>
      <c r="U410" s="80"/>
      <c r="V410" s="62"/>
      <c r="W410" s="62"/>
      <c r="X410" s="62"/>
      <c r="Y410" s="62"/>
      <c r="Z410" s="62"/>
      <c r="AA410" s="79"/>
      <c r="AB410"/>
      <c r="AC410" s="56"/>
      <c r="AD410" s="70"/>
      <c r="AE410" s="71"/>
      <c r="AF410" s="72"/>
      <c r="AG410" s="72"/>
      <c r="AH410" s="128"/>
      <c r="AI410"/>
      <c r="AJ410" s="62"/>
      <c r="AK410" s="62"/>
      <c r="AL410" s="62"/>
      <c r="AM410" s="62"/>
      <c r="AN410" s="62"/>
      <c r="AO410" s="79"/>
    </row>
    <row r="411" spans="1:41" x14ac:dyDescent="0.25">
      <c r="A411" s="24" t="s">
        <v>9</v>
      </c>
      <c r="B411" s="25">
        <v>52</v>
      </c>
      <c r="C411" s="26">
        <v>0</v>
      </c>
      <c r="D411" s="27">
        <v>0</v>
      </c>
      <c r="E411" s="27">
        <v>0</v>
      </c>
      <c r="F411" s="27">
        <v>0</v>
      </c>
      <c r="G411" s="28"/>
      <c r="H411" s="28"/>
      <c r="I411" s="28"/>
      <c r="J411" s="26">
        <f t="array" ref="J411">SUM($G$359:$I$359*DecCours*DecPasse^(B411-$B$359-1))</f>
        <v>64.858043881333202</v>
      </c>
      <c r="K411" s="27"/>
      <c r="L411" s="30"/>
      <c r="M411" s="6"/>
      <c r="N411" s="62"/>
      <c r="O411" s="62"/>
      <c r="P411" s="62"/>
      <c r="Q411" s="62"/>
      <c r="R411" s="62"/>
      <c r="S411" s="62"/>
      <c r="T411" s="62"/>
      <c r="U411" s="80"/>
      <c r="V411" s="62"/>
      <c r="W411" s="62"/>
      <c r="X411" s="62"/>
      <c r="Y411" s="62"/>
      <c r="Z411" s="62"/>
      <c r="AA411" s="79"/>
      <c r="AB411"/>
      <c r="AC411" s="56"/>
      <c r="AD411" s="70"/>
      <c r="AE411" s="71"/>
      <c r="AF411" s="72"/>
      <c r="AG411" s="72"/>
      <c r="AH411" s="128"/>
      <c r="AI411"/>
      <c r="AJ411" s="62"/>
      <c r="AK411" s="62"/>
      <c r="AL411" s="62"/>
      <c r="AM411" s="62"/>
      <c r="AN411" s="62"/>
      <c r="AO411" s="79"/>
    </row>
    <row r="412" spans="1:41" x14ac:dyDescent="0.25">
      <c r="A412" s="24" t="s">
        <v>9</v>
      </c>
      <c r="B412" s="25">
        <v>53</v>
      </c>
      <c r="C412" s="26">
        <v>0</v>
      </c>
      <c r="D412" s="27">
        <v>0</v>
      </c>
      <c r="E412" s="27">
        <v>0</v>
      </c>
      <c r="F412" s="27">
        <v>0</v>
      </c>
      <c r="G412" s="28"/>
      <c r="H412" s="28"/>
      <c r="I412" s="28"/>
      <c r="J412" s="26">
        <f t="array" ref="J412">SUM($G$359:$I$359*DecCours*DecPasse^(B412-$B$359-1))</f>
        <v>63.528910421592748</v>
      </c>
      <c r="K412" s="27"/>
      <c r="L412" s="30"/>
      <c r="M412" s="6"/>
      <c r="N412" s="62"/>
      <c r="O412" s="62"/>
      <c r="P412" s="62"/>
      <c r="Q412" s="62"/>
      <c r="R412" s="62"/>
      <c r="S412" s="62"/>
      <c r="T412" s="62"/>
      <c r="U412" s="80"/>
      <c r="V412" s="62"/>
      <c r="W412" s="62"/>
      <c r="X412" s="62"/>
      <c r="Y412" s="62"/>
      <c r="Z412" s="62"/>
      <c r="AA412" s="79"/>
      <c r="AB412"/>
      <c r="AC412" s="56"/>
      <c r="AD412" s="70"/>
      <c r="AE412" s="71"/>
      <c r="AF412" s="72"/>
      <c r="AG412" s="72"/>
      <c r="AH412" s="128"/>
      <c r="AI412"/>
      <c r="AJ412" s="62"/>
      <c r="AK412" s="62"/>
      <c r="AL412" s="62"/>
      <c r="AM412" s="62"/>
      <c r="AN412" s="62"/>
      <c r="AO412" s="79"/>
    </row>
    <row r="413" spans="1:41" x14ac:dyDescent="0.25">
      <c r="A413" s="24" t="s">
        <v>9</v>
      </c>
      <c r="B413" s="25">
        <v>54</v>
      </c>
      <c r="C413" s="26">
        <v>0</v>
      </c>
      <c r="D413" s="27">
        <v>0</v>
      </c>
      <c r="E413" s="27">
        <v>0</v>
      </c>
      <c r="F413" s="27">
        <v>0</v>
      </c>
      <c r="G413" s="28"/>
      <c r="H413" s="28"/>
      <c r="I413" s="28"/>
      <c r="J413" s="26">
        <f t="array" ref="J413">SUM($G$359:$I$359*DecCours*DecPasse^(B413-$B$359-1))</f>
        <v>62.227407568414776</v>
      </c>
      <c r="K413" s="27"/>
      <c r="L413" s="30"/>
      <c r="M413" s="6"/>
      <c r="N413" s="62"/>
      <c r="O413" s="62"/>
      <c r="P413" s="62"/>
      <c r="Q413" s="62"/>
      <c r="R413" s="62"/>
      <c r="S413" s="62"/>
      <c r="T413" s="62"/>
      <c r="U413" s="80"/>
      <c r="V413" s="62"/>
      <c r="W413" s="62"/>
      <c r="X413" s="62"/>
      <c r="Y413" s="62"/>
      <c r="Z413" s="62"/>
      <c r="AA413" s="79"/>
      <c r="AB413"/>
      <c r="AC413" s="56"/>
      <c r="AD413" s="70"/>
      <c r="AE413" s="71"/>
      <c r="AF413" s="72"/>
      <c r="AG413" s="72"/>
      <c r="AH413" s="128"/>
      <c r="AI413"/>
      <c r="AJ413" s="62"/>
      <c r="AK413" s="62"/>
      <c r="AL413" s="62"/>
      <c r="AM413" s="62"/>
      <c r="AN413" s="62"/>
      <c r="AO413" s="79"/>
    </row>
    <row r="414" spans="1:41" x14ac:dyDescent="0.25">
      <c r="A414" s="24" t="s">
        <v>9</v>
      </c>
      <c r="B414" s="25">
        <v>55</v>
      </c>
      <c r="C414" s="26">
        <v>0</v>
      </c>
      <c r="D414" s="27">
        <v>0</v>
      </c>
      <c r="E414" s="27">
        <v>0</v>
      </c>
      <c r="F414" s="27">
        <v>0</v>
      </c>
      <c r="G414" s="28"/>
      <c r="H414" s="28"/>
      <c r="I414" s="28"/>
      <c r="J414" s="26">
        <f t="array" ref="J414">SUM($G$359:$I$359*DecCours*DecPasse^(B414-$B$359-1))</f>
        <v>60.952950634158483</v>
      </c>
      <c r="K414" s="27"/>
      <c r="L414" s="30"/>
      <c r="M414" s="6"/>
      <c r="N414" s="62"/>
      <c r="O414" s="62"/>
      <c r="P414" s="62"/>
      <c r="Q414" s="62"/>
      <c r="R414" s="62"/>
      <c r="S414" s="62"/>
      <c r="T414" s="62"/>
      <c r="U414" s="80"/>
      <c r="V414" s="62"/>
      <c r="W414" s="62"/>
      <c r="X414" s="62"/>
      <c r="Y414" s="62"/>
      <c r="Z414" s="62"/>
      <c r="AA414" s="79"/>
      <c r="AB414"/>
      <c r="AC414" s="56"/>
      <c r="AD414" s="70"/>
      <c r="AE414" s="71"/>
      <c r="AF414" s="72"/>
      <c r="AG414" s="72"/>
      <c r="AH414" s="128"/>
      <c r="AI414"/>
      <c r="AJ414" s="62"/>
      <c r="AK414" s="62"/>
      <c r="AL414" s="62"/>
      <c r="AM414" s="62"/>
      <c r="AN414" s="62"/>
      <c r="AO414" s="79"/>
    </row>
    <row r="415" spans="1:41" x14ac:dyDescent="0.25">
      <c r="A415" s="24" t="s">
        <v>9</v>
      </c>
      <c r="B415" s="25">
        <v>56</v>
      </c>
      <c r="C415" s="26">
        <v>0</v>
      </c>
      <c r="D415" s="27">
        <v>0</v>
      </c>
      <c r="E415" s="27">
        <v>0</v>
      </c>
      <c r="F415" s="27">
        <v>0</v>
      </c>
      <c r="G415" s="28"/>
      <c r="H415" s="28"/>
      <c r="I415" s="28"/>
      <c r="J415" s="26">
        <f t="array" ref="J415">SUM($G$359:$I$359*DecCours*DecPasse^(B415-$B$359-1))</f>
        <v>59.704967573353393</v>
      </c>
      <c r="K415" s="27"/>
      <c r="L415" s="30"/>
      <c r="M415" s="6"/>
      <c r="N415" s="62"/>
      <c r="O415" s="62"/>
      <c r="P415" s="62"/>
      <c r="Q415" s="62"/>
      <c r="R415" s="62"/>
      <c r="S415" s="62"/>
      <c r="T415" s="62"/>
      <c r="U415" s="80"/>
      <c r="V415" s="62"/>
      <c r="W415" s="62"/>
      <c r="X415" s="62"/>
      <c r="Y415" s="62"/>
      <c r="Z415" s="62"/>
      <c r="AA415" s="79"/>
      <c r="AB415"/>
      <c r="AC415" s="56"/>
      <c r="AD415" s="70"/>
      <c r="AE415" s="71"/>
      <c r="AF415" s="72"/>
      <c r="AG415" s="72"/>
      <c r="AH415" s="128"/>
      <c r="AI415"/>
      <c r="AJ415" s="62"/>
      <c r="AK415" s="62"/>
      <c r="AL415" s="62"/>
      <c r="AM415" s="62"/>
      <c r="AN415" s="62"/>
      <c r="AO415" s="79"/>
    </row>
    <row r="416" spans="1:41" x14ac:dyDescent="0.25">
      <c r="A416" s="24" t="s">
        <v>9</v>
      </c>
      <c r="B416" s="25">
        <v>57</v>
      </c>
      <c r="C416" s="26">
        <v>0</v>
      </c>
      <c r="D416" s="27">
        <v>0</v>
      </c>
      <c r="E416" s="27">
        <v>0</v>
      </c>
      <c r="F416" s="27">
        <v>0</v>
      </c>
      <c r="G416" s="28"/>
      <c r="H416" s="28"/>
      <c r="I416" s="28"/>
      <c r="J416" s="26">
        <f t="array" ref="J416">SUM($G$359:$I$359*DecCours*DecPasse^(B416-$B$359-1))</f>
        <v>58.482898701276916</v>
      </c>
      <c r="K416" s="27"/>
      <c r="L416" s="30"/>
      <c r="M416" s="6"/>
      <c r="N416" s="62"/>
      <c r="O416" s="62"/>
      <c r="P416" s="62"/>
      <c r="Q416" s="62"/>
      <c r="R416" s="62"/>
      <c r="S416" s="62"/>
      <c r="T416" s="62"/>
      <c r="U416" s="80"/>
      <c r="V416" s="62"/>
      <c r="W416" s="62"/>
      <c r="X416" s="62"/>
      <c r="Y416" s="62"/>
      <c r="Z416" s="62"/>
      <c r="AA416" s="79"/>
      <c r="AB416"/>
      <c r="AC416" s="56"/>
      <c r="AD416" s="70"/>
      <c r="AE416" s="71"/>
      <c r="AF416" s="72"/>
      <c r="AG416" s="72"/>
      <c r="AH416" s="128"/>
      <c r="AI416"/>
      <c r="AJ416" s="62"/>
      <c r="AK416" s="62"/>
      <c r="AL416" s="62"/>
      <c r="AM416" s="62"/>
      <c r="AN416" s="62"/>
      <c r="AO416" s="79"/>
    </row>
    <row r="417" spans="1:41" x14ac:dyDescent="0.25">
      <c r="A417" s="24" t="s">
        <v>9</v>
      </c>
      <c r="B417" s="25">
        <v>58</v>
      </c>
      <c r="C417" s="26">
        <v>0</v>
      </c>
      <c r="D417" s="27">
        <v>0</v>
      </c>
      <c r="E417" s="27">
        <v>0</v>
      </c>
      <c r="F417" s="27">
        <v>0</v>
      </c>
      <c r="G417" s="28"/>
      <c r="H417" s="28"/>
      <c r="I417" s="28"/>
      <c r="J417" s="26">
        <f t="array" ref="J417">SUM($G$359:$I$359*DecCours*DecPasse^(B417-$B$359-1))</f>
        <v>57.286196419358717</v>
      </c>
      <c r="K417" s="27"/>
      <c r="L417" s="30"/>
      <c r="M417" s="6"/>
      <c r="N417" s="62"/>
      <c r="O417" s="62"/>
      <c r="P417" s="62"/>
      <c r="Q417" s="62"/>
      <c r="R417" s="62"/>
      <c r="S417" s="62"/>
      <c r="T417" s="62"/>
      <c r="U417" s="80"/>
      <c r="V417" s="62"/>
      <c r="W417" s="62"/>
      <c r="X417" s="62"/>
      <c r="Y417" s="62"/>
      <c r="Z417" s="62"/>
      <c r="AA417" s="79"/>
      <c r="AB417"/>
      <c r="AC417" s="56"/>
      <c r="AD417" s="70"/>
      <c r="AE417" s="71"/>
      <c r="AF417" s="72"/>
      <c r="AG417" s="72"/>
      <c r="AH417" s="128"/>
      <c r="AI417"/>
      <c r="AJ417" s="62"/>
      <c r="AK417" s="62"/>
      <c r="AL417" s="62"/>
      <c r="AM417" s="62"/>
      <c r="AN417" s="62"/>
      <c r="AO417" s="79"/>
    </row>
    <row r="418" spans="1:41" x14ac:dyDescent="0.25">
      <c r="A418" s="24" t="s">
        <v>9</v>
      </c>
      <c r="B418" s="25">
        <v>59</v>
      </c>
      <c r="C418" s="26">
        <v>0</v>
      </c>
      <c r="D418" s="27">
        <v>0</v>
      </c>
      <c r="E418" s="27">
        <v>0</v>
      </c>
      <c r="F418" s="27">
        <v>0</v>
      </c>
      <c r="G418" s="28"/>
      <c r="H418" s="28"/>
      <c r="I418" s="28"/>
      <c r="J418" s="26">
        <f t="array" ref="J418">SUM($G$359:$I$359*DecCours*DecPasse^(B418-$B$359-1))</f>
        <v>56.11432494712745</v>
      </c>
      <c r="K418" s="27"/>
      <c r="L418" s="30"/>
      <c r="M418" s="6"/>
      <c r="N418" s="62"/>
      <c r="O418" s="62"/>
      <c r="P418" s="62"/>
      <c r="Q418" s="62"/>
      <c r="R418" s="62"/>
      <c r="S418" s="62"/>
      <c r="T418" s="62"/>
      <c r="U418" s="80"/>
      <c r="V418" s="62"/>
      <c r="W418" s="62"/>
      <c r="X418" s="62"/>
      <c r="Y418" s="62"/>
      <c r="Z418" s="62"/>
      <c r="AA418" s="79"/>
      <c r="AB418"/>
      <c r="AC418" s="56"/>
      <c r="AD418" s="70"/>
      <c r="AE418" s="71"/>
      <c r="AF418" s="72"/>
      <c r="AG418" s="72"/>
      <c r="AH418" s="128"/>
      <c r="AI418"/>
      <c r="AJ418" s="62"/>
      <c r="AK418" s="62"/>
      <c r="AL418" s="62"/>
      <c r="AM418" s="62"/>
      <c r="AN418" s="62"/>
      <c r="AO418" s="79"/>
    </row>
    <row r="419" spans="1:41" x14ac:dyDescent="0.25">
      <c r="A419" s="24" t="s">
        <v>9</v>
      </c>
      <c r="B419" s="25">
        <v>60</v>
      </c>
      <c r="C419" s="26">
        <v>0</v>
      </c>
      <c r="D419" s="27">
        <v>0</v>
      </c>
      <c r="E419" s="27">
        <v>0</v>
      </c>
      <c r="F419" s="27">
        <v>0</v>
      </c>
      <c r="G419" s="28"/>
      <c r="H419" s="28"/>
      <c r="I419" s="28"/>
      <c r="J419" s="26">
        <f t="array" ref="J419">SUM($G$359:$I$359*DecCours*DecPasse^(B419-$B$359-1))</f>
        <v>54.966760060458817</v>
      </c>
      <c r="K419" s="27"/>
      <c r="L419" s="30"/>
      <c r="M419" s="6"/>
      <c r="N419" s="62"/>
      <c r="O419" s="62"/>
      <c r="P419" s="62"/>
      <c r="Q419" s="62"/>
      <c r="R419" s="62"/>
      <c r="S419" s="62"/>
      <c r="T419" s="62"/>
      <c r="U419" s="80"/>
      <c r="V419" s="62"/>
      <c r="W419" s="62"/>
      <c r="X419" s="62"/>
      <c r="Y419" s="62"/>
      <c r="Z419" s="62"/>
      <c r="AA419" s="79"/>
      <c r="AB419"/>
      <c r="AC419" s="56"/>
      <c r="AD419" s="70"/>
      <c r="AE419" s="71"/>
      <c r="AF419" s="72"/>
      <c r="AG419" s="72"/>
      <c r="AH419" s="128"/>
      <c r="AI419"/>
      <c r="AJ419" s="62"/>
      <c r="AK419" s="62"/>
      <c r="AL419" s="62"/>
      <c r="AM419" s="62"/>
      <c r="AN419" s="62"/>
      <c r="AO419" s="79"/>
    </row>
    <row r="420" spans="1:41" ht="17.100000000000001" customHeight="1" x14ac:dyDescent="0.25">
      <c r="A420" s="24" t="s">
        <v>9</v>
      </c>
      <c r="B420" s="25">
        <v>61</v>
      </c>
      <c r="C420" s="26">
        <v>0</v>
      </c>
      <c r="D420" s="27">
        <v>0</v>
      </c>
      <c r="E420" s="27">
        <v>0</v>
      </c>
      <c r="F420" s="27">
        <v>0</v>
      </c>
      <c r="G420" s="28"/>
      <c r="H420" s="28"/>
      <c r="I420" s="28"/>
      <c r="J420" s="26">
        <f t="array" ref="J420">SUM($G$359:$I$359*DecCours*DecPasse^(B420-$B$359-1))</f>
        <v>53.842988835915492</v>
      </c>
      <c r="K420" s="27"/>
      <c r="L420" s="30"/>
      <c r="M420" s="6"/>
      <c r="N420" s="62"/>
      <c r="O420" s="62"/>
      <c r="P420" s="62"/>
      <c r="Q420" s="62"/>
      <c r="R420" s="62"/>
      <c r="S420" s="62"/>
      <c r="T420" s="62"/>
      <c r="U420" s="80"/>
      <c r="V420" s="62"/>
      <c r="W420" s="62"/>
      <c r="X420" s="62"/>
      <c r="Y420" s="62"/>
      <c r="Z420" s="62"/>
      <c r="AA420" s="79"/>
      <c r="AB420"/>
      <c r="AC420" s="56"/>
      <c r="AD420" s="70"/>
      <c r="AE420" s="71"/>
      <c r="AF420" s="72"/>
      <c r="AG420" s="72"/>
      <c r="AH420" s="128"/>
      <c r="AI420"/>
      <c r="AJ420" s="62"/>
      <c r="AK420" s="62"/>
      <c r="AL420" s="62"/>
      <c r="AM420" s="62"/>
      <c r="AN420" s="62"/>
      <c r="AO420" s="79"/>
    </row>
    <row r="421" spans="1:41" x14ac:dyDescent="0.25">
      <c r="A421" s="24" t="s">
        <v>9</v>
      </c>
      <c r="B421" s="25">
        <v>62</v>
      </c>
      <c r="C421" s="26">
        <v>0</v>
      </c>
      <c r="D421" s="27">
        <v>0</v>
      </c>
      <c r="E421" s="27">
        <v>0</v>
      </c>
      <c r="F421" s="27">
        <v>0</v>
      </c>
      <c r="G421" s="28"/>
      <c r="H421" s="28"/>
      <c r="I421" s="28"/>
      <c r="J421" s="26">
        <f t="array" ref="J421">SUM($G$359:$I$359*DecCours*DecPasse^(B421-$B$359-1))</f>
        <v>52.74250940099256</v>
      </c>
      <c r="K421" s="27"/>
      <c r="L421" s="30"/>
      <c r="M421" s="6"/>
      <c r="N421" s="62"/>
      <c r="O421" s="62"/>
      <c r="P421" s="62"/>
      <c r="Q421" s="62"/>
      <c r="R421" s="62"/>
      <c r="S421" s="62"/>
      <c r="T421" s="62"/>
      <c r="U421" s="80"/>
      <c r="V421" s="62"/>
      <c r="W421" s="62"/>
      <c r="X421" s="62"/>
      <c r="Y421" s="62"/>
      <c r="Z421" s="62"/>
      <c r="AA421" s="79"/>
      <c r="AB421"/>
      <c r="AC421" s="56"/>
      <c r="AD421" s="70"/>
      <c r="AE421" s="71"/>
      <c r="AF421" s="72"/>
      <c r="AG421" s="72"/>
      <c r="AH421" s="128"/>
      <c r="AI421"/>
      <c r="AJ421" s="62"/>
      <c r="AK421" s="62"/>
      <c r="AL421" s="62"/>
      <c r="AM421" s="62"/>
      <c r="AN421" s="62"/>
      <c r="AO421" s="79"/>
    </row>
    <row r="422" spans="1:41" x14ac:dyDescent="0.25">
      <c r="A422" s="24" t="s">
        <v>9</v>
      </c>
      <c r="B422" s="25">
        <v>63</v>
      </c>
      <c r="C422" s="26">
        <v>0</v>
      </c>
      <c r="D422" s="27">
        <v>0</v>
      </c>
      <c r="E422" s="27">
        <v>0</v>
      </c>
      <c r="F422" s="27">
        <v>0</v>
      </c>
      <c r="G422" s="28"/>
      <c r="H422" s="28"/>
      <c r="I422" s="28"/>
      <c r="J422" s="26">
        <f t="array" ref="J422">SUM($G$359:$I$359*DecCours*DecPasse^(B422-$B$359-1))</f>
        <v>51.664830690099691</v>
      </c>
      <c r="K422" s="27"/>
      <c r="L422" s="30"/>
      <c r="M422" s="6"/>
      <c r="N422" s="62"/>
      <c r="O422" s="62"/>
      <c r="P422" s="62"/>
      <c r="Q422" s="62"/>
      <c r="R422" s="62"/>
      <c r="S422" s="62"/>
      <c r="T422" s="62"/>
      <c r="U422" s="80"/>
      <c r="V422" s="62"/>
      <c r="W422" s="62"/>
      <c r="X422" s="62"/>
      <c r="Y422" s="62"/>
      <c r="Z422" s="62"/>
      <c r="AA422" s="79"/>
      <c r="AB422"/>
      <c r="AC422" s="56"/>
      <c r="AD422" s="70"/>
      <c r="AE422" s="71"/>
      <c r="AF422" s="72"/>
      <c r="AG422" s="72"/>
      <c r="AH422" s="128"/>
      <c r="AI422"/>
      <c r="AJ422" s="62"/>
      <c r="AK422" s="62"/>
      <c r="AL422" s="62"/>
      <c r="AM422" s="62"/>
      <c r="AN422" s="62"/>
      <c r="AO422" s="79"/>
    </row>
    <row r="423" spans="1:41" x14ac:dyDescent="0.25">
      <c r="A423" s="24" t="s">
        <v>9</v>
      </c>
      <c r="B423" s="25">
        <v>64</v>
      </c>
      <c r="C423" s="26">
        <v>0</v>
      </c>
      <c r="D423" s="27">
        <v>0</v>
      </c>
      <c r="E423" s="27">
        <v>0</v>
      </c>
      <c r="F423" s="27">
        <v>0</v>
      </c>
      <c r="G423" s="28"/>
      <c r="H423" s="28"/>
      <c r="I423" s="28"/>
      <c r="J423" s="26">
        <f t="array" ref="J423">SUM($G$359:$I$359*DecCours*DecPasse^(B423-$B$359-1))</f>
        <v>50.609472206124181</v>
      </c>
      <c r="K423" s="27"/>
      <c r="L423" s="30"/>
      <c r="M423" s="6"/>
      <c r="N423" s="62"/>
      <c r="O423" s="62"/>
      <c r="P423" s="62"/>
      <c r="Q423" s="62"/>
      <c r="R423" s="62"/>
      <c r="S423" s="62"/>
      <c r="T423" s="62"/>
      <c r="U423" s="80"/>
      <c r="V423" s="62"/>
      <c r="W423" s="62"/>
      <c r="X423" s="62"/>
      <c r="Y423" s="62"/>
      <c r="Z423" s="62"/>
      <c r="AA423" s="79"/>
      <c r="AB423"/>
      <c r="AC423" s="56"/>
      <c r="AD423" s="70"/>
      <c r="AE423" s="71"/>
      <c r="AF423" s="72"/>
      <c r="AG423" s="72"/>
      <c r="AH423" s="128"/>
      <c r="AI423"/>
      <c r="AJ423" s="62"/>
      <c r="AK423" s="62"/>
      <c r="AL423" s="62"/>
      <c r="AM423" s="62"/>
      <c r="AN423" s="62"/>
      <c r="AO423" s="79"/>
    </row>
    <row r="424" spans="1:41" ht="16.5" thickBot="1" x14ac:dyDescent="0.3">
      <c r="A424" s="18" t="s">
        <v>9</v>
      </c>
      <c r="B424" s="19">
        <v>65</v>
      </c>
      <c r="C424" s="20">
        <f>66*C355</f>
        <v>60.720000000000006</v>
      </c>
      <c r="D424" s="21">
        <v>0.1</v>
      </c>
      <c r="E424" s="21">
        <v>0</v>
      </c>
      <c r="F424" s="21">
        <v>0</v>
      </c>
      <c r="G424" s="22">
        <f>C424*D424*InfraBoul*TauxC*MasseMol</f>
        <v>5.4992080000000003</v>
      </c>
      <c r="H424" s="22">
        <f>D424*E424*InfraBoul*TauxC*MasseMol</f>
        <v>0</v>
      </c>
      <c r="I424" s="22">
        <f>E424*F424*InfraBoul*TauxC*MasseMol</f>
        <v>0</v>
      </c>
      <c r="J424" s="20">
        <f t="array" ref="J424">SUM($G$359:$I$359*DecCours*DecPasse^(B424-$B$359-1))</f>
        <v>49.575963787429558</v>
      </c>
      <c r="K424" s="23"/>
      <c r="L424" s="34"/>
      <c r="M424" s="6"/>
    </row>
    <row r="425" spans="1:41" x14ac:dyDescent="0.25">
      <c r="A425" s="24" t="s">
        <v>10</v>
      </c>
      <c r="B425" s="25">
        <v>0</v>
      </c>
      <c r="C425" s="26">
        <v>368</v>
      </c>
      <c r="D425" s="27">
        <f>58.25%*0.9</f>
        <v>0.52424999999999999</v>
      </c>
      <c r="E425" s="27">
        <f>17%*0.9</f>
        <v>0.15300000000000002</v>
      </c>
      <c r="F425" s="27">
        <f>12.75%*0.9</f>
        <v>0.11475</v>
      </c>
      <c r="G425" s="16">
        <f>(0.5525*InfraRx+0.03*InfraHet)*C425*TauxC*MasseMol</f>
        <v>159.30397999999997</v>
      </c>
      <c r="H425" s="16">
        <f>$C$359*E425*InfraRx*TauxC*MasseMol</f>
        <v>41.186376000000003</v>
      </c>
      <c r="I425" s="16">
        <f>$C$359*F425*InfraRx*TauxC*MasseMol</f>
        <v>30.889781999999997</v>
      </c>
      <c r="J425" s="26">
        <v>0</v>
      </c>
      <c r="K425" s="27">
        <v>0.12</v>
      </c>
      <c r="L425" s="36">
        <f>C425*(D425*CoefSubSciage+E425*CoefSubEmballage+F425*CoefSubPanneaux+K425*CoefSubEnergie)</f>
        <v>336.80004000000002</v>
      </c>
      <c r="M425" s="6"/>
    </row>
    <row r="426" spans="1:41" x14ac:dyDescent="0.25">
      <c r="A426" s="24" t="s">
        <v>10</v>
      </c>
      <c r="B426" s="25">
        <v>1</v>
      </c>
      <c r="C426" s="26">
        <v>0</v>
      </c>
      <c r="D426" s="27">
        <v>0</v>
      </c>
      <c r="E426" s="27">
        <v>0</v>
      </c>
      <c r="F426" s="27">
        <v>0</v>
      </c>
      <c r="G426" s="28"/>
      <c r="H426" s="28"/>
      <c r="I426" s="28"/>
      <c r="J426" s="26">
        <f t="array" ref="J426">SUM($G$425:$I$425*DecCours)</f>
        <v>223.00945385088858</v>
      </c>
      <c r="K426" s="27"/>
      <c r="L426" s="36"/>
      <c r="M426" s="6"/>
    </row>
    <row r="427" spans="1:41" x14ac:dyDescent="0.25">
      <c r="A427" s="24" t="s">
        <v>10</v>
      </c>
      <c r="B427" s="25">
        <v>2</v>
      </c>
      <c r="C427" s="26">
        <v>0</v>
      </c>
      <c r="D427" s="27">
        <v>0</v>
      </c>
      <c r="E427" s="27">
        <v>0</v>
      </c>
      <c r="F427" s="27">
        <v>0</v>
      </c>
      <c r="G427" s="28"/>
      <c r="H427" s="28"/>
      <c r="I427" s="28"/>
      <c r="J427" s="26">
        <f t="array" ref="J427">SUM($G$425:$I$425*DecCours*DecPasse^(B427-$B$425-1))</f>
        <v>208.88849515607237</v>
      </c>
      <c r="K427" s="27"/>
      <c r="L427" s="36"/>
      <c r="M427" s="6"/>
    </row>
    <row r="428" spans="1:41" x14ac:dyDescent="0.25">
      <c r="A428" s="24" t="s">
        <v>10</v>
      </c>
      <c r="B428" s="25">
        <v>3</v>
      </c>
      <c r="C428" s="26">
        <v>0</v>
      </c>
      <c r="D428" s="27">
        <v>0</v>
      </c>
      <c r="E428" s="27">
        <v>0</v>
      </c>
      <c r="F428" s="27">
        <v>0</v>
      </c>
      <c r="G428" s="28"/>
      <c r="H428" s="28"/>
      <c r="I428" s="28"/>
      <c r="J428" s="26">
        <f t="array" ref="J428">SUM($G$425:$I$425*DecCours*DecPasse^(B428-$B$425-1))</f>
        <v>197.83694566770598</v>
      </c>
      <c r="K428" s="27"/>
      <c r="L428" s="36"/>
      <c r="M428" s="6"/>
    </row>
    <row r="429" spans="1:41" x14ac:dyDescent="0.25">
      <c r="A429" s="24" t="s">
        <v>10</v>
      </c>
      <c r="B429" s="25">
        <v>4</v>
      </c>
      <c r="C429" s="26">
        <v>0</v>
      </c>
      <c r="D429" s="27">
        <v>0</v>
      </c>
      <c r="E429" s="27">
        <v>0</v>
      </c>
      <c r="F429" s="27">
        <v>0</v>
      </c>
      <c r="G429" s="28"/>
      <c r="H429" s="28"/>
      <c r="I429" s="28"/>
      <c r="J429" s="26">
        <f t="array" ref="J429">SUM($G$425:$I$425*DecCours*DecPasse^(B429-$B$425-1))</f>
        <v>188.97842143167108</v>
      </c>
      <c r="K429" s="27"/>
      <c r="L429" s="36"/>
      <c r="M429" s="6"/>
    </row>
    <row r="430" spans="1:41" x14ac:dyDescent="0.25">
      <c r="A430" s="24" t="s">
        <v>10</v>
      </c>
      <c r="B430" s="25">
        <v>5</v>
      </c>
      <c r="C430" s="26">
        <v>0</v>
      </c>
      <c r="D430" s="27">
        <v>0</v>
      </c>
      <c r="E430" s="27">
        <v>0</v>
      </c>
      <c r="F430" s="27">
        <v>0</v>
      </c>
      <c r="G430" s="28"/>
      <c r="H430" s="28"/>
      <c r="I430" s="28"/>
      <c r="J430" s="26">
        <f t="array" ref="J430">SUM($G$425:$I$425*DecCours*DecPasse^(B430-$B$425-1))</f>
        <v>181.69273494918707</v>
      </c>
      <c r="K430" s="27"/>
      <c r="L430" s="36"/>
      <c r="M430" s="6"/>
    </row>
    <row r="431" spans="1:41" x14ac:dyDescent="0.25">
      <c r="A431" s="24" t="s">
        <v>10</v>
      </c>
      <c r="B431" s="25">
        <v>6</v>
      </c>
      <c r="C431" s="26">
        <v>0</v>
      </c>
      <c r="D431" s="27">
        <v>0</v>
      </c>
      <c r="E431" s="27">
        <v>0</v>
      </c>
      <c r="F431" s="27">
        <v>0</v>
      </c>
      <c r="G431" s="28"/>
      <c r="H431" s="28"/>
      <c r="I431" s="28"/>
      <c r="J431" s="26">
        <f t="array" ref="J431">SUM($G$425:$I$425*DecCours*DecPasse^(B431-$B$425-1))</f>
        <v>175.54086786964956</v>
      </c>
      <c r="K431" s="27"/>
      <c r="L431" s="36"/>
      <c r="M431" s="6"/>
    </row>
    <row r="432" spans="1:41" x14ac:dyDescent="0.25">
      <c r="A432" s="24" t="s">
        <v>10</v>
      </c>
      <c r="B432" s="25">
        <v>7</v>
      </c>
      <c r="C432" s="26">
        <v>0</v>
      </c>
      <c r="D432" s="27">
        <v>0</v>
      </c>
      <c r="E432" s="27">
        <v>0</v>
      </c>
      <c r="F432" s="27">
        <v>0</v>
      </c>
      <c r="G432" s="28"/>
      <c r="H432" s="28"/>
      <c r="I432" s="28"/>
      <c r="J432" s="26">
        <f t="array" ref="J432">SUM($G$425:$I$425*DecCours*DecPasse^(B432-$B$425-1))</f>
        <v>170.21191842428206</v>
      </c>
      <c r="K432" s="27"/>
      <c r="L432" s="36"/>
      <c r="M432" s="6"/>
    </row>
    <row r="433" spans="1:13" x14ac:dyDescent="0.25">
      <c r="A433" s="24" t="s">
        <v>10</v>
      </c>
      <c r="B433" s="25">
        <v>8</v>
      </c>
      <c r="C433" s="26">
        <v>0</v>
      </c>
      <c r="D433" s="27">
        <v>0</v>
      </c>
      <c r="E433" s="27">
        <v>0</v>
      </c>
      <c r="F433" s="27">
        <v>0</v>
      </c>
      <c r="G433" s="28"/>
      <c r="H433" s="28"/>
      <c r="I433" s="28"/>
      <c r="J433" s="26">
        <f t="array" ref="J433">SUM($G$425:$I$425*DecCours*DecPasse^(B433-$B$425-1))</f>
        <v>165.48558735386376</v>
      </c>
      <c r="K433" s="27"/>
      <c r="L433" s="36"/>
      <c r="M433" s="6"/>
    </row>
    <row r="434" spans="1:13" x14ac:dyDescent="0.25">
      <c r="A434" s="24" t="s">
        <v>10</v>
      </c>
      <c r="B434" s="25">
        <v>9</v>
      </c>
      <c r="C434" s="26">
        <v>0</v>
      </c>
      <c r="D434" s="27">
        <v>0</v>
      </c>
      <c r="E434" s="27">
        <v>0</v>
      </c>
      <c r="F434" s="27">
        <v>0</v>
      </c>
      <c r="G434" s="28"/>
      <c r="H434" s="28"/>
      <c r="I434" s="28"/>
      <c r="J434" s="26">
        <f t="array" ref="J434">SUM($G$425:$I$425*DecCours*DecPasse^(B434-$B$425-1))</f>
        <v>161.20565121668133</v>
      </c>
      <c r="K434" s="27"/>
      <c r="L434" s="36"/>
      <c r="M434" s="6"/>
    </row>
    <row r="435" spans="1:13" x14ac:dyDescent="0.25">
      <c r="A435" s="24" t="s">
        <v>10</v>
      </c>
      <c r="B435" s="25">
        <v>10</v>
      </c>
      <c r="C435" s="26">
        <v>0</v>
      </c>
      <c r="D435" s="27">
        <v>0</v>
      </c>
      <c r="E435" s="27">
        <v>0</v>
      </c>
      <c r="F435" s="27">
        <v>0</v>
      </c>
      <c r="G435" s="28"/>
      <c r="H435" s="28"/>
      <c r="I435" s="28"/>
      <c r="J435" s="26">
        <f t="array" ref="J435">SUM($G$425:$I$425*DecCours*DecPasse^(B435-$B$425-1))</f>
        <v>157.26120495309993</v>
      </c>
      <c r="K435" s="27"/>
      <c r="L435" s="36"/>
      <c r="M435" s="6"/>
    </row>
    <row r="436" spans="1:13" x14ac:dyDescent="0.25">
      <c r="A436" s="24" t="s">
        <v>10</v>
      </c>
      <c r="B436" s="25">
        <v>11</v>
      </c>
      <c r="C436" s="26">
        <v>0</v>
      </c>
      <c r="D436" s="27">
        <v>0</v>
      </c>
      <c r="E436" s="27">
        <v>0</v>
      </c>
      <c r="F436" s="27">
        <v>0</v>
      </c>
      <c r="G436" s="28"/>
      <c r="H436" s="28"/>
      <c r="I436" s="28"/>
      <c r="J436" s="26">
        <f t="array" ref="J436">SUM($G$425:$I$425*DecCours*DecPasse^(B436-$B$425-1))</f>
        <v>153.57339814959695</v>
      </c>
      <c r="K436" s="27"/>
      <c r="L436" s="36"/>
      <c r="M436" s="6"/>
    </row>
    <row r="437" spans="1:13" x14ac:dyDescent="0.25">
      <c r="A437" s="24" t="s">
        <v>10</v>
      </c>
      <c r="B437" s="25">
        <v>2</v>
      </c>
      <c r="C437" s="26">
        <v>0</v>
      </c>
      <c r="D437" s="27">
        <v>0</v>
      </c>
      <c r="E437" s="27">
        <v>0</v>
      </c>
      <c r="F437" s="27">
        <v>0</v>
      </c>
      <c r="G437" s="28"/>
      <c r="H437" s="28"/>
      <c r="I437" s="28"/>
      <c r="J437" s="26">
        <f t="array" ref="J437">SUM($G$425:$I$425*DecCours*DecPasse^(B437-$B$425-1))</f>
        <v>208.88849515607237</v>
      </c>
      <c r="K437" s="27"/>
      <c r="L437" s="36"/>
      <c r="M437" s="6"/>
    </row>
    <row r="438" spans="1:13" x14ac:dyDescent="0.25">
      <c r="A438" s="24" t="s">
        <v>10</v>
      </c>
      <c r="B438" s="25">
        <v>13</v>
      </c>
      <c r="C438" s="26">
        <v>0</v>
      </c>
      <c r="D438" s="27">
        <v>0</v>
      </c>
      <c r="E438" s="27">
        <v>0</v>
      </c>
      <c r="F438" s="27">
        <v>0</v>
      </c>
      <c r="G438" s="28"/>
      <c r="H438" s="28"/>
      <c r="I438" s="28"/>
      <c r="J438" s="26">
        <f t="array" ref="J438">SUM($G$425:$I$425*DecCours*DecPasse^(B438-$B$425-1))</f>
        <v>146.75904676674676</v>
      </c>
      <c r="K438" s="27"/>
      <c r="L438" s="36"/>
      <c r="M438" s="6"/>
    </row>
    <row r="439" spans="1:13" x14ac:dyDescent="0.25">
      <c r="A439" s="24" t="s">
        <v>10</v>
      </c>
      <c r="B439" s="25">
        <v>14</v>
      </c>
      <c r="C439" s="26">
        <v>0</v>
      </c>
      <c r="D439" s="27">
        <v>0</v>
      </c>
      <c r="E439" s="27">
        <v>0</v>
      </c>
      <c r="F439" s="27">
        <v>0</v>
      </c>
      <c r="G439" s="28"/>
      <c r="H439" s="28"/>
      <c r="I439" s="28"/>
      <c r="J439" s="26">
        <f t="array" ref="J439">SUM($G$425:$I$425*DecCours*DecPasse^(B439-$B$425-1))</f>
        <v>143.56359246609341</v>
      </c>
      <c r="K439" s="27"/>
      <c r="L439" s="36"/>
      <c r="M439" s="6"/>
    </row>
    <row r="440" spans="1:13" x14ac:dyDescent="0.25">
      <c r="A440" s="24" t="s">
        <v>10</v>
      </c>
      <c r="B440" s="25">
        <v>15</v>
      </c>
      <c r="C440" s="26">
        <v>0</v>
      </c>
      <c r="D440" s="27">
        <v>0</v>
      </c>
      <c r="E440" s="27">
        <v>0</v>
      </c>
      <c r="F440" s="27">
        <v>0</v>
      </c>
      <c r="G440" s="28"/>
      <c r="H440" s="28"/>
      <c r="I440" s="28"/>
      <c r="J440" s="26">
        <f t="array" ref="J440">SUM($G$425:$I$425*DecCours*DecPasse^(B440-$B$425-1))</f>
        <v>140.4789517957401</v>
      </c>
      <c r="K440" s="27"/>
      <c r="L440" s="36"/>
      <c r="M440" s="6"/>
    </row>
    <row r="441" spans="1:13" x14ac:dyDescent="0.25">
      <c r="A441" s="24" t="s">
        <v>10</v>
      </c>
      <c r="B441" s="25">
        <v>16</v>
      </c>
      <c r="C441" s="26">
        <v>0</v>
      </c>
      <c r="D441" s="27">
        <v>0</v>
      </c>
      <c r="E441" s="27">
        <v>0</v>
      </c>
      <c r="F441" s="27">
        <v>0</v>
      </c>
      <c r="G441" s="28"/>
      <c r="H441" s="28"/>
      <c r="I441" s="28"/>
      <c r="J441" s="26">
        <f t="array" ref="J441">SUM($G$425:$I$425*DecCours*DecPasse^(B441-$B$425-1))</f>
        <v>137.49007513097985</v>
      </c>
      <c r="K441" s="27"/>
      <c r="L441" s="36"/>
      <c r="M441" s="6"/>
    </row>
    <row r="442" spans="1:13" x14ac:dyDescent="0.25">
      <c r="A442" s="24" t="s">
        <v>10</v>
      </c>
      <c r="B442" s="25">
        <v>17</v>
      </c>
      <c r="C442" s="26">
        <v>0</v>
      </c>
      <c r="D442" s="27">
        <v>0</v>
      </c>
      <c r="E442" s="27">
        <v>0</v>
      </c>
      <c r="F442" s="27">
        <v>0</v>
      </c>
      <c r="G442" s="28"/>
      <c r="H442" s="28"/>
      <c r="I442" s="28"/>
      <c r="J442" s="26">
        <f t="array" ref="J442">SUM($G$425:$I$425*DecCours*DecPasse^(B442-$B$425-1))</f>
        <v>134.58594588921471</v>
      </c>
      <c r="K442" s="27"/>
      <c r="L442" s="36"/>
      <c r="M442" s="6"/>
    </row>
    <row r="443" spans="1:13" x14ac:dyDescent="0.25">
      <c r="A443" s="24" t="s">
        <v>10</v>
      </c>
      <c r="B443" s="25">
        <v>18</v>
      </c>
      <c r="C443" s="26">
        <v>0</v>
      </c>
      <c r="D443" s="27">
        <v>0</v>
      </c>
      <c r="E443" s="27">
        <v>0</v>
      </c>
      <c r="F443" s="27">
        <v>0</v>
      </c>
      <c r="G443" s="28"/>
      <c r="H443" s="28"/>
      <c r="I443" s="28"/>
      <c r="J443" s="26">
        <f t="array" ref="J443">SUM($G$425:$I$425*DecCours*DecPasse^(B443-$B$425-1))</f>
        <v>131.75840754812063</v>
      </c>
      <c r="K443" s="27"/>
      <c r="L443" s="36"/>
      <c r="M443" s="6"/>
    </row>
    <row r="444" spans="1:13" x14ac:dyDescent="0.25">
      <c r="A444" s="24" t="s">
        <v>10</v>
      </c>
      <c r="B444" s="25">
        <v>19</v>
      </c>
      <c r="C444" s="26">
        <v>0</v>
      </c>
      <c r="D444" s="27">
        <v>0</v>
      </c>
      <c r="E444" s="27">
        <v>0</v>
      </c>
      <c r="F444" s="27">
        <v>0</v>
      </c>
      <c r="G444" s="28"/>
      <c r="H444" s="28"/>
      <c r="I444" s="28"/>
      <c r="J444" s="26">
        <f t="array" ref="J444">SUM($G$425:$I$425*DecCours*DecPasse^(B444-$B$425-1))</f>
        <v>129.00133403500274</v>
      </c>
      <c r="K444" s="27"/>
      <c r="L444" s="36"/>
      <c r="M444" s="6"/>
    </row>
    <row r="445" spans="1:13" x14ac:dyDescent="0.25">
      <c r="A445" s="24" t="s">
        <v>10</v>
      </c>
      <c r="B445" s="35">
        <v>20</v>
      </c>
      <c r="C445" s="26">
        <f>43*C355</f>
        <v>39.56</v>
      </c>
      <c r="D445" s="27">
        <f>40%*0.84</f>
        <v>0.33600000000000002</v>
      </c>
      <c r="E445" s="27">
        <v>0</v>
      </c>
      <c r="F445" s="27">
        <v>0.6</v>
      </c>
      <c r="G445" s="28">
        <f>$C$445*D445*InfraDg*TauxC*MasseMol</f>
        <v>9.954720159999999</v>
      </c>
      <c r="H445" s="28">
        <f>$C$445*E445*InfraDg*TauxC*MasseMol</f>
        <v>0</v>
      </c>
      <c r="I445" s="28">
        <f>$C$445*F445*InfraDg*TauxC*MasseMol</f>
        <v>17.776285999999999</v>
      </c>
      <c r="J445" s="26">
        <f t="array" ref="J445">SUM($G$425:$I$425*DecCours*DecPasse^(B445-$B$425-1))</f>
        <v>126.31004292060462</v>
      </c>
      <c r="K445" s="29"/>
      <c r="L445" s="36">
        <f t="array" ref="L445">C445*SUM(D445:F445*CoefSubst)</f>
        <v>38.480803200000004</v>
      </c>
      <c r="M445" s="6"/>
    </row>
    <row r="446" spans="1:13" x14ac:dyDescent="0.25">
      <c r="A446" s="24" t="s">
        <v>10</v>
      </c>
      <c r="B446" s="35">
        <v>21</v>
      </c>
      <c r="C446" s="26">
        <v>0</v>
      </c>
      <c r="D446" s="27">
        <v>0</v>
      </c>
      <c r="E446" s="27">
        <v>0</v>
      </c>
      <c r="F446" s="27">
        <v>0</v>
      </c>
      <c r="G446" s="28"/>
      <c r="H446" s="28"/>
      <c r="I446" s="28"/>
      <c r="J446" s="26">
        <f t="array" ref="J446">SUM($G$425:$I$425*DecCours*DecPasse^(B446-$B$425-1)) + SUM($G$445:$I$445*DecCours)</f>
        <v>151.06979147662449</v>
      </c>
      <c r="K446" s="29"/>
      <c r="L446" s="36"/>
      <c r="M446" s="6"/>
    </row>
    <row r="447" spans="1:13" x14ac:dyDescent="0.25">
      <c r="A447" s="24" t="s">
        <v>10</v>
      </c>
      <c r="B447" s="35">
        <v>22</v>
      </c>
      <c r="C447" s="26">
        <v>0</v>
      </c>
      <c r="D447" s="27">
        <v>0</v>
      </c>
      <c r="E447" s="27">
        <v>0</v>
      </c>
      <c r="F447" s="27">
        <v>0</v>
      </c>
      <c r="G447" s="28"/>
      <c r="H447" s="28"/>
      <c r="I447" s="28"/>
      <c r="J447" s="26">
        <f t="array" ref="J447">SUM($G$425:$I$425*DecCours*DecPasse^(B447-$B$425-1)) + SUM($G$445:$I$445*DecCours*DecPasse^(B447-$B$445-1))</f>
        <v>147.82713591223714</v>
      </c>
      <c r="K447" s="29"/>
      <c r="L447" s="36"/>
      <c r="M447" s="6"/>
    </row>
    <row r="448" spans="1:13" x14ac:dyDescent="0.25">
      <c r="A448" s="24" t="s">
        <v>10</v>
      </c>
      <c r="B448" s="35">
        <v>23</v>
      </c>
      <c r="C448" s="26">
        <v>0</v>
      </c>
      <c r="D448" s="27">
        <v>0</v>
      </c>
      <c r="E448" s="27">
        <v>0</v>
      </c>
      <c r="F448" s="27">
        <v>0</v>
      </c>
      <c r="G448" s="28"/>
      <c r="H448" s="28"/>
      <c r="I448" s="28"/>
      <c r="J448" s="26">
        <f t="array" ref="J448">SUM($G$425:$I$425*DecCours*DecPasse^(B448-$B$425-1)) + SUM($G$445:$I$445*DecCours*DecPasse^(B448-$B$445-1))</f>
        <v>144.65819756644316</v>
      </c>
      <c r="K448" s="29"/>
      <c r="L448" s="36"/>
      <c r="M448" s="6"/>
    </row>
    <row r="449" spans="1:13" x14ac:dyDescent="0.25">
      <c r="A449" s="24" t="s">
        <v>10</v>
      </c>
      <c r="B449" s="35">
        <v>24</v>
      </c>
      <c r="C449" s="26">
        <v>0</v>
      </c>
      <c r="D449" s="27">
        <v>0</v>
      </c>
      <c r="E449" s="27">
        <v>0</v>
      </c>
      <c r="F449" s="27">
        <v>0</v>
      </c>
      <c r="G449" s="28"/>
      <c r="H449" s="28"/>
      <c r="I449" s="28"/>
      <c r="J449" s="26">
        <f t="array" ref="J449">SUM($G$425:$I$425*DecCours*DecPasse^(B449-$B$425-1)) + SUM($G$445:$I$445*DecCours*DecPasse^(B449-$B$445-1))</f>
        <v>141.56053137081031</v>
      </c>
      <c r="K449" s="29"/>
      <c r="L449" s="36"/>
      <c r="M449" s="6"/>
    </row>
    <row r="450" spans="1:13" x14ac:dyDescent="0.25">
      <c r="A450" s="24" t="s">
        <v>10</v>
      </c>
      <c r="B450" s="35">
        <v>25</v>
      </c>
      <c r="C450" s="26">
        <f>60*C355</f>
        <v>55.2</v>
      </c>
      <c r="D450" s="27">
        <f>40%*0.84</f>
        <v>0.33600000000000002</v>
      </c>
      <c r="E450" s="27">
        <v>0</v>
      </c>
      <c r="F450" s="27">
        <v>0.6</v>
      </c>
      <c r="G450" s="28">
        <f>$C$450*D450*InfraDg*TauxC*MasseMol</f>
        <v>13.890307200000001</v>
      </c>
      <c r="H450" s="28">
        <f>$C$450*E450*InfraDg*TauxC*MasseMol</f>
        <v>0</v>
      </c>
      <c r="I450" s="28">
        <f>$C$450*F450*InfraDg*TauxC*MasseMol</f>
        <v>24.804119999999994</v>
      </c>
      <c r="J450" s="26">
        <f t="array" ref="J450">SUM($G$425:$I$425*DecCours*DecPasse^(B450-$B$425-1)) + SUM($G$445:$I$445*DecCours*DecPasse^(B450-$B$445-1))</f>
        <v>138.53197914858873</v>
      </c>
      <c r="K450" s="29"/>
      <c r="L450" s="36">
        <f t="array" ref="L450">C450*SUM(D450:F450*CoefSubst)</f>
        <v>53.694144000000001</v>
      </c>
      <c r="M450" s="6"/>
    </row>
    <row r="451" spans="1:13" x14ac:dyDescent="0.25">
      <c r="A451" s="24" t="s">
        <v>10</v>
      </c>
      <c r="B451" s="35">
        <v>26</v>
      </c>
      <c r="C451" s="26">
        <v>0</v>
      </c>
      <c r="D451" s="27">
        <v>0</v>
      </c>
      <c r="E451" s="27">
        <v>0</v>
      </c>
      <c r="F451" s="27">
        <v>0</v>
      </c>
      <c r="G451" s="28"/>
      <c r="H451" s="28"/>
      <c r="I451" s="28"/>
      <c r="J451" s="26">
        <f t="array" ref="J451">SUM($G$425:$I$425*DecCours*DecPasse^(B451-$B$425-1)) + SUM($G$445:$I$445*DecCours*DecPasse^(B451-$B$445-1)) + SUM($G$450:$I$450*DecCours)</f>
        <v>173.78768082938251</v>
      </c>
      <c r="K451" s="29"/>
      <c r="L451" s="36"/>
      <c r="M451" s="6"/>
    </row>
    <row r="452" spans="1:13" x14ac:dyDescent="0.25">
      <c r="A452" s="24" t="s">
        <v>10</v>
      </c>
      <c r="B452" s="35">
        <v>27</v>
      </c>
      <c r="C452" s="26">
        <v>0</v>
      </c>
      <c r="D452" s="27">
        <v>0</v>
      </c>
      <c r="E452" s="27">
        <v>0</v>
      </c>
      <c r="F452" s="27">
        <v>0</v>
      </c>
      <c r="G452" s="28"/>
      <c r="H452" s="28"/>
      <c r="I452" s="28"/>
      <c r="J452" s="26">
        <f t="array" ref="J452">SUM($G$425:$I$425*DecCours*DecPasse^(B452-$B$425-1)) + SUM($G$445:$I$445*DecCours*DecPasse^(B452-$B$445-1)) + SUM($G$450:$I$450*DecCours*DecPasse^(B452-$B$450-1))</f>
        <v>169.95302589305518</v>
      </c>
      <c r="K452" s="29"/>
      <c r="L452" s="36"/>
      <c r="M452" s="6"/>
    </row>
    <row r="453" spans="1:13" x14ac:dyDescent="0.25">
      <c r="A453" s="24" t="s">
        <v>10</v>
      </c>
      <c r="B453" s="35">
        <v>28</v>
      </c>
      <c r="C453" s="26">
        <v>0</v>
      </c>
      <c r="D453" s="27">
        <v>0</v>
      </c>
      <c r="E453" s="27">
        <v>0</v>
      </c>
      <c r="F453" s="27">
        <v>0</v>
      </c>
      <c r="G453" s="28"/>
      <c r="H453" s="28"/>
      <c r="I453" s="28"/>
      <c r="J453" s="26">
        <f t="array" ref="J453">SUM($G$425:$I$425*DecCours*DecPasse^(B453-$B$425-1)) + SUM($G$445:$I$445*DecCours*DecPasse^(B453-$B$445-1)) + SUM($G$450:$I$450*DecCours*DecPasse^(B453-$B$450-1))</f>
        <v>166.20567270962431</v>
      </c>
      <c r="K453" s="29"/>
      <c r="L453" s="36"/>
      <c r="M453" s="6"/>
    </row>
    <row r="454" spans="1:13" x14ac:dyDescent="0.25">
      <c r="A454" s="24" t="s">
        <v>10</v>
      </c>
      <c r="B454" s="35">
        <v>29</v>
      </c>
      <c r="C454" s="26">
        <v>0</v>
      </c>
      <c r="D454" s="27">
        <v>0</v>
      </c>
      <c r="E454" s="27">
        <v>0</v>
      </c>
      <c r="F454" s="27">
        <v>0</v>
      </c>
      <c r="G454" s="28"/>
      <c r="H454" s="28"/>
      <c r="I454" s="28"/>
      <c r="J454" s="26">
        <f t="array" ref="J454">SUM($G$425:$I$425*DecCours*DecPasse^(B454-$B$425-1)) + SUM($G$445:$I$445*DecCours*DecPasse^(B454-$B$445-1)) + SUM($G$450:$I$450*DecCours*DecPasse^(B454-$B$450-1))</f>
        <v>162.54345057181351</v>
      </c>
      <c r="K454" s="29"/>
      <c r="L454" s="36"/>
      <c r="M454" s="6"/>
    </row>
    <row r="455" spans="1:13" x14ac:dyDescent="0.25">
      <c r="A455" s="24" t="s">
        <v>10</v>
      </c>
      <c r="B455" s="35">
        <v>30</v>
      </c>
      <c r="C455" s="26">
        <f>90*C355</f>
        <v>82.8</v>
      </c>
      <c r="D455" s="27">
        <f>60%*0.84</f>
        <v>0.504</v>
      </c>
      <c r="E455" s="27">
        <v>0</v>
      </c>
      <c r="F455" s="27">
        <v>0.4</v>
      </c>
      <c r="G455" s="28">
        <f>$C$455*D455*InfraDg*TauxC*MasseMol</f>
        <v>31.2531912</v>
      </c>
      <c r="H455" s="28">
        <f>$C$455*E455*InfraDg*TauxC*MasseMol</f>
        <v>0</v>
      </c>
      <c r="I455" s="28">
        <f>$C$455*F455*InfraDg*TauxC*MasseMol</f>
        <v>24.804119999999994</v>
      </c>
      <c r="J455" s="26">
        <f t="array" ref="J455">SUM($G$425:$I$425*DecCours*DecPasse^(B455-$B$425-1)) + SUM($G$445:$I$445*DecCours*DecPasse^(B455-$B$445-1)) + SUM($G$450:$I$450*DecCours*DecPasse^(B455-$B$450-1))</f>
        <v>158.96428129210165</v>
      </c>
      <c r="K455" s="29"/>
      <c r="L455" s="36">
        <f t="array" ref="L455">C455*SUM(D455:F455*CoefSubst)</f>
        <v>88.933823999999987</v>
      </c>
      <c r="M455" s="6"/>
    </row>
    <row r="456" spans="1:13" x14ac:dyDescent="0.25">
      <c r="A456" s="24" t="s">
        <v>10</v>
      </c>
      <c r="B456" s="35">
        <v>31</v>
      </c>
      <c r="C456" s="26">
        <v>0</v>
      </c>
      <c r="D456" s="27">
        <v>0</v>
      </c>
      <c r="E456" s="27">
        <v>0</v>
      </c>
      <c r="F456" s="27">
        <v>0</v>
      </c>
      <c r="G456" s="28"/>
      <c r="H456" s="28"/>
      <c r="I456" s="28"/>
      <c r="J456" s="26">
        <f t="array" ref="J456">SUM($G$425:$I$425*DecCours*DecPasse^(B456-$B$425-1)) + SUM($G$445:$I$445*DecCours*DecPasse^(B456-$B$445-1)) + SUM($G$450:$I$450*DecCours*DecPasse^(B456-$B$450-1))+SUM($G$455:$I$455*DecCours)</f>
        <v>210.87533473762505</v>
      </c>
      <c r="K456" s="29"/>
      <c r="L456" s="36"/>
      <c r="M456" s="6"/>
    </row>
    <row r="457" spans="1:13" x14ac:dyDescent="0.25">
      <c r="A457" s="24" t="s">
        <v>10</v>
      </c>
      <c r="B457" s="35">
        <v>32</v>
      </c>
      <c r="C457" s="26">
        <v>0</v>
      </c>
      <c r="D457" s="27">
        <v>0</v>
      </c>
      <c r="E457" s="27">
        <v>0</v>
      </c>
      <c r="F457" s="27">
        <v>0</v>
      </c>
      <c r="G457" s="28"/>
      <c r="H457" s="28"/>
      <c r="I457" s="28"/>
      <c r="J457" s="26">
        <f t="array" ref="J457">SUM($G$425:$I$425*DecCours*DecPasse^(B457-$B$425-1)) + SUM($G$445:$I$445*DecCours*DecPasse^(B457-$B$445-1)) + SUM($G$450:$I$450*DecCours*DecPasse^(B457-$B$450-1))+SUM($G$455:$I$455*DecCours*DecPasse^(B457-$B$455-1))</f>
        <v>206.18055906329406</v>
      </c>
      <c r="K457" s="29"/>
      <c r="L457" s="36"/>
      <c r="M457" s="6"/>
    </row>
    <row r="458" spans="1:13" x14ac:dyDescent="0.25">
      <c r="A458" s="24" t="s">
        <v>10</v>
      </c>
      <c r="B458" s="35">
        <v>33</v>
      </c>
      <c r="C458" s="26">
        <v>0</v>
      </c>
      <c r="D458" s="27">
        <v>0</v>
      </c>
      <c r="E458" s="27">
        <v>0</v>
      </c>
      <c r="F458" s="27">
        <v>0</v>
      </c>
      <c r="G458" s="28"/>
      <c r="H458" s="28"/>
      <c r="I458" s="28"/>
      <c r="J458" s="26">
        <f t="array" ref="J458">SUM($G$425:$I$425*DecCours*DecPasse^(B458-$B$425-1)) + SUM($G$445:$I$445*DecCours*DecPasse^(B458-$B$445-1)) + SUM($G$450:$I$450*DecCours*DecPasse^(B458-$B$450-1))+SUM($G$455:$I$455*DecCours*DecPasse^(B458-$B$455-1))</f>
        <v>201.59322551964493</v>
      </c>
      <c r="K458" s="29"/>
      <c r="L458" s="36"/>
      <c r="M458" s="6"/>
    </row>
    <row r="459" spans="1:13" x14ac:dyDescent="0.25">
      <c r="A459" s="24" t="s">
        <v>10</v>
      </c>
      <c r="B459" s="35">
        <v>34</v>
      </c>
      <c r="C459" s="26">
        <v>0</v>
      </c>
      <c r="D459" s="27">
        <v>0</v>
      </c>
      <c r="E459" s="27">
        <v>0</v>
      </c>
      <c r="F459" s="27">
        <v>0</v>
      </c>
      <c r="G459" s="28"/>
      <c r="H459" s="28"/>
      <c r="I459" s="28"/>
      <c r="J459" s="26">
        <f t="array" ref="J459">SUM($G$425:$I$425*DecCours*DecPasse^(B459-$B$425-1)) + SUM($G$445:$I$445*DecCours*DecPasse^(B459-$B$445-1)) + SUM($G$450:$I$450*DecCours*DecPasse^(B459-$B$450-1))+SUM($G$455:$I$455*DecCours*DecPasse^(B459-$B$455-1))</f>
        <v>197.1107840750725</v>
      </c>
      <c r="K459" s="29"/>
      <c r="L459" s="36"/>
      <c r="M459" s="6"/>
    </row>
    <row r="460" spans="1:13" x14ac:dyDescent="0.25">
      <c r="A460" s="24" t="s">
        <v>10</v>
      </c>
      <c r="B460" s="35">
        <v>35</v>
      </c>
      <c r="C460" s="26">
        <f>72*C355</f>
        <v>66.240000000000009</v>
      </c>
      <c r="D460" s="27">
        <f>60%*0.84</f>
        <v>0.504</v>
      </c>
      <c r="E460" s="27">
        <f>20%*0.84</f>
        <v>0.16800000000000001</v>
      </c>
      <c r="F460" s="27">
        <v>0.2</v>
      </c>
      <c r="G460" s="28">
        <f>$C$460*D460*InfraDg*TauxC*MasseMol</f>
        <v>25.002552960000003</v>
      </c>
      <c r="H460" s="28">
        <f>$C$460*E460*InfraDg*TauxC*MasseMol</f>
        <v>8.3341843200000003</v>
      </c>
      <c r="I460" s="28">
        <f>$C$460*F460*InfraDg*TauxC*MasseMol</f>
        <v>9.9216480000000011</v>
      </c>
      <c r="J460" s="26">
        <f t="array" ref="J460">SUM($G$425:$I$425*DecCours*DecPasse^(B460-$B$425-1)) + SUM($G$445:$I$445*DecCours*DecPasse^(B460-$B$445-1)) + SUM($G$450:$I$450*DecCours*DecPasse^(B460-$B$450-1))+SUM($G$455:$I$455*DecCours*DecPasse^(B460-$B$455-1))</f>
        <v>192.73075343360804</v>
      </c>
      <c r="K460" s="29"/>
      <c r="L460" s="36"/>
      <c r="M460" s="6"/>
    </row>
    <row r="461" spans="1:13" x14ac:dyDescent="0.25">
      <c r="A461" s="24" t="s">
        <v>10</v>
      </c>
      <c r="B461" s="35">
        <v>36</v>
      </c>
      <c r="C461" s="26">
        <v>0</v>
      </c>
      <c r="D461" s="27">
        <v>0</v>
      </c>
      <c r="E461" s="27">
        <v>0</v>
      </c>
      <c r="F461" s="27">
        <v>0</v>
      </c>
      <c r="G461" s="28"/>
      <c r="H461" s="28"/>
      <c r="I461" s="28"/>
      <c r="J461" s="26">
        <f t="array" ref="J461">SUM($G$425:$I$425*DecCours*DecPasse^(B461-$B$425-1)) + SUM($G$445:$I$445*DecCours*DecPasse^(B461-$B$445-1)) + SUM($G$450:$I$450*DecCours*DecPasse^(B461-$B$450-1))+SUM($G$455:$I$455*DecCours*DecPasse^(B461-$B$455-1)) + SUM($G$460:$I$460*DecCours)</f>
        <v>230.03599823163879</v>
      </c>
      <c r="K461" s="29"/>
      <c r="L461" s="36"/>
      <c r="M461" s="6"/>
    </row>
    <row r="462" spans="1:13" x14ac:dyDescent="0.25">
      <c r="A462" s="24" t="s">
        <v>10</v>
      </c>
      <c r="B462" s="35">
        <v>37</v>
      </c>
      <c r="C462" s="26">
        <v>0</v>
      </c>
      <c r="D462" s="27">
        <v>0</v>
      </c>
      <c r="E462" s="27">
        <v>0</v>
      </c>
      <c r="F462" s="27">
        <v>0</v>
      </c>
      <c r="G462" s="28"/>
      <c r="H462" s="28"/>
      <c r="I462" s="28"/>
      <c r="J462" s="26">
        <f t="array" ref="J462">SUM($G$425:$I$425*DecCours*DecPasse^(B462-$B$425-1)) + SUM($G$445:$I$445*DecCours*DecPasse^(B462-$B$445-1)) + SUM($G$450:$I$450*DecCours*DecPasse^(B462-$B$450-1))+SUM($G$455:$I$455*DecCours*DecPasse^(B462-$B$455-1)) + SUM($G$460:$I$460*DecCours*DecPasse^(B462-$B$460-1))</f>
        <v>223.03762029689355</v>
      </c>
      <c r="K462" s="29"/>
      <c r="L462" s="36"/>
      <c r="M462" s="6"/>
    </row>
    <row r="463" spans="1:13" x14ac:dyDescent="0.25">
      <c r="A463" s="24" t="s">
        <v>10</v>
      </c>
      <c r="B463" s="35">
        <v>38</v>
      </c>
      <c r="C463" s="26">
        <v>0</v>
      </c>
      <c r="D463" s="27">
        <v>0</v>
      </c>
      <c r="E463" s="27">
        <v>0</v>
      </c>
      <c r="F463" s="27">
        <v>0</v>
      </c>
      <c r="G463" s="28"/>
      <c r="H463" s="28"/>
      <c r="I463" s="28"/>
      <c r="J463" s="26">
        <f t="array" ref="J463">SUM($G$425:$I$425*DecCours*DecPasse^(B463-$B$425-1)) + SUM($G$445:$I$445*DecCours*DecPasse^(B463-$B$445-1)) + SUM($G$450:$I$450*DecCours*DecPasse^(B463-$B$450-1))+SUM($G$455:$I$455*DecCours*DecPasse^(B463-$B$455-1)) + SUM($G$460:$I$460*DecCours*DecPasse^(B463-$B$460-1))</f>
        <v>216.75564438698879</v>
      </c>
      <c r="K463" s="29"/>
      <c r="L463" s="36"/>
      <c r="M463" s="6"/>
    </row>
    <row r="464" spans="1:13" x14ac:dyDescent="0.25">
      <c r="A464" s="24" t="s">
        <v>10</v>
      </c>
      <c r="B464" s="35">
        <v>39</v>
      </c>
      <c r="C464" s="26">
        <v>0</v>
      </c>
      <c r="D464" s="27">
        <v>0</v>
      </c>
      <c r="E464" s="27">
        <v>0</v>
      </c>
      <c r="F464" s="27">
        <v>0</v>
      </c>
      <c r="G464" s="28"/>
      <c r="H464" s="28"/>
      <c r="I464" s="28"/>
      <c r="J464" s="26">
        <f t="array" ref="J464">SUM($G$425:$I$425*DecCours*DecPasse^(B464-$B$425-1)) + SUM($G$445:$I$445*DecCours*DecPasse^(B464-$B$445-1)) + SUM($G$450:$I$450*DecCours*DecPasse^(B464-$B$450-1))+SUM($G$455:$I$455*DecCours*DecPasse^(B464-$B$455-1)) + SUM($G$460:$I$460*DecCours*DecPasse^(B464-$B$460-1))</f>
        <v>211.01047343837797</v>
      </c>
      <c r="K464" s="29"/>
      <c r="L464" s="36"/>
      <c r="M464" s="6"/>
    </row>
    <row r="465" spans="1:41" x14ac:dyDescent="0.25">
      <c r="A465" s="24" t="s">
        <v>10</v>
      </c>
      <c r="B465" s="35">
        <v>40</v>
      </c>
      <c r="C465" s="26">
        <f>77*C355</f>
        <v>70.84</v>
      </c>
      <c r="D465" s="27">
        <f>60%*0.84</f>
        <v>0.504</v>
      </c>
      <c r="E465" s="27">
        <f>30%*0.84</f>
        <v>0.252</v>
      </c>
      <c r="F465" s="27">
        <v>0.1</v>
      </c>
      <c r="G465" s="28">
        <f>$C$465*D465*InfraDg*TauxC*MasseMol</f>
        <v>26.738841359999999</v>
      </c>
      <c r="H465" s="28">
        <f>$C$465*E465*InfraDg*TauxC*MasseMol</f>
        <v>13.369420679999999</v>
      </c>
      <c r="I465" s="28">
        <f>$C$465*F465*InfraDg*TauxC*MasseMol</f>
        <v>5.3053256666666666</v>
      </c>
      <c r="J465" s="26">
        <f t="array" ref="J465">SUM($G$425:$I$425*DecCours*DecPasse^(B465-$B$425-1)) + SUM($G$445:$I$445*DecCours*DecPasse^(B465-$B$445-1)) + SUM($G$450:$I$450*DecCours*DecPasse^(B465-$B$450-1))+SUM($G$455:$I$455*DecCours*DecPasse^(B465-$B$455-1)) + SUM($G$460:$I$460*DecCours*DecPasse^(B465-$B$460-1))</f>
        <v>205.67440859426867</v>
      </c>
      <c r="K465" s="29"/>
      <c r="L465" s="36"/>
      <c r="M465" s="6"/>
    </row>
    <row r="466" spans="1:41" x14ac:dyDescent="0.25">
      <c r="A466" s="24" t="s">
        <v>10</v>
      </c>
      <c r="B466" s="35">
        <v>41</v>
      </c>
      <c r="C466" s="26">
        <v>0</v>
      </c>
      <c r="D466" s="27">
        <v>0</v>
      </c>
      <c r="E466" s="27">
        <v>0</v>
      </c>
      <c r="F466" s="27">
        <v>0</v>
      </c>
      <c r="G466" s="28"/>
      <c r="H466" s="28"/>
      <c r="I466" s="28"/>
      <c r="J466" s="26">
        <f t="array" ref="J466">SUM($G$425:$I$425*DecCours*DecPasse^(B466-$B$425-1)) + SUM($G$445:$I$445*DecCours*DecPasse^(B466-$B$445-1)) + SUM($G$450:$I$450*DecCours*DecPasse^(B466-$B$450-1))+SUM($G$455:$I$455*DecCours*DecPasse^(B466-$B$455-1)) + SUM($G$460:$I$460*DecCours*DecPasse^(B466-$B$460-1)) + SUM($G$465:$I$465*DecCours)</f>
        <v>243.66337556597196</v>
      </c>
      <c r="K466" s="29"/>
      <c r="L466" s="36"/>
      <c r="M466" s="6"/>
    </row>
    <row r="467" spans="1:41" x14ac:dyDescent="0.25">
      <c r="A467" s="24" t="s">
        <v>10</v>
      </c>
      <c r="B467" s="35">
        <v>42</v>
      </c>
      <c r="C467" s="26">
        <v>0</v>
      </c>
      <c r="D467" s="27">
        <v>0</v>
      </c>
      <c r="E467" s="27">
        <v>0</v>
      </c>
      <c r="F467" s="27">
        <v>0</v>
      </c>
      <c r="G467" s="28"/>
      <c r="H467" s="28"/>
      <c r="I467" s="28"/>
      <c r="J467" s="26">
        <f t="array" ref="J467">SUM($G$425:$I$425*DecCours*DecPasse^(B467-$B$425-1)) + SUM($G$445:$I$445*DecCours*DecPasse^(B467-$B$445-1)) + SUM($G$450:$I$450*DecCours*DecPasse^(B467-$B$450-1))+SUM($G$455:$I$455*DecCours*DecPasse^(B467-$B$455-1)) + SUM($G$460:$I$460*DecCours*DecPasse^(B467-$B$460-1)) + SUM($G$465:$I$465*DecCours*DecPasse^(B467-$B$465-1))</f>
        <v>234.92699390338942</v>
      </c>
      <c r="K467" s="29"/>
      <c r="L467" s="36"/>
      <c r="M467" s="6"/>
    </row>
    <row r="468" spans="1:41" x14ac:dyDescent="0.25">
      <c r="A468" s="24" t="s">
        <v>10</v>
      </c>
      <c r="B468" s="35">
        <v>43</v>
      </c>
      <c r="C468" s="26">
        <v>0</v>
      </c>
      <c r="D468" s="27">
        <v>0</v>
      </c>
      <c r="E468" s="27">
        <v>0</v>
      </c>
      <c r="F468" s="27">
        <v>0</v>
      </c>
      <c r="G468" s="28"/>
      <c r="H468" s="28"/>
      <c r="I468" s="28"/>
      <c r="J468" s="26">
        <f t="array" ref="J468">SUM($G$425:$I$425*DecCours*DecPasse^(B468-$B$425-1)) + SUM($G$445:$I$445*DecCours*DecPasse^(B468-$B$445-1)) + SUM($G$450:$I$450*DecCours*DecPasse^(B468-$B$450-1))+SUM($G$455:$I$455*DecCours*DecPasse^(B468-$B$455-1)) + SUM($G$460:$I$460*DecCours*DecPasse^(B468-$B$460-1)) + SUM($G$465:$I$465*DecCours*DecPasse^(B468-$B$465-1))</f>
        <v>227.38046894771546</v>
      </c>
      <c r="K468" s="29"/>
      <c r="L468" s="36"/>
      <c r="M468" s="6"/>
    </row>
    <row r="469" spans="1:41" x14ac:dyDescent="0.25">
      <c r="A469" s="24" t="s">
        <v>10</v>
      </c>
      <c r="B469" s="35">
        <v>44</v>
      </c>
      <c r="C469" s="26">
        <v>0</v>
      </c>
      <c r="D469" s="27">
        <v>0</v>
      </c>
      <c r="E469" s="27">
        <v>0</v>
      </c>
      <c r="F469" s="27">
        <v>0</v>
      </c>
      <c r="G469" s="28"/>
      <c r="H469" s="28"/>
      <c r="I469" s="28"/>
      <c r="J469" s="26">
        <f t="array" ref="J469">SUM($G$425:$I$425*DecCours*DecPasse^(B469-$B$425-1)) + SUM($G$445:$I$445*DecCours*DecPasse^(B469-$B$445-1)) + SUM($G$450:$I$450*DecCours*DecPasse^(B469-$B$450-1))+SUM($G$455:$I$455*DecCours*DecPasse^(B469-$B$455-1)) + SUM($G$460:$I$460*DecCours*DecPasse^(B469-$B$460-1)) + SUM($G$465:$I$465*DecCours*DecPasse^(B469-$B$465-1))</f>
        <v>220.70599500704347</v>
      </c>
      <c r="K469" s="29"/>
      <c r="L469" s="36"/>
      <c r="M469" s="6"/>
    </row>
    <row r="470" spans="1:41" x14ac:dyDescent="0.25">
      <c r="A470" s="24" t="s">
        <v>10</v>
      </c>
      <c r="B470" s="35">
        <v>45</v>
      </c>
      <c r="C470" s="26">
        <f>64*C355</f>
        <v>58.88</v>
      </c>
      <c r="D470" s="27">
        <f>60%*0.84</f>
        <v>0.504</v>
      </c>
      <c r="E470" s="27">
        <f>30%*0.84</f>
        <v>0.252</v>
      </c>
      <c r="F470" s="27">
        <v>0.1</v>
      </c>
      <c r="G470" s="28">
        <f>$C$470*D470*InfraDg*TauxC*MasseMol</f>
        <v>22.224491520000001</v>
      </c>
      <c r="H470" s="28">
        <f>$C$470*E470*InfraDg*TauxC*MasseMol</f>
        <v>11.11224576</v>
      </c>
      <c r="I470" s="28">
        <f>$C$470*F470*InfraDg*TauxC*MasseMol</f>
        <v>4.4096213333333338</v>
      </c>
      <c r="J470" s="26">
        <f t="array" ref="J470">SUM($G$425:$I$425*DecCours*DecPasse^(B470-$B$425-1)) + SUM($G$445:$I$445*DecCours*DecPasse^(B470-$B$445-1)) + SUM($G$450:$I$450*DecCours*DecPasse^(B470-$B$450-1))+SUM($G$455:$I$455*DecCours*DecPasse^(B470-$B$455-1)) + SUM($G$460:$I$460*DecCours*DecPasse^(B470-$B$460-1)) + SUM($G$465:$I$465*DecCours*DecPasse^(B470-$B$465-1))</f>
        <v>214.67814231123427</v>
      </c>
      <c r="K470" s="29"/>
      <c r="L470" s="36"/>
      <c r="M470" s="6"/>
    </row>
    <row r="471" spans="1:41" x14ac:dyDescent="0.25">
      <c r="A471" s="24" t="s">
        <v>10</v>
      </c>
      <c r="B471" s="35">
        <v>46</v>
      </c>
      <c r="C471" s="26">
        <v>0</v>
      </c>
      <c r="D471" s="27">
        <v>0</v>
      </c>
      <c r="E471" s="27">
        <v>0</v>
      </c>
      <c r="F471" s="27">
        <v>0</v>
      </c>
      <c r="G471" s="28"/>
      <c r="H471" s="28"/>
      <c r="I471" s="28"/>
      <c r="J471" s="26">
        <f t="array" ref="J471">SUM($G$425:$I$425*DecCours*DecPasse^(B471-$B$425-1)) + SUM($G$445:$I$445*DecCours*DecPasse^(B471-$B$445-1)) + SUM($G$450:$I$450*DecCours*DecPasse^(B471-$B$450-1))+SUM($G$455:$I$455*DecCours*DecPasse^(B471-$B$455-1)) + SUM($G$460:$I$460*DecCours*DecPasse^(B471-$B$460-1)) + SUM($G$465:$I$465*DecCours*DecPasse^(B471-$B$465-1)) + SUM($G$470:$I$470*DecCours)</f>
        <v>244.88282069746634</v>
      </c>
      <c r="K471" s="29"/>
      <c r="L471" s="36"/>
      <c r="M471" s="6"/>
    </row>
    <row r="472" spans="1:41" x14ac:dyDescent="0.25">
      <c r="A472" s="24" t="s">
        <v>10</v>
      </c>
      <c r="B472" s="35">
        <v>47</v>
      </c>
      <c r="C472" s="26">
        <v>0</v>
      </c>
      <c r="D472" s="27">
        <v>0</v>
      </c>
      <c r="E472" s="27">
        <v>0</v>
      </c>
      <c r="F472" s="27">
        <v>0</v>
      </c>
      <c r="G472" s="28"/>
      <c r="H472" s="28"/>
      <c r="I472" s="28"/>
      <c r="J472" s="26">
        <f t="array" ref="J472">SUM($G$425:$I$425*DecCours*DecPasse^(B472-$B$425-1)) + SUM($G$445:$I$445*DecCours*DecPasse^(B472-$B$445-1)) + SUM($G$450:$I$450*DecCours*DecPasse^(B472-$B$450-1))+SUM($G$455:$I$455*DecCours*DecPasse^(B472-$B$455-1)) + SUM($G$460:$I$460*DecCours*DecPasse^(B472-$B$460-1)) + SUM($G$465:$I$465*DecCours*DecPasse^(B472-$B$465-1)) + SUM($G$470:$I$470*DecCours*DecPasse^(B472-$B$470-1))</f>
        <v>236.41311518949561</v>
      </c>
      <c r="K472" s="29"/>
      <c r="L472" s="36"/>
      <c r="M472" s="6"/>
    </row>
    <row r="473" spans="1:41" x14ac:dyDescent="0.25">
      <c r="A473" s="24" t="s">
        <v>10</v>
      </c>
      <c r="B473" s="35">
        <v>48</v>
      </c>
      <c r="C473" s="26">
        <v>0</v>
      </c>
      <c r="D473" s="27">
        <v>0</v>
      </c>
      <c r="E473" s="27">
        <v>0</v>
      </c>
      <c r="F473" s="27">
        <v>0</v>
      </c>
      <c r="G473" s="28"/>
      <c r="H473" s="28"/>
      <c r="I473" s="28"/>
      <c r="J473" s="26">
        <f t="array" ref="J473">SUM($G$425:$I$425*DecCours*DecPasse^(B473-$B$425-1)) + SUM($G$445:$I$445*DecCours*DecPasse^(B473-$B$445-1)) + SUM($G$450:$I$450*DecCours*DecPasse^(B473-$B$450-1))+SUM($G$455:$I$455*DecCours*DecPasse^(B473-$B$455-1)) + SUM($G$460:$I$460*DecCours*DecPasse^(B473-$B$460-1)) + SUM($G$465:$I$465*DecCours*DecPasse^(B473-$B$465-1)) + SUM($G$470:$I$470*DecCours*DecPasse^(B473-$B$470-1))</f>
        <v>229.05222022066988</v>
      </c>
      <c r="K473" s="29"/>
      <c r="L473" s="36"/>
      <c r="M473" s="6"/>
    </row>
    <row r="474" spans="1:41" x14ac:dyDescent="0.25">
      <c r="A474" s="24" t="s">
        <v>10</v>
      </c>
      <c r="B474" s="35">
        <v>49</v>
      </c>
      <c r="C474" s="26">
        <v>0</v>
      </c>
      <c r="D474" s="27">
        <v>0</v>
      </c>
      <c r="E474" s="27">
        <v>0</v>
      </c>
      <c r="F474" s="27">
        <v>0</v>
      </c>
      <c r="G474" s="28"/>
      <c r="H474" s="28"/>
      <c r="I474" s="28"/>
      <c r="J474" s="26">
        <f t="array" ref="J474">SUM($G$425:$I$425*DecCours*DecPasse^(B474-$B$425-1)) + SUM($G$445:$I$445*DecCours*DecPasse^(B474-$B$445-1)) + SUM($G$450:$I$450*DecCours*DecPasse^(B474-$B$450-1))+SUM($G$455:$I$455*DecCours*DecPasse^(B474-$B$455-1)) + SUM($G$460:$I$460*DecCours*DecPasse^(B474-$B$460-1)) + SUM($G$465:$I$465*DecCours*DecPasse^(B474-$B$465-1)) + SUM($G$470:$I$470*DecCours*DecPasse^(B474-$B$470-1))</f>
        <v>222.50587143192578</v>
      </c>
      <c r="K474" s="29"/>
      <c r="L474" s="36"/>
      <c r="M474" s="6"/>
    </row>
    <row r="475" spans="1:41" x14ac:dyDescent="0.25">
      <c r="A475" s="24" t="s">
        <v>10</v>
      </c>
      <c r="B475" s="35">
        <v>50</v>
      </c>
      <c r="C475" s="26">
        <f>62*C355</f>
        <v>57.04</v>
      </c>
      <c r="D475" s="27">
        <f>60%*0.84</f>
        <v>0.504</v>
      </c>
      <c r="E475" s="27">
        <f>30%*0.84</f>
        <v>0.252</v>
      </c>
      <c r="F475" s="27">
        <v>0.1</v>
      </c>
      <c r="G475" s="28">
        <f>$C$475*D475*InfraDg*TauxC*MasseMol</f>
        <v>21.529976159999997</v>
      </c>
      <c r="H475" s="28">
        <f>$C$475*E475*InfraDg*TauxC*MasseMol</f>
        <v>10.764988079999998</v>
      </c>
      <c r="I475" s="28">
        <f>$C$475*F475*InfraDg*TauxC*MasseMol</f>
        <v>4.2718206666666667</v>
      </c>
      <c r="J475" s="26">
        <f t="array" ref="J475">SUM($G$425:$I$425*DecCours*DecPasse^(B475-$B$425-1)) + SUM($G$445:$I$445*DecCours*DecPasse^(B475-$B$445-1)) + SUM($G$450:$I$450*DecCours*DecPasse^(B475-$B$450-1))+SUM($G$455:$I$455*DecCours*DecPasse^(B475-$B$455-1)) + SUM($G$460:$I$460*DecCours*DecPasse^(B475-$B$460-1)) + SUM($G$465:$I$465*DecCours*DecPasse^(B475-$B$465-1)) + SUM($G$470:$I$470*DecCours*DecPasse^(B475-$B$470-1))</f>
        <v>216.56529609334498</v>
      </c>
      <c r="K475" s="29"/>
      <c r="L475" s="36"/>
      <c r="M475" s="6"/>
    </row>
    <row r="476" spans="1:41" x14ac:dyDescent="0.25">
      <c r="A476" s="24" t="s">
        <v>10</v>
      </c>
      <c r="B476" s="35">
        <v>51</v>
      </c>
      <c r="C476" s="26">
        <v>0</v>
      </c>
      <c r="D476" s="27">
        <v>0</v>
      </c>
      <c r="E476" s="27">
        <v>0</v>
      </c>
      <c r="F476" s="27">
        <v>0</v>
      </c>
      <c r="G476" s="28"/>
      <c r="H476" s="28"/>
      <c r="I476" s="28"/>
      <c r="J476" s="26">
        <f t="array" ref="J476">SUM($G$425:$I$425*DecCours*DecPasse^(B476-$B$425-1)) + SUM($G$445:$I$445*DecCours*DecPasse^(B476-$B$445-1)) + SUM($G$450:$I$450*DecCours*DecPasse^(B476-$B$450-1))+SUM($G$455:$I$455*DecCours*DecPasse^(B476-$B$455-1)) + SUM($G$460:$I$460*DecCours*DecPasse^(B476-$B$460-1)) + SUM($G$465:$I$465*DecCours*DecPasse^(B476-$B$465-1)) + SUM($G$470:$I$470*DecCours*DecPasse^(B476-$B$470-1)) + SUM($G$475:$I$475*DecCours)</f>
        <v>245.71113014981151</v>
      </c>
      <c r="K476" s="29"/>
      <c r="L476" s="36"/>
      <c r="M476" s="6"/>
    </row>
    <row r="477" spans="1:41" x14ac:dyDescent="0.25">
      <c r="A477" s="24" t="s">
        <v>10</v>
      </c>
      <c r="B477" s="35">
        <v>52</v>
      </c>
      <c r="C477" s="26">
        <v>0</v>
      </c>
      <c r="D477" s="27">
        <v>0</v>
      </c>
      <c r="E477" s="27">
        <v>0</v>
      </c>
      <c r="F477" s="27">
        <v>0</v>
      </c>
      <c r="G477" s="28"/>
      <c r="H477" s="28"/>
      <c r="I477" s="28"/>
      <c r="J477" s="26">
        <f t="array" ref="J477">SUM($G$425:$I$425*DecCours*DecPasse^(B477-$B$425-1)) + SUM($G$445:$I$445*DecCours*DecPasse^(B477-$B$445-1)) + SUM($G$450:$I$450*DecCours*DecPasse^(B477-$B$450-1))+SUM($G$455:$I$455*DecCours*DecPasse^(B477-$B$455-1)) + SUM($G$460:$I$460*DecCours*DecPasse^(B477-$B$460-1)) + SUM($G$465:$I$465*DecCours*DecPasse^(B477-$B$465-1)) + SUM($G$470:$I$470*DecCours*DecPasse^(B477-$B$470-1)) + SUM($G$475:$I$475*DecCours*DecPasse^(B477-$B$475-1))</f>
        <v>237.38208694333673</v>
      </c>
      <c r="K477" s="29"/>
      <c r="L477" s="36"/>
      <c r="M477" s="6"/>
    </row>
    <row r="478" spans="1:41" x14ac:dyDescent="0.25">
      <c r="A478" s="24" t="s">
        <v>10</v>
      </c>
      <c r="B478" s="35">
        <v>53</v>
      </c>
      <c r="C478" s="26">
        <v>0</v>
      </c>
      <c r="D478" s="27">
        <v>0</v>
      </c>
      <c r="E478" s="27">
        <v>0</v>
      </c>
      <c r="F478" s="27">
        <v>0</v>
      </c>
      <c r="G478" s="28"/>
      <c r="H478" s="28"/>
      <c r="I478" s="28"/>
      <c r="J478" s="26">
        <f t="array" ref="J478">SUM($G$425:$I$425*DecCours*DecPasse^(B478-$B$425-1)) + SUM($G$445:$I$445*DecCours*DecPasse^(B478-$B$445-1)) + SUM($G$450:$I$450*DecCours*DecPasse^(B478-$B$450-1))+SUM($G$455:$I$455*DecCours*DecPasse^(B478-$B$455-1)) + SUM($G$460:$I$460*DecCours*DecPasse^(B478-$B$460-1)) + SUM($G$465:$I$465*DecCours*DecPasse^(B478-$B$465-1)) + SUM($G$470:$I$470*DecCours*DecPasse^(B478-$B$470-1)) + SUM($G$475:$I$475*DecCours*DecPasse^(B478-$B$475-1))</f>
        <v>230.12151022976903</v>
      </c>
      <c r="K478" s="29"/>
      <c r="L478" s="36"/>
      <c r="M478" s="6"/>
    </row>
    <row r="479" spans="1:41" x14ac:dyDescent="0.25">
      <c r="A479" s="24" t="s">
        <v>10</v>
      </c>
      <c r="B479" s="35">
        <v>54</v>
      </c>
      <c r="C479" s="26">
        <v>0</v>
      </c>
      <c r="D479" s="27">
        <v>0</v>
      </c>
      <c r="E479" s="27">
        <v>0</v>
      </c>
      <c r="F479" s="27">
        <v>0</v>
      </c>
      <c r="G479" s="28"/>
      <c r="H479" s="28"/>
      <c r="I479" s="28"/>
      <c r="J479" s="26">
        <f t="array" ref="J479">SUM($G$425:$I$425*DecCours*DecPasse^(B479-$B$425-1)) + SUM($G$445:$I$445*DecCours*DecPasse^(B479-$B$445-1)) + SUM($G$450:$I$450*DecCours*DecPasse^(B479-$B$450-1))+SUM($G$455:$I$455*DecCours*DecPasse^(B479-$B$455-1)) + SUM($G$460:$I$460*DecCours*DecPasse^(B479-$B$460-1)) + SUM($G$465:$I$465*DecCours*DecPasse^(B479-$B$465-1)) + SUM($G$470:$I$470*DecCours*DecPasse^(B479-$B$470-1)) + SUM($G$475:$I$475*DecCours*DecPasse^(B479-$B$475-1))</f>
        <v>223.64670648595018</v>
      </c>
      <c r="K479" s="29"/>
      <c r="L479" s="36"/>
      <c r="M479" s="6"/>
    </row>
    <row r="480" spans="1:41" x14ac:dyDescent="0.25">
      <c r="A480" s="24" t="s">
        <v>10</v>
      </c>
      <c r="B480" s="35">
        <v>55</v>
      </c>
      <c r="C480" s="26">
        <f>46*C355</f>
        <v>42.32</v>
      </c>
      <c r="D480" s="27">
        <f>55%*0.84</f>
        <v>0.46200000000000002</v>
      </c>
      <c r="E480" s="27">
        <f>35%*0.84</f>
        <v>0.29399999999999998</v>
      </c>
      <c r="F480" s="27">
        <v>0.1</v>
      </c>
      <c r="G480" s="28">
        <f>$C$480*D480*InfraDg*TauxC*MasseMol</f>
        <v>14.642698840000001</v>
      </c>
      <c r="H480" s="28">
        <f>$C$480*E480*InfraDg*TauxC*MasseMol</f>
        <v>9.3180810799999989</v>
      </c>
      <c r="I480" s="28">
        <f>$C$480*F480*InfraDg*TauxC*MasseMol</f>
        <v>3.1694153333333333</v>
      </c>
      <c r="J480" s="26">
        <f t="array" ref="J480">SUM($G$425:$I$425*DecCours*DecPasse^(B480-$B$425-1)) + SUM($G$445:$I$445*DecCours*DecPasse^(B480-$B$445-1)) + SUM($G$450:$I$450*DecCours*DecPasse^(B480-$B$450-1))+SUM($G$455:$I$455*DecCours*DecPasse^(B480-$B$455-1)) + SUM($G$460:$I$460*DecCours*DecPasse^(B480-$B$460-1)) + SUM($G$465:$I$465*DecCours*DecPasse^(B480-$B$465-1)) + SUM($G$470:$I$470*DecCours*DecPasse^(B480-$B$470-1)) + SUM($G$475:$I$475*DecCours*DecPasse^(B480-$B$475-1))</f>
        <v>217.75709587493904</v>
      </c>
      <c r="K480" s="29"/>
      <c r="L480" s="36"/>
      <c r="M480" s="6"/>
      <c r="N480"/>
      <c r="O480"/>
      <c r="P480"/>
      <c r="Q480"/>
      <c r="R480"/>
      <c r="S480"/>
      <c r="T480"/>
      <c r="U480"/>
      <c r="V480"/>
      <c r="W480"/>
      <c r="X480"/>
      <c r="Y480"/>
      <c r="Z480"/>
      <c r="AA480" s="127"/>
      <c r="AB480"/>
      <c r="AC480"/>
      <c r="AD480"/>
      <c r="AE480"/>
      <c r="AF480"/>
      <c r="AG480"/>
      <c r="AH480" s="127"/>
      <c r="AI480"/>
      <c r="AJ480"/>
      <c r="AK480"/>
      <c r="AL480"/>
      <c r="AM480"/>
      <c r="AN480"/>
      <c r="AO480" s="127"/>
    </row>
    <row r="481" spans="1:41" x14ac:dyDescent="0.25">
      <c r="A481" s="24" t="s">
        <v>10</v>
      </c>
      <c r="B481" s="35">
        <v>56</v>
      </c>
      <c r="C481" s="26">
        <v>0</v>
      </c>
      <c r="D481" s="27">
        <v>0</v>
      </c>
      <c r="E481" s="27">
        <v>0</v>
      </c>
      <c r="F481" s="27">
        <v>0</v>
      </c>
      <c r="G481" s="28"/>
      <c r="H481" s="28"/>
      <c r="I481" s="28"/>
      <c r="J481" s="26">
        <f t="array" ref="J481">SUM($G$425:$I$425*DecCours*DecPasse^(B481-$B$425-1)) + SUM($G$445:$I$445*DecCours*DecPasse^(B481-$B$445-1)) + SUM($G$450:$I$450*DecCours*DecPasse^(B481-$B$450-1))+SUM($G$455:$I$455*DecCours*DecPasse^(B481-$B$455-1)) + SUM($G$460:$I$460*DecCours*DecPasse^(B481-$B$460-1)) + SUM($G$465:$I$465*DecCours*DecPasse^(B481-$B$465-1)) + SUM($G$470:$I$470*DecCours*DecPasse^(B481-$B$470-1)) + SUM($G$475:$I$475*DecCours*DecPasse^(B481-$B$475-1)) + SUM($G$480:$I$480*DecCours)</f>
        <v>237.80953118837053</v>
      </c>
      <c r="K481" s="29"/>
      <c r="L481" s="36"/>
      <c r="M481" s="6"/>
      <c r="N481"/>
      <c r="O481"/>
      <c r="P481"/>
      <c r="Q481"/>
      <c r="R481"/>
      <c r="S481"/>
      <c r="T481"/>
      <c r="U481"/>
      <c r="V481"/>
      <c r="W481"/>
      <c r="X481"/>
      <c r="Y481"/>
      <c r="Z481"/>
      <c r="AA481" s="127"/>
      <c r="AB481"/>
      <c r="AC481"/>
      <c r="AD481"/>
      <c r="AE481"/>
      <c r="AF481"/>
      <c r="AG481"/>
      <c r="AH481" s="127"/>
      <c r="AI481"/>
      <c r="AJ481"/>
      <c r="AK481"/>
      <c r="AL481"/>
      <c r="AM481"/>
      <c r="AN481"/>
      <c r="AO481" s="127"/>
    </row>
    <row r="482" spans="1:41" x14ac:dyDescent="0.25">
      <c r="A482" s="24" t="s">
        <v>10</v>
      </c>
      <c r="B482" s="35">
        <v>57</v>
      </c>
      <c r="C482" s="26">
        <v>0</v>
      </c>
      <c r="D482" s="27">
        <v>0</v>
      </c>
      <c r="E482" s="27">
        <v>0</v>
      </c>
      <c r="F482" s="27">
        <v>0</v>
      </c>
      <c r="G482" s="28"/>
      <c r="H482" s="28"/>
      <c r="I482" s="28"/>
      <c r="J482" s="26">
        <f t="array" ref="J482">SUM($G$425:$I$425*DecCours*DecPasse^(B482-$B$425-1)) + SUM($G$445:$I$445*DecCours*DecPasse^(B482-$B$445-1)) + SUM($G$450:$I$450*DecCours*DecPasse^(B482-$B$450-1))+SUM($G$455:$I$455*DecCours*DecPasse^(B482-$B$455-1)) + SUM($G$460:$I$460*DecCours*DecPasse^(B482-$B$460-1)) + SUM($G$465:$I$465*DecCours*DecPasse^(B482-$B$465-1)) + SUM($G$470:$I$470*DecCours*DecPasse^(B482-$B$470-1)) + SUM($G$475:$I$475*DecCours*DecPasse^(B482-$B$475-1)) + SUM($G$480:$I$480*DecCours*DecPasse^(B482-$B$480-1))</f>
        <v>230.02762132800748</v>
      </c>
      <c r="K482" s="29"/>
      <c r="L482" s="36"/>
      <c r="M482" s="6"/>
      <c r="N482"/>
      <c r="O482"/>
      <c r="P482"/>
      <c r="Q482"/>
      <c r="R482"/>
      <c r="S482"/>
      <c r="T482"/>
      <c r="U482"/>
      <c r="V482"/>
      <c r="W482"/>
      <c r="X482"/>
      <c r="Y482"/>
      <c r="Z482"/>
      <c r="AA482" s="127"/>
      <c r="AB482"/>
      <c r="AC482"/>
      <c r="AD482"/>
      <c r="AE482"/>
      <c r="AF482"/>
      <c r="AG482"/>
      <c r="AH482" s="127"/>
      <c r="AI482"/>
      <c r="AJ482"/>
      <c r="AK482"/>
      <c r="AL482"/>
      <c r="AM482"/>
      <c r="AN482"/>
      <c r="AO482" s="127"/>
    </row>
    <row r="483" spans="1:41" x14ac:dyDescent="0.25">
      <c r="A483" s="24" t="s">
        <v>10</v>
      </c>
      <c r="B483" s="35">
        <v>58</v>
      </c>
      <c r="C483" s="26">
        <v>0</v>
      </c>
      <c r="D483" s="27">
        <v>0</v>
      </c>
      <c r="E483" s="27">
        <v>0</v>
      </c>
      <c r="F483" s="27">
        <v>0</v>
      </c>
      <c r="G483" s="28"/>
      <c r="H483" s="28"/>
      <c r="I483" s="28"/>
      <c r="J483" s="26">
        <f t="array" ref="J483">SUM($G$425:$I$425*DecCours*DecPasse^(B483-$B$425-1)) + SUM($G$445:$I$445*DecCours*DecPasse^(B483-$B$445-1)) + SUM($G$450:$I$450*DecCours*DecPasse^(B483-$B$450-1))+SUM($G$455:$I$455*DecCours*DecPasse^(B483-$B$455-1)) + SUM($G$460:$I$460*DecCours*DecPasse^(B483-$B$460-1)) + SUM($G$465:$I$465*DecCours*DecPasse^(B483-$B$465-1)) + SUM($G$470:$I$470*DecCours*DecPasse^(B483-$B$470-1)) + SUM($G$475:$I$475*DecCours*DecPasse^(B483-$B$475-1)) + SUM($G$480:$I$480*DecCours*DecPasse^(B483-$B$480-1))</f>
        <v>223.19810037927004</v>
      </c>
      <c r="K483" s="29"/>
      <c r="L483" s="36"/>
      <c r="M483" s="6"/>
      <c r="N483"/>
      <c r="O483"/>
      <c r="P483"/>
      <c r="Q483"/>
      <c r="R483"/>
      <c r="S483"/>
      <c r="T483"/>
      <c r="U483"/>
      <c r="V483"/>
      <c r="W483"/>
      <c r="X483"/>
      <c r="Y483"/>
      <c r="Z483"/>
      <c r="AA483" s="127"/>
      <c r="AB483"/>
      <c r="AC483"/>
      <c r="AD483"/>
      <c r="AE483"/>
      <c r="AF483"/>
      <c r="AG483"/>
      <c r="AH483" s="127"/>
      <c r="AI483"/>
      <c r="AJ483"/>
      <c r="AK483"/>
      <c r="AL483"/>
      <c r="AM483"/>
      <c r="AN483"/>
      <c r="AO483" s="127"/>
    </row>
    <row r="484" spans="1:41" x14ac:dyDescent="0.25">
      <c r="A484" s="24" t="s">
        <v>10</v>
      </c>
      <c r="B484" s="35">
        <v>59</v>
      </c>
      <c r="C484" s="26">
        <v>0</v>
      </c>
      <c r="D484" s="27">
        <v>0</v>
      </c>
      <c r="E484" s="27">
        <v>0</v>
      </c>
      <c r="F484" s="27">
        <v>0</v>
      </c>
      <c r="G484" s="28"/>
      <c r="H484" s="28"/>
      <c r="I484" s="28"/>
      <c r="J484" s="26">
        <f t="array" ref="J484">SUM($G$425:$I$425*DecCours*DecPasse^(B484-$B$425-1)) + SUM($G$445:$I$445*DecCours*DecPasse^(B484-$B$445-1)) + SUM($G$450:$I$450*DecCours*DecPasse^(B484-$B$450-1))+SUM($G$455:$I$455*DecCours*DecPasse^(B484-$B$455-1)) + SUM($G$460:$I$460*DecCours*DecPasse^(B484-$B$460-1)) + SUM($G$465:$I$465*DecCours*DecPasse^(B484-$B$465-1)) + SUM($G$470:$I$470*DecCours*DecPasse^(B484-$B$470-1)) + SUM($G$475:$I$475*DecCours*DecPasse^(B484-$B$475-1)) + SUM($G$480:$I$480*DecCours*DecPasse^(B484-$B$480-1))</f>
        <v>217.07114658981192</v>
      </c>
      <c r="K484" s="29"/>
      <c r="L484" s="36"/>
      <c r="M484" s="6"/>
      <c r="N484"/>
      <c r="O484"/>
      <c r="P484"/>
      <c r="Q484"/>
      <c r="R484"/>
      <c r="S484"/>
      <c r="T484"/>
      <c r="U484"/>
      <c r="V484"/>
      <c r="W484"/>
      <c r="X484"/>
      <c r="Y484"/>
      <c r="Z484"/>
      <c r="AA484" s="127"/>
      <c r="AB484"/>
      <c r="AC484"/>
      <c r="AD484"/>
      <c r="AE484"/>
      <c r="AF484"/>
      <c r="AG484"/>
      <c r="AH484" s="127"/>
      <c r="AI484"/>
      <c r="AJ484"/>
      <c r="AK484"/>
      <c r="AL484"/>
      <c r="AM484"/>
      <c r="AN484"/>
      <c r="AO484" s="127"/>
    </row>
    <row r="485" spans="1:41" x14ac:dyDescent="0.25">
      <c r="A485" s="24" t="s">
        <v>10</v>
      </c>
      <c r="B485" s="25">
        <v>60</v>
      </c>
      <c r="C485" s="26">
        <f>35*C355</f>
        <v>32.200000000000003</v>
      </c>
      <c r="D485" s="27">
        <f>55%*0.84</f>
        <v>0.46200000000000002</v>
      </c>
      <c r="E485" s="27">
        <f>35%*0.84</f>
        <v>0.29399999999999998</v>
      </c>
      <c r="F485" s="27">
        <v>0.1</v>
      </c>
      <c r="G485" s="28">
        <f>$C$485*D485*InfraDg*TauxC*MasseMol</f>
        <v>11.1411839</v>
      </c>
      <c r="H485" s="28">
        <f>$C$485*E485*InfraDg*TauxC*MasseMol</f>
        <v>7.0898442999999993</v>
      </c>
      <c r="I485" s="28">
        <f>$C$485*F485*InfraDg*TauxC*MasseMol</f>
        <v>2.4115116666666667</v>
      </c>
      <c r="J485" s="26">
        <f t="array" ref="J485">SUM($G$425:$I$425*DecCours*DecPasse^(B485-$B$425-1)) + SUM($G$445:$I$445*DecCours*DecPasse^(B485-$B$445-1)) + SUM($G$450:$I$450*DecCours*DecPasse^(B485-$B$450-1))+SUM($G$455:$I$455*DecCours*DecPasse^(B485-$B$455-1)) + SUM($G$460:$I$460*DecCours*DecPasse^(B485-$B$460-1)) + SUM($G$465:$I$465*DecCours*DecPasse^(B485-$B$465-1)) + SUM($G$470:$I$470*DecCours*DecPasse^(B485-$B$470-1)) + SUM($G$475:$I$475*DecCours*DecPasse^(B485-$B$475-1)) + SUM($G$480:$I$480*DecCours*DecPasse^(B485-$B$480-1))</f>
        <v>211.46945318499419</v>
      </c>
      <c r="K485" s="29"/>
      <c r="L485" s="36"/>
      <c r="M485" s="6"/>
    </row>
    <row r="486" spans="1:41" x14ac:dyDescent="0.25">
      <c r="A486" s="24" t="s">
        <v>10</v>
      </c>
      <c r="B486" s="25">
        <v>61</v>
      </c>
      <c r="C486" s="26">
        <v>0</v>
      </c>
      <c r="D486" s="27">
        <v>0</v>
      </c>
      <c r="E486" s="27">
        <v>0</v>
      </c>
      <c r="F486" s="27">
        <v>0</v>
      </c>
      <c r="G486" s="28"/>
      <c r="H486" s="28"/>
      <c r="I486" s="28"/>
      <c r="J486" s="26">
        <f t="array" ref="J486">SUM($G$425:$I$425*DecCours*DecPasse^(B486-$B$425-1)) + SUM($G$445:$I$445*DecCours*DecPasse^(B486-$B$445-1)) + SUM($G$450:$I$450*DecCours*DecPasse^(B486-$B$450-1))+SUM($G$455:$I$455*DecCours*DecPasse^(B486-$B$455-1)) + SUM($G$460:$I$460*DecCours*DecPasse^(B486-$B$460-1)) + SUM($G$465:$I$465*DecCours*DecPasse^(B486-$B$465-1)) + SUM($G$470:$I$470*DecCours*DecPasse^(B486-$B$470-1)) + SUM($G$475:$I$475*DecCours*DecPasse^(B486-$B$475-1)) + SUM($G$480:$I$480*DecCours*DecPasse^(B486-$B$480-1)) + SUM($G$485:$I$485*DecCours)</f>
        <v>225.66868644376643</v>
      </c>
      <c r="K486" s="29"/>
      <c r="L486" s="36"/>
      <c r="M486" s="6"/>
    </row>
    <row r="487" spans="1:41" x14ac:dyDescent="0.25">
      <c r="A487" s="24" t="s">
        <v>10</v>
      </c>
      <c r="B487" s="25">
        <v>62</v>
      </c>
      <c r="C487" s="26">
        <v>0</v>
      </c>
      <c r="D487" s="27">
        <v>0</v>
      </c>
      <c r="E487" s="27">
        <v>0</v>
      </c>
      <c r="F487" s="27">
        <v>0</v>
      </c>
      <c r="G487" s="28"/>
      <c r="H487" s="28"/>
      <c r="I487" s="28"/>
      <c r="J487" s="26">
        <f t="array" ref="J487">SUM($G$425:$I$425*DecCours*DecPasse^(B487-$B$425-1)) + SUM($G$445:$I$445*DecCours*DecPasse^(B487-$B$445-1)) + SUM($G$450:$I$450*DecCours*DecPasse^(B487-$B$450-1))+SUM($G$455:$I$455*DecCours*DecPasse^(B487-$B$455-1)) + SUM($G$460:$I$460*DecCours*DecPasse^(B487-$B$460-1)) + SUM($G$465:$I$465*DecCours*DecPasse^(B487-$B$465-1)) + SUM($G$470:$I$470*DecCours*DecPasse^(B487-$B$470-1)) + SUM($G$475:$I$475*DecCours*DecPasse^(B487-$B$475-1)) + SUM($G$480:$I$480*DecCours*DecPasse^(B487-$B$480-1)) + SUM($G$485:$I$485*DecCours*DecPasse^(B487-$B$485-1))</f>
        <v>218.73945949175388</v>
      </c>
      <c r="K487" s="29"/>
      <c r="L487" s="36"/>
      <c r="M487" s="6"/>
    </row>
    <row r="488" spans="1:41" x14ac:dyDescent="0.25">
      <c r="A488" s="24" t="s">
        <v>10</v>
      </c>
      <c r="B488" s="25">
        <v>63</v>
      </c>
      <c r="C488" s="26">
        <v>0</v>
      </c>
      <c r="D488" s="27">
        <v>0</v>
      </c>
      <c r="E488" s="27">
        <v>0</v>
      </c>
      <c r="F488" s="27">
        <v>0</v>
      </c>
      <c r="G488" s="28"/>
      <c r="H488" s="28"/>
      <c r="I488" s="28"/>
      <c r="J488" s="26">
        <f t="array" ref="J488">SUM($G$425:$I$425*DecCours*DecPasse^(B488-$B$425-1)) + SUM($G$445:$I$445*DecCours*DecPasse^(B488-$B$445-1)) + SUM($G$450:$I$450*DecCours*DecPasse^(B488-$B$450-1))+SUM($G$455:$I$455*DecCours*DecPasse^(B488-$B$455-1)) + SUM($G$460:$I$460*DecCours*DecPasse^(B488-$B$460-1)) + SUM($G$465:$I$465*DecCours*DecPasse^(B488-$B$465-1)) + SUM($G$470:$I$470*DecCours*DecPasse^(B488-$B$470-1)) + SUM($G$475:$I$475*DecCours*DecPasse^(B488-$B$475-1)) + SUM($G$480:$I$480*DecCours*DecPasse^(B488-$B$480-1)) + SUM($G$485:$I$485*DecCours*DecPasse^(B488-$B$485-1))</f>
        <v>212.57570983031096</v>
      </c>
      <c r="K488" s="29"/>
      <c r="L488" s="36"/>
      <c r="M488" s="6"/>
    </row>
    <row r="489" spans="1:41" x14ac:dyDescent="0.25">
      <c r="A489" s="24" t="s">
        <v>10</v>
      </c>
      <c r="B489" s="25">
        <v>64</v>
      </c>
      <c r="C489" s="26">
        <v>0</v>
      </c>
      <c r="D489" s="27">
        <v>0</v>
      </c>
      <c r="E489" s="27">
        <v>0</v>
      </c>
      <c r="F489" s="27">
        <v>0</v>
      </c>
      <c r="G489" s="28"/>
      <c r="H489" s="28"/>
      <c r="I489" s="28"/>
      <c r="J489" s="26">
        <f t="array" ref="J489">SUM($G$425:$I$425*DecCours*DecPasse^(B489-$B$425-1)) + SUM($G$445:$I$445*DecCours*DecPasse^(B489-$B$445-1)) + SUM($G$450:$I$450*DecCours*DecPasse^(B489-$B$450-1))+SUM($G$455:$I$455*DecCours*DecPasse^(B489-$B$455-1)) + SUM($G$460:$I$460*DecCours*DecPasse^(B489-$B$460-1)) + SUM($G$465:$I$465*DecCours*DecPasse^(B489-$B$465-1)) + SUM($G$470:$I$470*DecCours*DecPasse^(B489-$B$470-1)) + SUM($G$475:$I$475*DecCours*DecPasse^(B489-$B$475-1)) + SUM($G$480:$I$480*DecCours*DecPasse^(B489-$B$480-1)) + SUM($G$485:$I$485*DecCours*DecPasse^(B489-$B$485-1))</f>
        <v>206.98086010183036</v>
      </c>
      <c r="K489" s="29"/>
      <c r="L489" s="36"/>
      <c r="M489" s="6"/>
    </row>
    <row r="490" spans="1:41" ht="16.5" thickBot="1" x14ac:dyDescent="0.3">
      <c r="A490" s="24" t="s">
        <v>10</v>
      </c>
      <c r="B490" s="37">
        <v>65</v>
      </c>
      <c r="C490" s="20">
        <f>29*C355</f>
        <v>26.68</v>
      </c>
      <c r="D490" s="21">
        <f>55%*0.84</f>
        <v>0.46200000000000002</v>
      </c>
      <c r="E490" s="21">
        <f>35%*0.84</f>
        <v>0.29399999999999998</v>
      </c>
      <c r="F490" s="21">
        <v>0.1</v>
      </c>
      <c r="G490" s="22">
        <f>$C$490*D490*InfraDg*TauxC*MasseMol</f>
        <v>9.2312666599999975</v>
      </c>
      <c r="H490" s="22">
        <f>$C$490*E490*InfraDg*TauxC*MasseMol</f>
        <v>5.8744424199999994</v>
      </c>
      <c r="I490" s="22">
        <f>$C$490*F490*InfraDg*TauxC*MasseMol</f>
        <v>1.9981096666666665</v>
      </c>
      <c r="J490" s="20">
        <f t="array" ref="J490">SUM($G$425:$I$425*DecCours*DecPasse^(B490-$B$425-1)) + SUM($G$445:$I$445*DecCours*DecPasse^(B490-$B$445-1)) + SUM($G$450:$I$450*DecCours*DecPasse^(B490-$B$450-1))+SUM($G$455:$I$455*DecCours*DecPasse^(B490-$B$455-1)) + SUM($G$460:$I$460*DecCours*DecPasse^(B490-$B$460-1)) + SUM($G$465:$I$465*DecCours*DecPasse^(B490-$B$465-1)) + SUM($G$470:$I$470*DecCours*DecPasse^(B490-$B$470-1)) + SUM($G$475:$I$475*DecCours*DecPasse^(B490-$B$475-1)) + SUM($G$480:$I$480*DecCours*DecPasse^(B490-$B$480-1)) + SUM($G$485:$I$485*DecCours*DecPasse^(B490-$B$485-1))</f>
        <v>201.81528977868314</v>
      </c>
      <c r="K490" s="23"/>
      <c r="L490" s="34"/>
      <c r="M490" s="6"/>
    </row>
    <row r="491" spans="1:41" ht="16.5" thickBot="1" x14ac:dyDescent="0.3">
      <c r="J491" s="6"/>
      <c r="K491" s="32"/>
      <c r="L491" s="6"/>
      <c r="M491" s="6"/>
    </row>
    <row r="492" spans="1:41" ht="16.5" thickBot="1" x14ac:dyDescent="0.3">
      <c r="A492" s="1" t="s">
        <v>13</v>
      </c>
      <c r="B492" s="38" t="s">
        <v>14</v>
      </c>
      <c r="C492" s="116">
        <v>2.2599999999999998</v>
      </c>
      <c r="D492" s="39"/>
      <c r="J492" s="6"/>
      <c r="K492" s="32"/>
      <c r="L492" s="6"/>
      <c r="M492" s="6"/>
    </row>
    <row r="493" spans="1:41" x14ac:dyDescent="0.25">
      <c r="A493" s="40"/>
      <c r="B493" s="41" t="s">
        <v>15</v>
      </c>
      <c r="C493" s="117">
        <v>1.76</v>
      </c>
      <c r="J493" s="6"/>
      <c r="K493" s="32"/>
      <c r="L493" s="6"/>
      <c r="M493" s="6"/>
    </row>
    <row r="494" spans="1:41" ht="16.5" thickBot="1" x14ac:dyDescent="0.3">
      <c r="A494" s="7"/>
      <c r="B494" s="42" t="s">
        <v>16</v>
      </c>
      <c r="C494" s="118">
        <v>0.5</v>
      </c>
      <c r="J494" s="6"/>
      <c r="K494" s="32"/>
      <c r="L494" s="6"/>
      <c r="M494" s="6"/>
    </row>
    <row r="495" spans="1:41" x14ac:dyDescent="0.25">
      <c r="A495" s="7"/>
      <c r="B495" s="53"/>
      <c r="C495" s="52"/>
      <c r="G495" s="4" t="s">
        <v>97</v>
      </c>
      <c r="J495" s="6"/>
      <c r="K495" s="32"/>
      <c r="L495" s="6"/>
      <c r="M495" s="6"/>
    </row>
    <row r="496" spans="1:41" ht="47.25" x14ac:dyDescent="0.25">
      <c r="D496" s="183" t="s">
        <v>75</v>
      </c>
      <c r="E496" s="184"/>
      <c r="F496" s="185"/>
      <c r="G496" s="186" t="s">
        <v>93</v>
      </c>
      <c r="H496" s="187"/>
      <c r="I496" s="188"/>
      <c r="J496" s="7"/>
      <c r="K496" s="156" t="s">
        <v>86</v>
      </c>
      <c r="L496" s="157" t="s">
        <v>85</v>
      </c>
      <c r="M496" s="6"/>
    </row>
    <row r="497" spans="1:41" ht="16.5" thickBot="1" x14ac:dyDescent="0.3">
      <c r="A497" s="8" t="s">
        <v>2</v>
      </c>
      <c r="B497" s="8" t="s">
        <v>3</v>
      </c>
      <c r="C497" s="8" t="s">
        <v>76</v>
      </c>
      <c r="D497" s="149" t="s">
        <v>4</v>
      </c>
      <c r="E497" s="149" t="s">
        <v>77</v>
      </c>
      <c r="F497" s="149" t="s">
        <v>5</v>
      </c>
      <c r="G497" s="9" t="s">
        <v>4</v>
      </c>
      <c r="H497" s="9" t="s">
        <v>77</v>
      </c>
      <c r="I497" s="9" t="s">
        <v>5</v>
      </c>
      <c r="J497" s="8" t="s">
        <v>6</v>
      </c>
      <c r="K497" s="10" t="s">
        <v>7</v>
      </c>
      <c r="L497" s="11" t="s">
        <v>8</v>
      </c>
      <c r="M497" s="6"/>
    </row>
    <row r="498" spans="1:41" x14ac:dyDescent="0.25">
      <c r="A498" s="12" t="s">
        <v>9</v>
      </c>
      <c r="B498" s="13">
        <v>0</v>
      </c>
      <c r="C498" s="14">
        <f>400*C492</f>
        <v>903.99999999999989</v>
      </c>
      <c r="D498" s="15">
        <f>56%*0.9</f>
        <v>0.50400000000000011</v>
      </c>
      <c r="E498" s="15">
        <f>16%*0.9</f>
        <v>0.14400000000000002</v>
      </c>
      <c r="F498" s="15">
        <f>12%*0.9</f>
        <v>0.108</v>
      </c>
      <c r="G498" s="16">
        <f>(0.52*InfraRx+0.04*InfraFs)*C498*TauxC*MasseMol</f>
        <v>379.76135999999991</v>
      </c>
      <c r="H498" s="16">
        <f>E498*C498*TauxC*InfraRx*MasseMol</f>
        <v>95.223743999999968</v>
      </c>
      <c r="I498" s="16">
        <f>F498*C498*InfraRx*TauxC*MasseMol</f>
        <v>71.41780799999998</v>
      </c>
      <c r="J498" s="14">
        <v>0</v>
      </c>
      <c r="K498" s="15">
        <f>0.16</f>
        <v>0.16</v>
      </c>
      <c r="L498" s="33">
        <f>C498*(D498*CoefSubSciage+E498*CoefSubEmballage+F498*CoefSubPanneaux+K498*CoefSubEnergie)</f>
        <v>803.87296000000015</v>
      </c>
      <c r="M498" s="6"/>
    </row>
    <row r="499" spans="1:41" x14ac:dyDescent="0.25">
      <c r="A499" s="24" t="s">
        <v>9</v>
      </c>
      <c r="B499" s="25">
        <v>1</v>
      </c>
      <c r="C499" s="26">
        <v>0</v>
      </c>
      <c r="D499" s="27">
        <v>0</v>
      </c>
      <c r="E499" s="27">
        <v>0</v>
      </c>
      <c r="F499" s="27">
        <v>0</v>
      </c>
      <c r="G499" s="28"/>
      <c r="H499" s="28"/>
      <c r="I499" s="28"/>
      <c r="J499" s="26">
        <f t="array" ref="J499">SUM(G498:I498*DecCours)</f>
        <v>526.93711124693141</v>
      </c>
      <c r="K499" s="27"/>
      <c r="L499" s="30"/>
      <c r="M499" s="6"/>
      <c r="N499" s="62"/>
      <c r="O499" s="62"/>
      <c r="P499" s="62"/>
      <c r="Q499" s="62"/>
      <c r="R499" s="62"/>
      <c r="S499" s="62"/>
      <c r="T499" s="62"/>
      <c r="U499" s="80"/>
      <c r="V499" s="62"/>
      <c r="W499" s="62"/>
      <c r="X499" s="62"/>
      <c r="Y499" s="62"/>
      <c r="Z499" s="62"/>
      <c r="AA499" s="79"/>
      <c r="AB499"/>
      <c r="AC499" s="56"/>
      <c r="AD499" s="70"/>
      <c r="AE499" s="71"/>
      <c r="AF499" s="72"/>
      <c r="AG499" s="72"/>
      <c r="AH499" s="128"/>
      <c r="AI499"/>
      <c r="AJ499" s="62"/>
      <c r="AK499" s="62"/>
      <c r="AL499" s="62"/>
      <c r="AM499" s="62"/>
      <c r="AN499" s="62"/>
      <c r="AO499" s="79"/>
    </row>
    <row r="500" spans="1:41" x14ac:dyDescent="0.25">
      <c r="A500" s="24" t="s">
        <v>9</v>
      </c>
      <c r="B500" s="25">
        <v>2</v>
      </c>
      <c r="C500" s="26">
        <v>0</v>
      </c>
      <c r="D500" s="27">
        <v>0</v>
      </c>
      <c r="E500" s="27">
        <v>0</v>
      </c>
      <c r="F500" s="27">
        <v>0</v>
      </c>
      <c r="G500" s="28"/>
      <c r="H500" s="28"/>
      <c r="I500" s="28"/>
      <c r="J500" s="26">
        <f t="array" ref="J500">SUM($G$498:$I$498*DecCours*DecPasse^(B500-$B$498-1))</f>
        <v>494.0668994458415</v>
      </c>
      <c r="K500" s="27"/>
      <c r="L500" s="30"/>
      <c r="M500" s="6"/>
      <c r="N500" s="62"/>
      <c r="O500" s="62"/>
      <c r="P500" s="62"/>
      <c r="Q500" s="62"/>
      <c r="R500" s="62"/>
      <c r="S500" s="62"/>
      <c r="T500" s="62"/>
      <c r="U500" s="80"/>
      <c r="V500" s="62"/>
      <c r="W500" s="62"/>
      <c r="X500" s="62"/>
      <c r="Y500" s="62"/>
      <c r="Z500" s="62"/>
      <c r="AA500" s="79"/>
      <c r="AB500"/>
      <c r="AC500" s="56"/>
      <c r="AD500" s="70"/>
      <c r="AE500" s="71"/>
      <c r="AF500" s="72"/>
      <c r="AG500" s="72"/>
      <c r="AH500" s="128"/>
      <c r="AI500"/>
      <c r="AJ500" s="62"/>
      <c r="AK500" s="62"/>
      <c r="AL500" s="62"/>
      <c r="AM500" s="62"/>
      <c r="AN500" s="62"/>
      <c r="AO500" s="79"/>
    </row>
    <row r="501" spans="1:41" x14ac:dyDescent="0.25">
      <c r="A501" s="24" t="s">
        <v>9</v>
      </c>
      <c r="B501" s="25">
        <v>3</v>
      </c>
      <c r="C501" s="26">
        <v>0</v>
      </c>
      <c r="D501" s="27">
        <v>0</v>
      </c>
      <c r="E501" s="27">
        <v>0</v>
      </c>
      <c r="F501" s="27">
        <v>0</v>
      </c>
      <c r="G501" s="28"/>
      <c r="H501" s="28"/>
      <c r="I501" s="28"/>
      <c r="J501" s="26">
        <f t="array" ref="J501">SUM($G$498:$I$498*DecCours*DecPasse^(B501-$B$498-1))</f>
        <v>468.29758303939411</v>
      </c>
      <c r="K501" s="27"/>
      <c r="L501" s="30"/>
      <c r="M501" s="6"/>
      <c r="N501" s="62"/>
      <c r="O501" s="62"/>
      <c r="P501" s="62"/>
      <c r="Q501" s="62"/>
      <c r="R501" s="62"/>
      <c r="S501" s="62"/>
      <c r="T501" s="62"/>
      <c r="U501" s="80"/>
      <c r="V501" s="62"/>
      <c r="W501" s="62"/>
      <c r="X501" s="62"/>
      <c r="Y501" s="62"/>
      <c r="Z501" s="62"/>
      <c r="AA501" s="79"/>
      <c r="AB501"/>
      <c r="AC501" s="56"/>
      <c r="AD501" s="70"/>
      <c r="AE501" s="71"/>
      <c r="AF501" s="72"/>
      <c r="AG501" s="72"/>
      <c r="AH501" s="128"/>
      <c r="AI501"/>
      <c r="AJ501" s="62"/>
      <c r="AK501" s="62"/>
      <c r="AL501" s="62"/>
      <c r="AM501" s="62"/>
      <c r="AN501" s="62"/>
      <c r="AO501" s="79"/>
    </row>
    <row r="502" spans="1:41" x14ac:dyDescent="0.25">
      <c r="A502" s="24" t="s">
        <v>9</v>
      </c>
      <c r="B502" s="25">
        <v>4</v>
      </c>
      <c r="C502" s="26">
        <v>0</v>
      </c>
      <c r="D502" s="27">
        <v>0</v>
      </c>
      <c r="E502" s="27">
        <v>0</v>
      </c>
      <c r="F502" s="27">
        <v>0</v>
      </c>
      <c r="G502" s="28"/>
      <c r="H502" s="28"/>
      <c r="I502" s="28"/>
      <c r="J502" s="26">
        <f t="array" ref="J502">SUM($G$498:$I$498*DecCours*DecPasse^(B502-$B$498-1))</f>
        <v>447.60285892685266</v>
      </c>
      <c r="K502" s="27"/>
      <c r="L502" s="30"/>
      <c r="M502" s="6"/>
      <c r="N502" s="62"/>
      <c r="O502" s="62"/>
      <c r="P502" s="62"/>
      <c r="Q502" s="62"/>
      <c r="R502" s="62"/>
      <c r="S502" s="62"/>
      <c r="T502" s="62"/>
      <c r="U502" s="80"/>
      <c r="V502" s="62"/>
      <c r="W502" s="62"/>
      <c r="X502" s="62"/>
      <c r="Y502" s="62"/>
      <c r="Z502" s="62"/>
      <c r="AA502" s="79"/>
      <c r="AB502"/>
      <c r="AC502" s="56"/>
      <c r="AD502" s="70"/>
      <c r="AE502" s="71"/>
      <c r="AF502" s="72"/>
      <c r="AG502" s="72"/>
      <c r="AH502" s="128"/>
      <c r="AI502"/>
      <c r="AJ502" s="62"/>
      <c r="AK502" s="62"/>
      <c r="AL502" s="62"/>
      <c r="AM502" s="62"/>
      <c r="AN502" s="62"/>
      <c r="AO502" s="79"/>
    </row>
    <row r="503" spans="1:41" x14ac:dyDescent="0.25">
      <c r="A503" s="24" t="s">
        <v>9</v>
      </c>
      <c r="B503" s="25">
        <v>5</v>
      </c>
      <c r="C503" s="26">
        <v>0</v>
      </c>
      <c r="D503" s="27">
        <v>0</v>
      </c>
      <c r="E503" s="27">
        <v>0</v>
      </c>
      <c r="F503" s="27">
        <v>0</v>
      </c>
      <c r="G503" s="28"/>
      <c r="H503" s="28"/>
      <c r="I503" s="28"/>
      <c r="J503" s="26">
        <f t="array" ref="J503">SUM($G$498:$I$498*DecCours*DecPasse^(B503-$B$498-1))</f>
        <v>430.54875713006112</v>
      </c>
      <c r="K503" s="27"/>
      <c r="L503" s="30"/>
      <c r="M503" s="6"/>
      <c r="N503" s="62"/>
      <c r="O503" s="62"/>
      <c r="P503" s="62"/>
      <c r="Q503" s="62"/>
      <c r="R503" s="62"/>
      <c r="S503" s="62"/>
      <c r="T503" s="62"/>
      <c r="U503" s="80"/>
      <c r="V503" s="62"/>
      <c r="W503" s="62"/>
      <c r="X503" s="62"/>
      <c r="Y503" s="62"/>
      <c r="Z503" s="62"/>
      <c r="AA503" s="79"/>
      <c r="AB503"/>
      <c r="AC503" s="56"/>
      <c r="AD503" s="70"/>
      <c r="AE503" s="71"/>
      <c r="AF503" s="72"/>
      <c r="AG503" s="72"/>
      <c r="AH503" s="128"/>
      <c r="AI503"/>
      <c r="AJ503" s="62"/>
      <c r="AK503" s="62"/>
      <c r="AL503" s="62"/>
      <c r="AM503" s="62"/>
      <c r="AN503" s="62"/>
      <c r="AO503" s="79"/>
    </row>
    <row r="504" spans="1:41" x14ac:dyDescent="0.25">
      <c r="A504" s="24" t="s">
        <v>9</v>
      </c>
      <c r="B504" s="25">
        <v>6</v>
      </c>
      <c r="C504" s="26">
        <v>0</v>
      </c>
      <c r="D504" s="27">
        <v>0</v>
      </c>
      <c r="E504" s="27">
        <v>0</v>
      </c>
      <c r="F504" s="27">
        <v>0</v>
      </c>
      <c r="G504" s="28"/>
      <c r="H504" s="28"/>
      <c r="I504" s="28"/>
      <c r="J504" s="26">
        <f t="array" ref="J504">SUM($G$498:$I$498*DecCours*DecPasse^(B504-$B$498-1))</f>
        <v>416.12017609133756</v>
      </c>
      <c r="K504" s="27"/>
      <c r="L504" s="30"/>
      <c r="M504" s="6"/>
      <c r="N504" s="62"/>
      <c r="O504" s="62"/>
      <c r="P504" s="62"/>
      <c r="Q504" s="62"/>
      <c r="R504" s="62"/>
      <c r="S504" s="62"/>
      <c r="T504" s="62"/>
      <c r="U504" s="80"/>
      <c r="V504" s="62"/>
      <c r="W504" s="62"/>
      <c r="X504" s="62"/>
      <c r="Y504" s="62"/>
      <c r="Z504" s="62"/>
      <c r="AA504" s="79"/>
      <c r="AB504"/>
      <c r="AC504" s="56"/>
      <c r="AD504" s="70"/>
      <c r="AE504" s="71"/>
      <c r="AF504" s="72"/>
      <c r="AG504" s="72"/>
      <c r="AH504" s="128"/>
      <c r="AI504"/>
      <c r="AJ504" s="62"/>
      <c r="AK504" s="62"/>
      <c r="AL504" s="62"/>
      <c r="AM504" s="62"/>
      <c r="AN504" s="62"/>
      <c r="AO504" s="79"/>
    </row>
    <row r="505" spans="1:41" x14ac:dyDescent="0.25">
      <c r="A505" s="24" t="s">
        <v>9</v>
      </c>
      <c r="B505" s="25">
        <v>7</v>
      </c>
      <c r="C505" s="26">
        <v>0</v>
      </c>
      <c r="D505" s="27">
        <v>0</v>
      </c>
      <c r="E505" s="27">
        <v>0</v>
      </c>
      <c r="F505" s="27">
        <v>0</v>
      </c>
      <c r="G505" s="28"/>
      <c r="H505" s="28"/>
      <c r="I505" s="28"/>
      <c r="J505" s="26">
        <f t="array" ref="J505">SUM($G$498:$I$498*DecCours*DecPasse^(B505-$B$498-1))</f>
        <v>403.59822402238132</v>
      </c>
      <c r="K505" s="27"/>
      <c r="L505" s="30"/>
      <c r="M505" s="6"/>
      <c r="N505" s="62"/>
      <c r="O505" s="62"/>
      <c r="P505" s="62"/>
      <c r="Q505" s="62"/>
      <c r="R505" s="62"/>
      <c r="S505" s="62"/>
      <c r="T505" s="62"/>
      <c r="U505" s="80"/>
      <c r="V505" s="62"/>
      <c r="W505" s="62"/>
      <c r="X505" s="62"/>
      <c r="Y505" s="62"/>
      <c r="Z505" s="62"/>
      <c r="AA505" s="79"/>
      <c r="AB505"/>
      <c r="AC505" s="56"/>
      <c r="AD505" s="70"/>
      <c r="AE505" s="71"/>
      <c r="AF505" s="72"/>
      <c r="AG505" s="72"/>
      <c r="AH505" s="128"/>
      <c r="AI505"/>
      <c r="AJ505" s="62"/>
      <c r="AK505" s="62"/>
      <c r="AL505" s="62"/>
      <c r="AM505" s="62"/>
      <c r="AN505" s="62"/>
      <c r="AO505" s="79"/>
    </row>
    <row r="506" spans="1:41" x14ac:dyDescent="0.25">
      <c r="A506" s="24" t="s">
        <v>9</v>
      </c>
      <c r="B506" s="25">
        <v>8</v>
      </c>
      <c r="C506" s="26">
        <v>0</v>
      </c>
      <c r="D506" s="27">
        <v>0</v>
      </c>
      <c r="E506" s="27">
        <v>0</v>
      </c>
      <c r="F506" s="27">
        <v>0</v>
      </c>
      <c r="G506" s="28"/>
      <c r="H506" s="28"/>
      <c r="I506" s="28"/>
      <c r="J506" s="26">
        <f t="array" ref="J506">SUM($G$498:$I$498*DecCours*DecPasse^(B506-$B$498-1))</f>
        <v>392.47348557003994</v>
      </c>
      <c r="K506" s="27"/>
      <c r="L506" s="30"/>
      <c r="M506" s="6"/>
      <c r="N506" s="62"/>
      <c r="O506" s="62"/>
      <c r="P506" s="62"/>
      <c r="Q506" s="62"/>
      <c r="R506" s="62"/>
      <c r="S506" s="62"/>
      <c r="T506" s="62"/>
      <c r="U506" s="80"/>
      <c r="V506" s="62"/>
      <c r="W506" s="62"/>
      <c r="X506" s="62"/>
      <c r="Y506" s="62"/>
      <c r="Z506" s="62"/>
      <c r="AA506" s="79"/>
      <c r="AB506"/>
      <c r="AC506" s="56"/>
      <c r="AD506" s="70"/>
      <c r="AE506" s="71"/>
      <c r="AF506" s="72"/>
      <c r="AG506" s="72"/>
      <c r="AH506" s="128"/>
      <c r="AI506"/>
      <c r="AJ506" s="62"/>
      <c r="AK506" s="62"/>
      <c r="AL506" s="62"/>
      <c r="AM506" s="62"/>
      <c r="AN506" s="62"/>
      <c r="AO506" s="79"/>
    </row>
    <row r="507" spans="1:41" x14ac:dyDescent="0.25">
      <c r="A507" s="24" t="s">
        <v>9</v>
      </c>
      <c r="B507" s="25">
        <v>9</v>
      </c>
      <c r="C507" s="26">
        <v>0</v>
      </c>
      <c r="D507" s="27">
        <v>0</v>
      </c>
      <c r="E507" s="27">
        <v>0</v>
      </c>
      <c r="F507" s="27">
        <v>0</v>
      </c>
      <c r="G507" s="28"/>
      <c r="H507" s="28"/>
      <c r="I507" s="28"/>
      <c r="J507" s="26">
        <f t="array" ref="J507">SUM($G$498:$I$498*DecCours*DecPasse^(B507-$B$498-1))</f>
        <v>382.38469153057872</v>
      </c>
      <c r="K507" s="27"/>
      <c r="L507" s="30"/>
      <c r="M507" s="6"/>
      <c r="N507" s="62"/>
      <c r="O507" s="62"/>
      <c r="P507" s="62"/>
      <c r="Q507" s="62"/>
      <c r="R507" s="62"/>
      <c r="S507" s="62"/>
      <c r="T507" s="62"/>
      <c r="U507" s="80"/>
      <c r="V507" s="62"/>
      <c r="W507" s="62"/>
      <c r="X507" s="62"/>
      <c r="Y507" s="62"/>
      <c r="Z507" s="62"/>
      <c r="AA507" s="79"/>
      <c r="AB507"/>
      <c r="AC507" s="56"/>
      <c r="AD507" s="70"/>
      <c r="AE507" s="71"/>
      <c r="AF507" s="72"/>
      <c r="AG507" s="72"/>
      <c r="AH507" s="128"/>
      <c r="AI507"/>
      <c r="AJ507" s="62"/>
      <c r="AK507" s="62"/>
      <c r="AL507" s="62"/>
      <c r="AM507" s="62"/>
      <c r="AN507" s="62"/>
      <c r="AO507" s="79"/>
    </row>
    <row r="508" spans="1:41" x14ac:dyDescent="0.25">
      <c r="A508" s="24" t="s">
        <v>9</v>
      </c>
      <c r="B508" s="25">
        <v>10</v>
      </c>
      <c r="C508" s="26">
        <v>0</v>
      </c>
      <c r="D508" s="27">
        <v>0</v>
      </c>
      <c r="E508" s="27">
        <v>0</v>
      </c>
      <c r="F508" s="27">
        <v>0</v>
      </c>
      <c r="G508" s="28"/>
      <c r="H508" s="28"/>
      <c r="I508" s="28"/>
      <c r="J508" s="26">
        <f t="array" ref="J508">SUM($G$498:$I$498*DecCours*DecPasse^(B508-$B$498-1))</f>
        <v>373.0753512448245</v>
      </c>
      <c r="K508" s="27"/>
      <c r="L508" s="30"/>
      <c r="M508" s="6"/>
      <c r="N508" s="62"/>
      <c r="O508" s="62"/>
      <c r="P508" s="62"/>
      <c r="Q508" s="62"/>
      <c r="R508" s="62"/>
      <c r="S508" s="62"/>
      <c r="T508" s="62"/>
      <c r="U508" s="80"/>
      <c r="V508" s="62"/>
      <c r="W508" s="62"/>
      <c r="X508" s="62"/>
      <c r="Y508" s="62"/>
      <c r="Z508" s="62"/>
      <c r="AA508" s="79"/>
      <c r="AB508"/>
      <c r="AC508" s="56"/>
      <c r="AD508" s="70"/>
      <c r="AE508" s="71"/>
      <c r="AF508" s="72"/>
      <c r="AG508" s="72"/>
      <c r="AH508" s="128"/>
      <c r="AI508"/>
      <c r="AJ508" s="62"/>
      <c r="AK508" s="62"/>
      <c r="AL508" s="62"/>
      <c r="AM508" s="62"/>
      <c r="AN508" s="62"/>
      <c r="AO508" s="79"/>
    </row>
    <row r="509" spans="1:41" x14ac:dyDescent="0.25">
      <c r="A509" s="24" t="s">
        <v>9</v>
      </c>
      <c r="B509" s="25">
        <v>11</v>
      </c>
      <c r="C509" s="26">
        <v>0</v>
      </c>
      <c r="D509" s="27">
        <v>0</v>
      </c>
      <c r="E509" s="27">
        <v>0</v>
      </c>
      <c r="F509" s="27">
        <v>0</v>
      </c>
      <c r="G509" s="28"/>
      <c r="H509" s="28"/>
      <c r="I509" s="28"/>
      <c r="J509" s="26">
        <f t="array" ref="J509">SUM($G$498:$I$498*DecCours*DecPasse^(B509-$B$498-1))</f>
        <v>364.36308653946315</v>
      </c>
      <c r="K509" s="27"/>
      <c r="L509" s="30"/>
      <c r="M509" s="6"/>
      <c r="N509" s="62"/>
      <c r="O509" s="62"/>
      <c r="P509" s="62"/>
      <c r="Q509" s="62"/>
      <c r="R509" s="62"/>
      <c r="S509" s="62"/>
      <c r="T509" s="62"/>
      <c r="U509" s="80"/>
      <c r="V509" s="62"/>
      <c r="W509" s="62"/>
      <c r="X509" s="62"/>
      <c r="Y509" s="62"/>
      <c r="Z509" s="62"/>
      <c r="AA509" s="79"/>
      <c r="AB509"/>
      <c r="AC509" s="56"/>
      <c r="AD509" s="70"/>
      <c r="AE509" s="71"/>
      <c r="AF509" s="72"/>
      <c r="AG509" s="72"/>
      <c r="AH509" s="128"/>
      <c r="AI509"/>
      <c r="AJ509" s="62"/>
      <c r="AK509" s="62"/>
      <c r="AL509" s="62"/>
      <c r="AM509" s="62"/>
      <c r="AN509" s="62"/>
      <c r="AO509" s="79"/>
    </row>
    <row r="510" spans="1:41" x14ac:dyDescent="0.25">
      <c r="A510" s="24" t="s">
        <v>9</v>
      </c>
      <c r="B510" s="25">
        <v>12</v>
      </c>
      <c r="C510" s="26">
        <v>0</v>
      </c>
      <c r="D510" s="27">
        <v>0</v>
      </c>
      <c r="E510" s="27">
        <v>0</v>
      </c>
      <c r="F510" s="27">
        <v>0</v>
      </c>
      <c r="G510" s="28"/>
      <c r="H510" s="28"/>
      <c r="I510" s="28"/>
      <c r="J510" s="26">
        <f t="array" ref="J510">SUM($G$498:$I$498*DecCours*DecPasse^(B510-$B$498-1))</f>
        <v>356.11794703015357</v>
      </c>
      <c r="K510" s="27"/>
      <c r="L510" s="30"/>
      <c r="M510" s="6"/>
      <c r="N510" s="62"/>
      <c r="O510" s="62"/>
      <c r="P510" s="62"/>
      <c r="Q510" s="62"/>
      <c r="R510" s="62"/>
      <c r="S510" s="62"/>
      <c r="T510" s="62"/>
      <c r="U510" s="80"/>
      <c r="V510" s="62"/>
      <c r="W510" s="62"/>
      <c r="X510" s="62"/>
      <c r="Y510" s="62"/>
      <c r="Z510" s="62"/>
      <c r="AA510" s="79"/>
      <c r="AB510"/>
      <c r="AC510" s="56"/>
      <c r="AD510" s="70"/>
      <c r="AE510" s="71"/>
      <c r="AF510" s="72"/>
      <c r="AG510" s="72"/>
      <c r="AH510" s="128"/>
      <c r="AI510"/>
      <c r="AJ510" s="62"/>
      <c r="AK510" s="62"/>
      <c r="AL510" s="62"/>
      <c r="AM510" s="62"/>
      <c r="AN510" s="62"/>
      <c r="AO510" s="79"/>
    </row>
    <row r="511" spans="1:41" x14ac:dyDescent="0.25">
      <c r="A511" s="24" t="s">
        <v>9</v>
      </c>
      <c r="B511" s="25">
        <v>13</v>
      </c>
      <c r="C511" s="26">
        <v>0</v>
      </c>
      <c r="D511" s="27">
        <v>0</v>
      </c>
      <c r="E511" s="27">
        <v>0</v>
      </c>
      <c r="F511" s="27">
        <v>0</v>
      </c>
      <c r="G511" s="28"/>
      <c r="H511" s="28"/>
      <c r="I511" s="28"/>
      <c r="J511" s="26">
        <f t="array" ref="J511">SUM($G$498:$I$498*DecCours*DecPasse^(B511-$B$498-1))</f>
        <v>348.24707621858482</v>
      </c>
      <c r="K511" s="27"/>
      <c r="L511" s="30"/>
      <c r="M511" s="6"/>
      <c r="N511" s="62"/>
      <c r="O511" s="62"/>
      <c r="P511" s="62"/>
      <c r="Q511" s="62"/>
      <c r="R511" s="62"/>
      <c r="S511" s="62"/>
      <c r="T511" s="62"/>
      <c r="U511" s="80"/>
      <c r="V511" s="62"/>
      <c r="W511" s="62"/>
      <c r="X511" s="62"/>
      <c r="Y511" s="62"/>
      <c r="Z511" s="62"/>
      <c r="AA511" s="79"/>
      <c r="AB511"/>
      <c r="AC511" s="56"/>
      <c r="AD511" s="70"/>
      <c r="AE511" s="71"/>
      <c r="AF511" s="72"/>
      <c r="AG511" s="72"/>
      <c r="AH511" s="128"/>
      <c r="AI511"/>
      <c r="AJ511" s="62"/>
      <c r="AK511" s="62"/>
      <c r="AL511" s="62"/>
      <c r="AM511" s="62"/>
      <c r="AN511" s="62"/>
      <c r="AO511" s="79"/>
    </row>
    <row r="512" spans="1:41" x14ac:dyDescent="0.25">
      <c r="A512" s="24" t="s">
        <v>9</v>
      </c>
      <c r="B512" s="25">
        <v>14</v>
      </c>
      <c r="C512" s="26">
        <v>0</v>
      </c>
      <c r="D512" s="27">
        <v>0</v>
      </c>
      <c r="E512" s="27">
        <v>0</v>
      </c>
      <c r="F512" s="27">
        <v>0</v>
      </c>
      <c r="G512" s="28"/>
      <c r="H512" s="28"/>
      <c r="I512" s="28"/>
      <c r="J512" s="26">
        <f t="array" ref="J512">SUM($G$498:$I$498*DecCours*DecPasse^(B512-$B$498-1))</f>
        <v>340.68386829080538</v>
      </c>
      <c r="K512" s="27"/>
      <c r="L512" s="30"/>
      <c r="M512" s="6"/>
      <c r="N512" s="62"/>
      <c r="O512" s="62"/>
      <c r="P512" s="62"/>
      <c r="Q512" s="62"/>
      <c r="R512" s="62"/>
      <c r="S512" s="62"/>
      <c r="T512" s="62"/>
      <c r="U512" s="80"/>
      <c r="V512" s="62"/>
      <c r="W512" s="62"/>
      <c r="X512" s="62"/>
      <c r="Y512" s="62"/>
      <c r="Z512" s="62"/>
      <c r="AA512" s="79"/>
      <c r="AB512"/>
      <c r="AC512" s="56"/>
      <c r="AD512" s="70"/>
      <c r="AE512" s="71"/>
      <c r="AF512" s="72"/>
      <c r="AG512" s="72"/>
      <c r="AH512" s="128"/>
      <c r="AI512"/>
      <c r="AJ512" s="62"/>
      <c r="AK512" s="62"/>
      <c r="AL512" s="62"/>
      <c r="AM512" s="62"/>
      <c r="AN512" s="62"/>
      <c r="AO512" s="79"/>
    </row>
    <row r="513" spans="1:41" x14ac:dyDescent="0.25">
      <c r="A513" s="24" t="s">
        <v>9</v>
      </c>
      <c r="B513" s="25">
        <v>15</v>
      </c>
      <c r="C513" s="26">
        <v>0</v>
      </c>
      <c r="D513" s="27">
        <v>0</v>
      </c>
      <c r="E513" s="27">
        <v>0</v>
      </c>
      <c r="F513" s="27">
        <v>0</v>
      </c>
      <c r="G513" s="28"/>
      <c r="H513" s="28"/>
      <c r="I513" s="28"/>
      <c r="J513" s="26">
        <f t="array" ref="J513">SUM($G$498:$I$498*DecCours*DecPasse^(B513-$B$498-1))</f>
        <v>333.38030033240369</v>
      </c>
      <c r="K513" s="27"/>
      <c r="L513" s="30"/>
      <c r="M513" s="6"/>
      <c r="N513" s="62"/>
      <c r="O513" s="62"/>
      <c r="P513" s="62"/>
      <c r="Q513" s="62"/>
      <c r="R513" s="62"/>
      <c r="S513" s="62"/>
      <c r="T513" s="62"/>
      <c r="U513" s="80"/>
      <c r="V513" s="62"/>
      <c r="W513" s="62"/>
      <c r="X513" s="62"/>
      <c r="Y513" s="62"/>
      <c r="Z513" s="62"/>
      <c r="AA513" s="79"/>
      <c r="AB513"/>
      <c r="AC513" s="56"/>
      <c r="AD513" s="70"/>
      <c r="AE513" s="71"/>
      <c r="AF513" s="72"/>
      <c r="AG513" s="72"/>
      <c r="AH513" s="128"/>
      <c r="AI513"/>
      <c r="AJ513" s="62"/>
      <c r="AK513" s="62"/>
      <c r="AL513" s="62"/>
      <c r="AM513" s="62"/>
      <c r="AN513" s="62"/>
      <c r="AO513" s="79"/>
    </row>
    <row r="514" spans="1:41" x14ac:dyDescent="0.25">
      <c r="A514" s="24" t="s">
        <v>9</v>
      </c>
      <c r="B514" s="25">
        <v>16</v>
      </c>
      <c r="C514" s="26">
        <v>0</v>
      </c>
      <c r="D514" s="27">
        <v>0</v>
      </c>
      <c r="E514" s="27">
        <v>0</v>
      </c>
      <c r="F514" s="27">
        <v>0</v>
      </c>
      <c r="G514" s="28"/>
      <c r="H514" s="28"/>
      <c r="I514" s="28"/>
      <c r="J514" s="26">
        <f t="array" ref="J514">SUM($G$498:$I$498*DecCours*DecPasse^(B514-$B$498-1))</f>
        <v>326.30150991372568</v>
      </c>
      <c r="K514" s="27"/>
      <c r="L514" s="30"/>
      <c r="M514" s="6"/>
      <c r="N514" s="62"/>
      <c r="O514" s="62"/>
      <c r="P514" s="62"/>
      <c r="Q514" s="62"/>
      <c r="R514" s="62"/>
      <c r="S514" s="62"/>
      <c r="T514" s="62"/>
      <c r="U514" s="80"/>
      <c r="V514" s="62"/>
      <c r="W514" s="62"/>
      <c r="X514" s="62"/>
      <c r="Y514" s="62"/>
      <c r="Z514" s="62"/>
      <c r="AA514" s="79"/>
      <c r="AB514"/>
      <c r="AC514" s="56"/>
      <c r="AD514" s="70"/>
      <c r="AE514" s="71"/>
      <c r="AF514" s="72"/>
      <c r="AG514" s="72"/>
      <c r="AH514" s="128"/>
      <c r="AI514"/>
      <c r="AJ514" s="62"/>
      <c r="AK514" s="62"/>
      <c r="AL514" s="62"/>
      <c r="AM514" s="62"/>
      <c r="AN514" s="62"/>
      <c r="AO514" s="79"/>
    </row>
    <row r="515" spans="1:41" x14ac:dyDescent="0.25">
      <c r="A515" s="24" t="s">
        <v>9</v>
      </c>
      <c r="B515" s="25">
        <v>17</v>
      </c>
      <c r="C515" s="26">
        <v>0</v>
      </c>
      <c r="D515" s="27">
        <v>0</v>
      </c>
      <c r="E515" s="27">
        <v>0</v>
      </c>
      <c r="F515" s="27">
        <v>0</v>
      </c>
      <c r="G515" s="28"/>
      <c r="H515" s="28"/>
      <c r="I515" s="28"/>
      <c r="J515" s="26">
        <f t="array" ref="J515">SUM($G$498:$I$498*DecCours*DecPasse^(B515-$B$498-1))</f>
        <v>319.42196040245568</v>
      </c>
      <c r="K515" s="27"/>
      <c r="L515" s="30"/>
      <c r="M515" s="6"/>
      <c r="N515" s="62"/>
      <c r="O515" s="62"/>
      <c r="P515" s="62"/>
      <c r="Q515" s="62"/>
      <c r="R515" s="62"/>
      <c r="S515" s="62"/>
      <c r="T515" s="62"/>
      <c r="U515" s="80"/>
      <c r="V515" s="62"/>
      <c r="W515" s="62"/>
      <c r="X515" s="62"/>
      <c r="Y515" s="62"/>
      <c r="Z515" s="62"/>
      <c r="AA515" s="79"/>
      <c r="AB515"/>
      <c r="AC515" s="56"/>
      <c r="AD515" s="70"/>
      <c r="AE515" s="71"/>
      <c r="AF515" s="72"/>
      <c r="AG515" s="72"/>
      <c r="AH515" s="128"/>
      <c r="AI515"/>
      <c r="AJ515" s="62"/>
      <c r="AK515" s="62"/>
      <c r="AL515" s="62"/>
      <c r="AM515" s="62"/>
      <c r="AN515" s="62"/>
      <c r="AO515" s="79"/>
    </row>
    <row r="516" spans="1:41" x14ac:dyDescent="0.25">
      <c r="A516" s="24" t="s">
        <v>9</v>
      </c>
      <c r="B516" s="25">
        <v>18</v>
      </c>
      <c r="C516" s="26">
        <v>0</v>
      </c>
      <c r="D516" s="27">
        <v>0</v>
      </c>
      <c r="E516" s="27">
        <v>0</v>
      </c>
      <c r="F516" s="27">
        <v>0</v>
      </c>
      <c r="G516" s="28"/>
      <c r="H516" s="28"/>
      <c r="I516" s="28"/>
      <c r="J516" s="26">
        <f t="array" ref="J516">SUM($G$498:$I$498*DecCours*DecPasse^(B516-$B$498-1))</f>
        <v>312.72272897970174</v>
      </c>
      <c r="K516" s="27"/>
      <c r="L516" s="30"/>
      <c r="M516" s="6"/>
      <c r="N516" s="62"/>
      <c r="O516" s="62"/>
      <c r="P516" s="62"/>
      <c r="Q516" s="62"/>
      <c r="R516" s="62"/>
      <c r="S516" s="62"/>
      <c r="T516" s="62"/>
      <c r="U516" s="80"/>
      <c r="V516" s="62"/>
      <c r="W516" s="62"/>
      <c r="X516" s="62"/>
      <c r="Y516" s="62"/>
      <c r="Z516" s="62"/>
      <c r="AA516" s="79"/>
      <c r="AB516"/>
      <c r="AC516" s="56"/>
      <c r="AD516" s="70"/>
      <c r="AE516" s="71"/>
      <c r="AF516" s="72"/>
      <c r="AG516" s="72"/>
      <c r="AH516" s="128"/>
      <c r="AI516"/>
      <c r="AJ516" s="62"/>
      <c r="AK516" s="62"/>
      <c r="AL516" s="62"/>
      <c r="AM516" s="62"/>
      <c r="AN516" s="62"/>
      <c r="AO516" s="79"/>
    </row>
    <row r="517" spans="1:41" x14ac:dyDescent="0.25">
      <c r="A517" s="24" t="s">
        <v>9</v>
      </c>
      <c r="B517" s="25">
        <v>19</v>
      </c>
      <c r="C517" s="26">
        <v>0</v>
      </c>
      <c r="D517" s="27">
        <v>0</v>
      </c>
      <c r="E517" s="27">
        <v>0</v>
      </c>
      <c r="F517" s="27">
        <v>0</v>
      </c>
      <c r="G517" s="28"/>
      <c r="H517" s="28"/>
      <c r="I517" s="28"/>
      <c r="J517" s="26">
        <f t="array" ref="J517">SUM($G$498:$I$498*DecCours*DecPasse^(B517-$B$498-1))</f>
        <v>306.18958853780481</v>
      </c>
      <c r="K517" s="27"/>
      <c r="L517" s="30"/>
      <c r="M517" s="6"/>
      <c r="N517" s="62"/>
      <c r="O517" s="62"/>
      <c r="P517" s="62"/>
      <c r="Q517" s="62"/>
      <c r="R517" s="62"/>
      <c r="S517" s="62"/>
      <c r="T517" s="62"/>
      <c r="U517" s="80"/>
      <c r="V517" s="62"/>
      <c r="W517" s="62"/>
      <c r="X517" s="62"/>
      <c r="Y517" s="62"/>
      <c r="Z517" s="62"/>
      <c r="AA517" s="79"/>
      <c r="AB517"/>
      <c r="AC517" s="56"/>
      <c r="AD517" s="70"/>
      <c r="AE517" s="71"/>
      <c r="AF517" s="72"/>
      <c r="AG517" s="72"/>
      <c r="AH517" s="128"/>
      <c r="AI517"/>
      <c r="AJ517" s="62"/>
      <c r="AK517" s="62"/>
      <c r="AL517" s="62"/>
      <c r="AM517" s="62"/>
      <c r="AN517" s="62"/>
      <c r="AO517" s="79"/>
    </row>
    <row r="518" spans="1:41" x14ac:dyDescent="0.25">
      <c r="A518" s="24" t="s">
        <v>9</v>
      </c>
      <c r="B518" s="25">
        <v>20</v>
      </c>
      <c r="C518" s="26">
        <v>0</v>
      </c>
      <c r="D518" s="27">
        <v>0</v>
      </c>
      <c r="E518" s="27">
        <v>0</v>
      </c>
      <c r="F518" s="27">
        <v>0</v>
      </c>
      <c r="G518" s="28"/>
      <c r="H518" s="28"/>
      <c r="I518" s="28"/>
      <c r="J518" s="26">
        <f t="array" ref="J518">SUM($G$498:$I$498*DecCours*DecPasse^(B518-$B$498-1))</f>
        <v>299.81165094751395</v>
      </c>
      <c r="K518" s="27"/>
      <c r="L518" s="30"/>
      <c r="M518" s="6"/>
      <c r="N518" s="62"/>
      <c r="O518" s="62"/>
      <c r="P518" s="62"/>
      <c r="Q518" s="62"/>
      <c r="R518" s="62"/>
      <c r="S518" s="62"/>
      <c r="T518" s="62"/>
      <c r="U518" s="80"/>
      <c r="V518" s="62"/>
      <c r="W518" s="62"/>
      <c r="X518" s="62"/>
      <c r="Y518" s="62"/>
      <c r="Z518" s="62"/>
      <c r="AA518" s="79"/>
      <c r="AB518"/>
      <c r="AC518" s="56"/>
      <c r="AD518" s="70"/>
      <c r="AE518" s="71"/>
      <c r="AF518" s="72"/>
      <c r="AG518" s="72"/>
      <c r="AH518" s="128"/>
      <c r="AI518"/>
      <c r="AJ518" s="62"/>
      <c r="AK518" s="62"/>
      <c r="AL518" s="62"/>
      <c r="AM518" s="62"/>
      <c r="AN518" s="62"/>
      <c r="AO518" s="79"/>
    </row>
    <row r="519" spans="1:41" x14ac:dyDescent="0.25">
      <c r="A519" s="24" t="s">
        <v>9</v>
      </c>
      <c r="B519" s="25">
        <v>21</v>
      </c>
      <c r="C519" s="26">
        <v>0</v>
      </c>
      <c r="D519" s="27">
        <v>0</v>
      </c>
      <c r="E519" s="27">
        <v>0</v>
      </c>
      <c r="F519" s="27">
        <v>0</v>
      </c>
      <c r="G519" s="28"/>
      <c r="H519" s="28"/>
      <c r="I519" s="28"/>
      <c r="J519" s="26">
        <f t="array" ref="J519">SUM($G$498:$I$498*DecCours*DecPasse^(B519-$B$498-1))</f>
        <v>293.58040728321527</v>
      </c>
      <c r="K519" s="27"/>
      <c r="L519" s="30"/>
      <c r="M519" s="6"/>
      <c r="N519" s="62"/>
      <c r="O519" s="62"/>
      <c r="P519" s="62"/>
      <c r="Q519" s="62"/>
      <c r="R519" s="62"/>
      <c r="S519" s="62"/>
      <c r="T519" s="62"/>
      <c r="U519" s="80"/>
      <c r="V519" s="62"/>
      <c r="W519" s="62"/>
      <c r="X519" s="62"/>
      <c r="Y519" s="62"/>
      <c r="Z519" s="62"/>
      <c r="AA519" s="79"/>
      <c r="AB519"/>
      <c r="AC519" s="56"/>
      <c r="AD519" s="70"/>
      <c r="AE519" s="71"/>
      <c r="AF519" s="72"/>
      <c r="AG519" s="72"/>
      <c r="AH519" s="128"/>
      <c r="AI519"/>
      <c r="AJ519" s="62"/>
      <c r="AK519" s="62"/>
      <c r="AL519" s="62"/>
      <c r="AM519" s="62"/>
      <c r="AN519" s="62"/>
      <c r="AO519" s="79"/>
    </row>
    <row r="520" spans="1:41" x14ac:dyDescent="0.25">
      <c r="A520" s="24" t="s">
        <v>9</v>
      </c>
      <c r="B520" s="25">
        <v>22</v>
      </c>
      <c r="C520" s="26">
        <v>0</v>
      </c>
      <c r="D520" s="27">
        <v>0</v>
      </c>
      <c r="E520" s="27">
        <v>0</v>
      </c>
      <c r="F520" s="27">
        <v>0</v>
      </c>
      <c r="G520" s="28"/>
      <c r="H520" s="28"/>
      <c r="I520" s="28"/>
      <c r="J520" s="26">
        <f t="array" ref="J520">SUM($G$498:$I$498*DecCours*DecPasse^(B520-$B$498-1))</f>
        <v>287.48904874962523</v>
      </c>
      <c r="K520" s="27"/>
      <c r="L520" s="30"/>
      <c r="M520" s="6"/>
      <c r="N520" s="62"/>
      <c r="O520" s="62"/>
      <c r="P520" s="62"/>
      <c r="Q520" s="62"/>
      <c r="R520" s="62"/>
      <c r="S520" s="62"/>
      <c r="T520" s="62"/>
      <c r="U520" s="80"/>
      <c r="V520" s="62"/>
      <c r="W520" s="62"/>
      <c r="X520" s="62"/>
      <c r="Y520" s="62"/>
      <c r="Z520" s="62"/>
      <c r="AA520" s="79"/>
      <c r="AB520"/>
      <c r="AC520" s="56"/>
      <c r="AD520" s="70"/>
      <c r="AE520" s="71"/>
      <c r="AF520" s="72"/>
      <c r="AG520" s="72"/>
      <c r="AH520" s="128"/>
      <c r="AI520"/>
      <c r="AJ520" s="62"/>
      <c r="AK520" s="62"/>
      <c r="AL520" s="62"/>
      <c r="AM520" s="62"/>
      <c r="AN520" s="62"/>
      <c r="AO520" s="79"/>
    </row>
    <row r="521" spans="1:41" x14ac:dyDescent="0.25">
      <c r="A521" s="24" t="s">
        <v>9</v>
      </c>
      <c r="B521" s="25">
        <v>23</v>
      </c>
      <c r="C521" s="26">
        <v>0</v>
      </c>
      <c r="D521" s="27">
        <v>0</v>
      </c>
      <c r="E521" s="27">
        <v>0</v>
      </c>
      <c r="F521" s="27">
        <v>0</v>
      </c>
      <c r="G521" s="28"/>
      <c r="H521" s="28"/>
      <c r="I521" s="28"/>
      <c r="J521" s="26">
        <f t="array" ref="J521">SUM($G$498:$I$498*DecCours*DecPasse^(B521-$B$498-1))</f>
        <v>281.53198610389495</v>
      </c>
      <c r="K521" s="27"/>
      <c r="L521" s="30"/>
      <c r="M521" s="6"/>
      <c r="N521" s="62"/>
      <c r="O521" s="62"/>
      <c r="P521" s="62"/>
      <c r="Q521" s="62"/>
      <c r="R521" s="62"/>
      <c r="S521" s="62"/>
      <c r="T521" s="62"/>
      <c r="U521" s="80"/>
      <c r="V521" s="62"/>
      <c r="W521" s="62"/>
      <c r="X521" s="62"/>
      <c r="Y521" s="62"/>
      <c r="Z521" s="62"/>
      <c r="AA521" s="79"/>
      <c r="AB521"/>
      <c r="AC521" s="56"/>
      <c r="AD521" s="70"/>
      <c r="AE521" s="71"/>
      <c r="AF521" s="72"/>
      <c r="AG521" s="72"/>
      <c r="AH521" s="128"/>
      <c r="AI521"/>
      <c r="AJ521" s="62"/>
      <c r="AK521" s="62"/>
      <c r="AL521" s="62"/>
      <c r="AM521" s="62"/>
      <c r="AN521" s="62"/>
      <c r="AO521" s="79"/>
    </row>
    <row r="522" spans="1:41" x14ac:dyDescent="0.25">
      <c r="A522" s="24" t="s">
        <v>9</v>
      </c>
      <c r="B522" s="25">
        <v>24</v>
      </c>
      <c r="C522" s="26">
        <v>0</v>
      </c>
      <c r="D522" s="27">
        <v>0</v>
      </c>
      <c r="E522" s="27">
        <v>0</v>
      </c>
      <c r="F522" s="27">
        <v>0</v>
      </c>
      <c r="G522" s="28"/>
      <c r="H522" s="28"/>
      <c r="I522" s="28"/>
      <c r="J522" s="26">
        <f t="array" ref="J522">SUM($G$498:$I$498*DecCours*DecPasse^(B522-$B$498-1))</f>
        <v>275.70450944443797</v>
      </c>
      <c r="K522" s="27"/>
      <c r="L522" s="30"/>
      <c r="M522" s="6"/>
      <c r="N522" s="62"/>
      <c r="O522" s="62"/>
      <c r="P522" s="62"/>
      <c r="Q522" s="62"/>
      <c r="R522" s="62"/>
      <c r="S522" s="62"/>
      <c r="T522" s="62"/>
      <c r="U522" s="80"/>
      <c r="V522" s="62"/>
      <c r="W522" s="62"/>
      <c r="X522" s="62"/>
      <c r="Y522" s="62"/>
      <c r="Z522" s="62"/>
      <c r="AA522" s="79"/>
      <c r="AB522"/>
      <c r="AC522" s="56"/>
      <c r="AD522" s="70"/>
      <c r="AE522" s="71"/>
      <c r="AF522" s="72"/>
      <c r="AG522" s="72"/>
      <c r="AH522" s="128"/>
      <c r="AI522"/>
      <c r="AJ522" s="62"/>
      <c r="AK522" s="62"/>
      <c r="AL522" s="62"/>
      <c r="AM522" s="62"/>
      <c r="AN522" s="62"/>
      <c r="AO522" s="79"/>
    </row>
    <row r="523" spans="1:41" x14ac:dyDescent="0.25">
      <c r="A523" s="24" t="s">
        <v>9</v>
      </c>
      <c r="B523" s="25">
        <v>25</v>
      </c>
      <c r="C523" s="26">
        <v>0</v>
      </c>
      <c r="D523" s="27">
        <v>0</v>
      </c>
      <c r="E523" s="27">
        <v>0</v>
      </c>
      <c r="F523" s="27">
        <v>0</v>
      </c>
      <c r="G523" s="28"/>
      <c r="H523" s="28"/>
      <c r="I523" s="28"/>
      <c r="J523" s="26">
        <f t="array" ref="J523">SUM($G$498:$I$498*DecCours*DecPasse^(B523-$B$498-1))</f>
        <v>270.00254726307458</v>
      </c>
      <c r="K523" s="27"/>
      <c r="L523" s="30"/>
      <c r="M523" s="6"/>
      <c r="N523" s="62"/>
      <c r="O523" s="62"/>
      <c r="P523" s="62"/>
      <c r="Q523" s="62"/>
      <c r="R523" s="62"/>
      <c r="S523" s="62"/>
      <c r="T523" s="62"/>
      <c r="U523" s="80"/>
      <c r="V523" s="62"/>
      <c r="W523" s="62"/>
      <c r="X523" s="62"/>
      <c r="Y523" s="62"/>
      <c r="Z523" s="62"/>
      <c r="AA523" s="79"/>
      <c r="AB523"/>
      <c r="AC523" s="56"/>
      <c r="AD523" s="70"/>
      <c r="AE523" s="71"/>
      <c r="AF523" s="72"/>
      <c r="AG523" s="72"/>
      <c r="AH523" s="128"/>
      <c r="AI523"/>
      <c r="AJ523" s="62"/>
      <c r="AK523" s="62"/>
      <c r="AL523" s="62"/>
      <c r="AM523" s="62"/>
      <c r="AN523" s="62"/>
      <c r="AO523" s="79"/>
    </row>
    <row r="524" spans="1:41" x14ac:dyDescent="0.25">
      <c r="A524" s="24" t="s">
        <v>9</v>
      </c>
      <c r="B524" s="25">
        <v>26</v>
      </c>
      <c r="C524" s="26">
        <v>0</v>
      </c>
      <c r="D524" s="27">
        <v>0</v>
      </c>
      <c r="E524" s="27">
        <v>0</v>
      </c>
      <c r="F524" s="27">
        <v>0</v>
      </c>
      <c r="G524" s="28"/>
      <c r="H524" s="28"/>
      <c r="I524" s="28"/>
      <c r="J524" s="26">
        <f t="array" ref="J524">SUM($G$498:$I$498*DecCours*DecPasse^(B524-$B$498-1))</f>
        <v>264.42249569577876</v>
      </c>
      <c r="K524" s="27"/>
      <c r="L524" s="30"/>
      <c r="M524" s="6"/>
      <c r="N524" s="62"/>
      <c r="O524" s="62"/>
      <c r="P524" s="62"/>
      <c r="Q524" s="62"/>
      <c r="R524" s="62"/>
      <c r="S524" s="62"/>
      <c r="T524" s="62"/>
      <c r="U524" s="80"/>
      <c r="V524" s="62"/>
      <c r="W524" s="62"/>
      <c r="X524" s="62"/>
      <c r="Y524" s="62"/>
      <c r="Z524" s="62"/>
      <c r="AA524" s="79"/>
      <c r="AB524"/>
      <c r="AC524" s="56"/>
      <c r="AD524" s="70"/>
      <c r="AE524" s="71"/>
      <c r="AF524" s="72"/>
      <c r="AG524" s="72"/>
      <c r="AH524" s="128"/>
      <c r="AI524"/>
      <c r="AJ524" s="62"/>
      <c r="AK524" s="62"/>
      <c r="AL524" s="62"/>
      <c r="AM524" s="62"/>
      <c r="AN524" s="62"/>
      <c r="AO524" s="79"/>
    </row>
    <row r="525" spans="1:41" x14ac:dyDescent="0.25">
      <c r="A525" s="24" t="s">
        <v>9</v>
      </c>
      <c r="B525" s="25">
        <v>27</v>
      </c>
      <c r="C525" s="26">
        <v>0</v>
      </c>
      <c r="D525" s="27">
        <v>0</v>
      </c>
      <c r="E525" s="27">
        <v>0</v>
      </c>
      <c r="F525" s="27">
        <v>0</v>
      </c>
      <c r="G525" s="28"/>
      <c r="H525" s="28"/>
      <c r="I525" s="28"/>
      <c r="J525" s="26">
        <f t="array" ref="J525">SUM($G$498:$I$498*DecCours*DecPasse^(B525-$B$498-1))</f>
        <v>258.96109741996122</v>
      </c>
      <c r="K525" s="27"/>
      <c r="L525" s="30"/>
      <c r="M525" s="6"/>
      <c r="N525" s="62"/>
      <c r="O525" s="62"/>
      <c r="P525" s="62"/>
      <c r="Q525" s="62"/>
      <c r="R525" s="62"/>
      <c r="S525" s="62"/>
      <c r="T525" s="62"/>
      <c r="U525" s="80"/>
      <c r="V525" s="62"/>
      <c r="W525" s="62"/>
      <c r="X525" s="62"/>
      <c r="Y525" s="62"/>
      <c r="Z525" s="62"/>
      <c r="AA525" s="79"/>
      <c r="AB525"/>
      <c r="AC525" s="56"/>
      <c r="AD525" s="70"/>
      <c r="AE525" s="71"/>
      <c r="AF525" s="72"/>
      <c r="AG525" s="72"/>
      <c r="AH525" s="128"/>
      <c r="AI525"/>
      <c r="AJ525" s="62"/>
      <c r="AK525" s="62"/>
      <c r="AL525" s="62"/>
      <c r="AM525" s="62"/>
      <c r="AN525" s="62"/>
      <c r="AO525" s="79"/>
    </row>
    <row r="526" spans="1:41" x14ac:dyDescent="0.25">
      <c r="A526" s="24" t="s">
        <v>9</v>
      </c>
      <c r="B526" s="25">
        <v>28</v>
      </c>
      <c r="C526" s="26">
        <v>0</v>
      </c>
      <c r="D526" s="27">
        <v>0</v>
      </c>
      <c r="E526" s="27">
        <v>0</v>
      </c>
      <c r="F526" s="27">
        <v>0</v>
      </c>
      <c r="G526" s="28"/>
      <c r="H526" s="28"/>
      <c r="I526" s="28"/>
      <c r="J526" s="26">
        <f t="array" ref="J526">SUM($G$498:$I$498*DecCours*DecPasse^(B526-$B$498-1))</f>
        <v>253.61535566557842</v>
      </c>
      <c r="K526" s="27"/>
      <c r="L526" s="30"/>
      <c r="M526" s="6"/>
      <c r="N526" s="62"/>
      <c r="O526" s="62"/>
      <c r="P526" s="62"/>
      <c r="Q526" s="62"/>
      <c r="R526" s="62"/>
      <c r="S526" s="62"/>
      <c r="T526" s="62"/>
      <c r="U526" s="80"/>
      <c r="V526" s="62"/>
      <c r="W526" s="62"/>
      <c r="X526" s="62"/>
      <c r="Y526" s="62"/>
      <c r="Z526" s="62"/>
      <c r="AA526" s="79"/>
      <c r="AB526"/>
      <c r="AC526" s="56"/>
      <c r="AD526" s="70"/>
      <c r="AE526" s="71"/>
      <c r="AF526" s="72"/>
      <c r="AG526" s="72"/>
      <c r="AH526" s="128"/>
      <c r="AI526"/>
      <c r="AJ526" s="62"/>
      <c r="AK526" s="62"/>
      <c r="AL526" s="62"/>
      <c r="AM526" s="62"/>
      <c r="AN526" s="62"/>
      <c r="AO526" s="79"/>
    </row>
    <row r="527" spans="1:41" x14ac:dyDescent="0.25">
      <c r="A527" s="24" t="s">
        <v>9</v>
      </c>
      <c r="B527" s="25">
        <v>29</v>
      </c>
      <c r="C527" s="26">
        <v>0</v>
      </c>
      <c r="D527" s="27">
        <v>0</v>
      </c>
      <c r="E527" s="27">
        <v>0</v>
      </c>
      <c r="F527" s="27">
        <v>0</v>
      </c>
      <c r="G527" s="28"/>
      <c r="H527" s="28"/>
      <c r="I527" s="28"/>
      <c r="J527" s="26">
        <f t="array" ref="J527">SUM($G$498:$I$498*DecCours*DecPasse^(B527-$B$498-1))</f>
        <v>248.38247306368839</v>
      </c>
      <c r="K527" s="27"/>
      <c r="L527" s="30"/>
      <c r="M527" s="6"/>
      <c r="N527" s="62"/>
      <c r="O527" s="62"/>
      <c r="P527" s="62"/>
      <c r="Q527" s="62"/>
      <c r="R527" s="62"/>
      <c r="S527" s="62"/>
      <c r="T527" s="62"/>
      <c r="U527" s="80"/>
      <c r="V527" s="62"/>
      <c r="W527" s="62"/>
      <c r="X527" s="62"/>
      <c r="Y527" s="62"/>
      <c r="Z527" s="62"/>
      <c r="AA527" s="79"/>
      <c r="AB527"/>
      <c r="AC527" s="56"/>
      <c r="AD527" s="70"/>
      <c r="AE527" s="71"/>
      <c r="AF527" s="72"/>
      <c r="AG527" s="72"/>
      <c r="AH527" s="128"/>
      <c r="AI527"/>
      <c r="AJ527" s="62"/>
      <c r="AK527" s="62"/>
      <c r="AL527" s="62"/>
      <c r="AM527" s="62"/>
      <c r="AN527" s="62"/>
      <c r="AO527" s="79"/>
    </row>
    <row r="528" spans="1:41" x14ac:dyDescent="0.25">
      <c r="A528" s="24" t="s">
        <v>9</v>
      </c>
      <c r="B528" s="25">
        <v>30</v>
      </c>
      <c r="C528" s="26">
        <v>0</v>
      </c>
      <c r="D528" s="27">
        <v>0</v>
      </c>
      <c r="E528" s="27">
        <v>0</v>
      </c>
      <c r="F528" s="27">
        <v>0</v>
      </c>
      <c r="G528" s="28"/>
      <c r="H528" s="28"/>
      <c r="I528" s="28"/>
      <c r="J528" s="26">
        <f t="array" ref="J528">SUM($G$498:$I$498*DecCours*DecPasse^(B528-$B$498-1))</f>
        <v>243.25980806576413</v>
      </c>
      <c r="K528" s="27"/>
      <c r="L528" s="30"/>
      <c r="M528" s="6"/>
      <c r="N528" s="62"/>
      <c r="O528" s="62"/>
      <c r="P528" s="62"/>
      <c r="Q528" s="62"/>
      <c r="R528" s="62"/>
      <c r="S528" s="62"/>
      <c r="T528" s="62"/>
      <c r="U528" s="80"/>
      <c r="V528" s="62"/>
      <c r="W528" s="62"/>
      <c r="X528" s="62"/>
      <c r="Y528" s="62"/>
      <c r="Z528" s="62"/>
      <c r="AA528" s="79"/>
      <c r="AB528"/>
      <c r="AC528" s="56"/>
      <c r="AD528" s="70"/>
      <c r="AE528" s="71"/>
      <c r="AF528" s="72"/>
      <c r="AG528" s="72"/>
      <c r="AH528" s="128"/>
      <c r="AI528"/>
      <c r="AJ528" s="62"/>
      <c r="AK528" s="62"/>
      <c r="AL528" s="62"/>
      <c r="AM528" s="62"/>
      <c r="AN528" s="62"/>
      <c r="AO528" s="79"/>
    </row>
    <row r="529" spans="1:41" x14ac:dyDescent="0.25">
      <c r="A529" s="24" t="s">
        <v>9</v>
      </c>
      <c r="B529" s="25">
        <v>31</v>
      </c>
      <c r="C529" s="26">
        <v>0</v>
      </c>
      <c r="D529" s="27">
        <v>0</v>
      </c>
      <c r="E529" s="27">
        <v>0</v>
      </c>
      <c r="F529" s="27">
        <v>0</v>
      </c>
      <c r="G529" s="28"/>
      <c r="H529" s="28"/>
      <c r="I529" s="28"/>
      <c r="J529" s="26">
        <f t="array" ref="J529">SUM($G$498:$I$498*DecCours*DecPasse^(B529-$B$498-1))</f>
        <v>238.24484379524444</v>
      </c>
      <c r="K529" s="27"/>
      <c r="L529" s="30"/>
      <c r="M529" s="6"/>
      <c r="N529" s="62"/>
      <c r="O529" s="62"/>
      <c r="P529" s="62"/>
      <c r="Q529" s="62"/>
      <c r="R529" s="62"/>
      <c r="S529" s="62"/>
      <c r="T529" s="62"/>
      <c r="U529" s="80"/>
      <c r="V529" s="62"/>
      <c r="W529" s="62"/>
      <c r="X529" s="62"/>
      <c r="Y529" s="62"/>
      <c r="Z529" s="62"/>
      <c r="AA529" s="79"/>
      <c r="AB529"/>
      <c r="AC529" s="56"/>
      <c r="AD529" s="70"/>
      <c r="AE529" s="71"/>
      <c r="AF529" s="72"/>
      <c r="AG529" s="72"/>
      <c r="AH529" s="128"/>
      <c r="AI529"/>
      <c r="AJ529" s="62"/>
      <c r="AK529" s="62"/>
      <c r="AL529" s="62"/>
      <c r="AM529" s="62"/>
      <c r="AN529" s="62"/>
      <c r="AO529" s="79"/>
    </row>
    <row r="530" spans="1:41" x14ac:dyDescent="0.25">
      <c r="A530" s="24" t="s">
        <v>9</v>
      </c>
      <c r="B530" s="25">
        <v>32</v>
      </c>
      <c r="C530" s="26">
        <v>0</v>
      </c>
      <c r="D530" s="27">
        <v>0</v>
      </c>
      <c r="E530" s="27">
        <v>0</v>
      </c>
      <c r="F530" s="27">
        <v>0</v>
      </c>
      <c r="G530" s="28"/>
      <c r="H530" s="28"/>
      <c r="I530" s="28"/>
      <c r="J530" s="26">
        <f t="array" ref="J530">SUM($G$498:$I$498*DecCours*DecPasse^(B530-$B$498-1))</f>
        <v>233.33516569765851</v>
      </c>
      <c r="K530" s="27"/>
      <c r="L530" s="30"/>
      <c r="M530" s="6"/>
      <c r="N530" s="62"/>
      <c r="O530" s="62"/>
      <c r="P530" s="62"/>
      <c r="Q530" s="62"/>
      <c r="R530" s="62"/>
      <c r="S530" s="62"/>
      <c r="T530" s="62"/>
      <c r="U530" s="80"/>
      <c r="V530" s="62"/>
      <c r="W530" s="62"/>
      <c r="X530" s="62"/>
      <c r="Y530" s="62"/>
      <c r="Z530" s="62"/>
      <c r="AA530" s="79"/>
      <c r="AB530"/>
      <c r="AC530" s="56"/>
      <c r="AD530" s="70"/>
      <c r="AE530" s="71"/>
      <c r="AF530" s="72"/>
      <c r="AG530" s="72"/>
      <c r="AH530" s="128"/>
      <c r="AI530"/>
      <c r="AJ530" s="62"/>
      <c r="AK530" s="62"/>
      <c r="AL530" s="62"/>
      <c r="AM530" s="62"/>
      <c r="AN530" s="62"/>
      <c r="AO530" s="79"/>
    </row>
    <row r="531" spans="1:41" x14ac:dyDescent="0.25">
      <c r="A531" s="24" t="s">
        <v>9</v>
      </c>
      <c r="B531" s="25">
        <v>33</v>
      </c>
      <c r="C531" s="26">
        <v>0</v>
      </c>
      <c r="D531" s="27">
        <v>0</v>
      </c>
      <c r="E531" s="27">
        <v>0</v>
      </c>
      <c r="F531" s="27">
        <v>0</v>
      </c>
      <c r="G531" s="28"/>
      <c r="H531" s="28"/>
      <c r="I531" s="28"/>
      <c r="J531" s="26">
        <f t="array" ref="J531">SUM($G$498:$I$498*DecCours*DecPasse^(B531-$B$498-1))</f>
        <v>228.52844541975199</v>
      </c>
      <c r="K531" s="27"/>
      <c r="L531" s="30"/>
      <c r="M531" s="6"/>
      <c r="N531" s="62"/>
      <c r="O531" s="62"/>
      <c r="P531" s="62"/>
      <c r="Q531" s="62"/>
      <c r="R531" s="62"/>
      <c r="S531" s="62"/>
      <c r="T531" s="62"/>
      <c r="U531" s="80"/>
      <c r="V531" s="62"/>
      <c r="W531" s="62"/>
      <c r="X531" s="62"/>
      <c r="Y531" s="62"/>
      <c r="Z531" s="62"/>
      <c r="AA531" s="79"/>
      <c r="AB531"/>
      <c r="AC531" s="56"/>
      <c r="AD531" s="70"/>
      <c r="AE531" s="71"/>
      <c r="AF531" s="72"/>
      <c r="AG531" s="72"/>
      <c r="AH531" s="128"/>
      <c r="AI531"/>
      <c r="AJ531" s="62"/>
      <c r="AK531" s="62"/>
      <c r="AL531" s="62"/>
      <c r="AM531" s="62"/>
      <c r="AN531" s="62"/>
      <c r="AO531" s="79"/>
    </row>
    <row r="532" spans="1:41" x14ac:dyDescent="0.25">
      <c r="A532" s="24" t="s">
        <v>9</v>
      </c>
      <c r="B532" s="25">
        <v>34</v>
      </c>
      <c r="C532" s="26">
        <v>0</v>
      </c>
      <c r="D532" s="27">
        <v>0</v>
      </c>
      <c r="E532" s="27">
        <v>0</v>
      </c>
      <c r="F532" s="27">
        <v>0</v>
      </c>
      <c r="G532" s="28"/>
      <c r="H532" s="28"/>
      <c r="I532" s="28"/>
      <c r="J532" s="26">
        <f t="array" ref="J532">SUM($G$498:$I$498*DecCours*DecPasse^(B532-$B$498-1))</f>
        <v>223.82242910047728</v>
      </c>
      <c r="K532" s="27"/>
      <c r="L532" s="30"/>
      <c r="M532" s="6"/>
      <c r="N532" s="62"/>
      <c r="O532" s="62"/>
      <c r="P532" s="62"/>
      <c r="Q532" s="62"/>
      <c r="R532" s="62"/>
      <c r="S532" s="62"/>
      <c r="T532" s="62"/>
      <c r="U532" s="80"/>
      <c r="V532" s="62"/>
      <c r="W532" s="62"/>
      <c r="X532" s="62"/>
      <c r="Y532" s="62"/>
      <c r="Z532" s="62"/>
      <c r="AA532" s="79"/>
      <c r="AB532"/>
      <c r="AC532" s="56"/>
      <c r="AD532" s="70"/>
      <c r="AE532" s="71"/>
      <c r="AF532" s="72"/>
      <c r="AG532" s="72"/>
      <c r="AH532" s="128"/>
      <c r="AI532"/>
      <c r="AJ532" s="62"/>
      <c r="AK532" s="62"/>
      <c r="AL532" s="62"/>
      <c r="AM532" s="62"/>
      <c r="AN532" s="62"/>
      <c r="AO532" s="79"/>
    </row>
    <row r="533" spans="1:41" x14ac:dyDescent="0.25">
      <c r="A533" s="24" t="s">
        <v>9</v>
      </c>
      <c r="B533" s="25">
        <v>35</v>
      </c>
      <c r="C533" s="26">
        <v>0</v>
      </c>
      <c r="D533" s="27">
        <v>0</v>
      </c>
      <c r="E533" s="27">
        <v>0</v>
      </c>
      <c r="F533" s="27">
        <v>0</v>
      </c>
      <c r="G533" s="28"/>
      <c r="H533" s="28"/>
      <c r="I533" s="28"/>
      <c r="J533" s="26">
        <f t="array" ref="J533">SUM($G$498:$I$498*DecCours*DecPasse^(B533-$B$498-1))</f>
        <v>219.21492878876396</v>
      </c>
      <c r="K533" s="27"/>
      <c r="L533" s="30"/>
      <c r="M533" s="6"/>
      <c r="N533" s="62"/>
      <c r="O533" s="62"/>
      <c r="P533" s="62"/>
      <c r="Q533" s="62"/>
      <c r="R533" s="62"/>
      <c r="S533" s="62"/>
      <c r="T533" s="62"/>
      <c r="U533" s="80"/>
      <c r="V533" s="62"/>
      <c r="W533" s="62"/>
      <c r="X533" s="62"/>
      <c r="Y533" s="62"/>
      <c r="Z533" s="62"/>
      <c r="AA533" s="79"/>
      <c r="AB533"/>
      <c r="AC533" s="56"/>
      <c r="AD533" s="70"/>
      <c r="AE533" s="71"/>
      <c r="AF533" s="72"/>
      <c r="AG533" s="72"/>
      <c r="AH533" s="128"/>
      <c r="AI533"/>
      <c r="AJ533" s="62"/>
      <c r="AK533" s="62"/>
      <c r="AL533" s="62"/>
      <c r="AM533" s="62"/>
      <c r="AN533" s="62"/>
      <c r="AO533" s="79"/>
    </row>
    <row r="534" spans="1:41" x14ac:dyDescent="0.25">
      <c r="A534" s="24" t="s">
        <v>9</v>
      </c>
      <c r="B534" s="25">
        <v>36</v>
      </c>
      <c r="C534" s="26">
        <v>0</v>
      </c>
      <c r="D534" s="27">
        <v>0</v>
      </c>
      <c r="E534" s="27">
        <v>0</v>
      </c>
      <c r="F534" s="27">
        <v>0</v>
      </c>
      <c r="G534" s="28"/>
      <c r="H534" s="28"/>
      <c r="I534" s="28"/>
      <c r="J534" s="26">
        <f t="array" ref="J534">SUM($G$498:$I$498*DecCours*DecPasse^(B534-$B$498-1))</f>
        <v>214.70381607921206</v>
      </c>
      <c r="K534" s="27"/>
      <c r="L534" s="30"/>
      <c r="M534" s="6"/>
      <c r="N534" s="62"/>
      <c r="O534" s="62"/>
      <c r="P534" s="62"/>
      <c r="Q534" s="62"/>
      <c r="R534" s="62"/>
      <c r="S534" s="62"/>
      <c r="T534" s="62"/>
      <c r="U534" s="80"/>
      <c r="V534" s="62"/>
      <c r="W534" s="62"/>
      <c r="X534" s="62"/>
      <c r="Y534" s="62"/>
      <c r="Z534" s="62"/>
      <c r="AA534" s="79"/>
      <c r="AB534"/>
      <c r="AC534" s="56"/>
      <c r="AD534" s="70"/>
      <c r="AE534" s="71"/>
      <c r="AF534" s="72"/>
      <c r="AG534" s="72"/>
      <c r="AH534" s="128"/>
      <c r="AI534"/>
      <c r="AJ534" s="62"/>
      <c r="AK534" s="62"/>
      <c r="AL534" s="62"/>
      <c r="AM534" s="62"/>
      <c r="AN534" s="62"/>
      <c r="AO534" s="79"/>
    </row>
    <row r="535" spans="1:41" x14ac:dyDescent="0.25">
      <c r="A535" s="24" t="s">
        <v>9</v>
      </c>
      <c r="B535" s="25">
        <v>37</v>
      </c>
      <c r="C535" s="26">
        <v>0</v>
      </c>
      <c r="D535" s="27">
        <v>0</v>
      </c>
      <c r="E535" s="27">
        <v>0</v>
      </c>
      <c r="F535" s="27">
        <v>0</v>
      </c>
      <c r="G535" s="28"/>
      <c r="H535" s="28"/>
      <c r="I535" s="28"/>
      <c r="J535" s="26">
        <f t="array" ref="J535">SUM($G$498:$I$498*DecCours*DecPasse^(B535-$B$498-1))</f>
        <v>210.28701732288172</v>
      </c>
      <c r="K535" s="27"/>
      <c r="L535" s="30"/>
      <c r="M535" s="6"/>
      <c r="N535" s="62"/>
      <c r="O535" s="62"/>
      <c r="P535" s="62"/>
      <c r="Q535" s="62"/>
      <c r="R535" s="62"/>
      <c r="S535" s="62"/>
      <c r="T535" s="62"/>
      <c r="U535" s="80"/>
      <c r="V535" s="62"/>
      <c r="W535" s="62"/>
      <c r="X535" s="62"/>
      <c r="Y535" s="62"/>
      <c r="Z535" s="62"/>
      <c r="AA535" s="79"/>
      <c r="AB535"/>
      <c r="AC535" s="56"/>
      <c r="AD535" s="70"/>
      <c r="AE535" s="71"/>
      <c r="AF535" s="72"/>
      <c r="AG535" s="72"/>
      <c r="AH535" s="128"/>
      <c r="AI535"/>
      <c r="AJ535" s="62"/>
      <c r="AK535" s="62"/>
      <c r="AL535" s="62"/>
      <c r="AM535" s="62"/>
      <c r="AN535" s="62"/>
      <c r="AO535" s="79"/>
    </row>
    <row r="536" spans="1:41" x14ac:dyDescent="0.25">
      <c r="A536" s="24" t="s">
        <v>9</v>
      </c>
      <c r="B536" s="25">
        <v>38</v>
      </c>
      <c r="C536" s="26">
        <v>0</v>
      </c>
      <c r="D536" s="27">
        <v>0</v>
      </c>
      <c r="E536" s="27">
        <v>0</v>
      </c>
      <c r="F536" s="27">
        <v>0</v>
      </c>
      <c r="G536" s="28"/>
      <c r="H536" s="28"/>
      <c r="I536" s="28"/>
      <c r="J536" s="26">
        <f t="array" ref="J536">SUM($G$498:$I$498*DecCours*DecPasse^(B536-$B$498-1))</f>
        <v>205.96250995847427</v>
      </c>
      <c r="K536" s="27"/>
      <c r="L536" s="30"/>
      <c r="M536" s="6"/>
      <c r="N536" s="62"/>
      <c r="O536" s="62"/>
      <c r="P536" s="62"/>
      <c r="Q536" s="62"/>
      <c r="R536" s="62"/>
      <c r="S536" s="62"/>
      <c r="T536" s="62"/>
      <c r="U536" s="80"/>
      <c r="V536" s="62"/>
      <c r="W536" s="62"/>
      <c r="X536" s="62"/>
      <c r="Y536" s="62"/>
      <c r="Z536" s="62"/>
      <c r="AA536" s="79"/>
      <c r="AB536"/>
      <c r="AC536" s="56"/>
      <c r="AD536" s="70"/>
      <c r="AE536" s="71"/>
      <c r="AF536" s="72"/>
      <c r="AG536" s="72"/>
      <c r="AH536" s="128"/>
      <c r="AI536"/>
      <c r="AJ536" s="62"/>
      <c r="AK536" s="62"/>
      <c r="AL536" s="62"/>
      <c r="AM536" s="62"/>
      <c r="AN536" s="62"/>
      <c r="AO536" s="79"/>
    </row>
    <row r="537" spans="1:41" x14ac:dyDescent="0.25">
      <c r="A537" s="24" t="s">
        <v>9</v>
      </c>
      <c r="B537" s="25">
        <v>39</v>
      </c>
      <c r="C537" s="26">
        <v>0</v>
      </c>
      <c r="D537" s="27">
        <v>0</v>
      </c>
      <c r="E537" s="27">
        <v>0</v>
      </c>
      <c r="F537" s="27">
        <v>0</v>
      </c>
      <c r="G537" s="28"/>
      <c r="H537" s="28"/>
      <c r="I537" s="28"/>
      <c r="J537" s="26">
        <f t="array" ref="J537">SUM($G$498:$I$498*DecCours*DecPasse^(B537-$B$498-1))</f>
        <v>201.72831964222269</v>
      </c>
      <c r="K537" s="27"/>
      <c r="L537" s="30"/>
      <c r="M537" s="6"/>
      <c r="N537" s="62"/>
      <c r="O537" s="62"/>
      <c r="P537" s="62"/>
      <c r="Q537" s="62"/>
      <c r="R537" s="62"/>
      <c r="S537" s="62"/>
      <c r="T537" s="62"/>
      <c r="U537" s="80"/>
      <c r="V537" s="62"/>
      <c r="W537" s="62"/>
      <c r="X537" s="62"/>
      <c r="Y537" s="62"/>
      <c r="Z537" s="62"/>
      <c r="AA537" s="79"/>
      <c r="AB537"/>
      <c r="AC537" s="56"/>
      <c r="AD537" s="70"/>
      <c r="AE537" s="71"/>
      <c r="AF537" s="72"/>
      <c r="AG537" s="72"/>
      <c r="AH537" s="128"/>
      <c r="AI537"/>
      <c r="AJ537" s="62"/>
      <c r="AK537" s="62"/>
      <c r="AL537" s="62"/>
      <c r="AM537" s="62"/>
      <c r="AN537" s="62"/>
      <c r="AO537" s="79"/>
    </row>
    <row r="538" spans="1:41" x14ac:dyDescent="0.25">
      <c r="A538" s="24" t="s">
        <v>9</v>
      </c>
      <c r="B538" s="25">
        <v>40</v>
      </c>
      <c r="C538" s="26">
        <v>0</v>
      </c>
      <c r="D538" s="27">
        <v>0</v>
      </c>
      <c r="E538" s="27">
        <v>0</v>
      </c>
      <c r="F538" s="27">
        <v>0</v>
      </c>
      <c r="G538" s="28"/>
      <c r="H538" s="28"/>
      <c r="I538" s="28"/>
      <c r="J538" s="26">
        <f t="array" ref="J538">SUM($G$498:$I$498*DecCours*DecPasse^(B538-$B$498-1))</f>
        <v>197.58251794887519</v>
      </c>
      <c r="K538" s="27"/>
      <c r="L538" s="30"/>
      <c r="M538" s="6"/>
      <c r="N538" s="62"/>
      <c r="O538" s="62"/>
      <c r="P538" s="62"/>
      <c r="Q538" s="62"/>
      <c r="R538" s="62"/>
      <c r="S538" s="62"/>
      <c r="T538" s="62"/>
      <c r="U538" s="80"/>
      <c r="V538" s="62"/>
      <c r="W538" s="62"/>
      <c r="X538" s="62"/>
      <c r="Y538" s="62"/>
      <c r="Z538" s="62"/>
      <c r="AA538" s="79"/>
      <c r="AB538"/>
      <c r="AC538" s="56"/>
      <c r="AD538" s="70"/>
      <c r="AE538" s="71"/>
      <c r="AF538" s="72"/>
      <c r="AG538" s="72"/>
      <c r="AH538" s="128"/>
      <c r="AI538"/>
      <c r="AJ538" s="62"/>
      <c r="AK538" s="62"/>
      <c r="AL538" s="62"/>
      <c r="AM538" s="62"/>
      <c r="AN538" s="62"/>
      <c r="AO538" s="79"/>
    </row>
    <row r="539" spans="1:41" x14ac:dyDescent="0.25">
      <c r="A539" s="24" t="s">
        <v>9</v>
      </c>
      <c r="B539" s="25">
        <v>41</v>
      </c>
      <c r="C539" s="26">
        <v>0</v>
      </c>
      <c r="D539" s="27">
        <v>0</v>
      </c>
      <c r="E539" s="27">
        <v>0</v>
      </c>
      <c r="F539" s="27">
        <v>0</v>
      </c>
      <c r="G539" s="28"/>
      <c r="H539" s="28"/>
      <c r="I539" s="28"/>
      <c r="J539" s="26">
        <f t="array" ref="J539">SUM($G$498:$I$498*DecCours*DecPasse^(B539-$B$498-1))</f>
        <v>193.52322048267442</v>
      </c>
      <c r="K539" s="27"/>
      <c r="L539" s="30"/>
      <c r="M539" s="6"/>
      <c r="N539" s="62"/>
      <c r="O539" s="62"/>
      <c r="P539" s="62"/>
      <c r="Q539" s="62"/>
      <c r="R539" s="62"/>
      <c r="S539" s="62"/>
      <c r="T539" s="62"/>
      <c r="U539" s="80"/>
      <c r="V539" s="62"/>
      <c r="W539" s="62"/>
      <c r="X539" s="62"/>
      <c r="Y539" s="62"/>
      <c r="Z539" s="62"/>
      <c r="AA539" s="79"/>
      <c r="AB539"/>
      <c r="AC539" s="56"/>
      <c r="AD539" s="70"/>
      <c r="AE539" s="71"/>
      <c r="AF539" s="72"/>
      <c r="AG539" s="72"/>
      <c r="AH539" s="128"/>
      <c r="AI539"/>
      <c r="AJ539" s="62"/>
      <c r="AK539" s="62"/>
      <c r="AL539" s="62"/>
      <c r="AM539" s="62"/>
      <c r="AN539" s="62"/>
      <c r="AO539" s="79"/>
    </row>
    <row r="540" spans="1:41" x14ac:dyDescent="0.25">
      <c r="A540" s="24" t="s">
        <v>9</v>
      </c>
      <c r="B540" s="25">
        <v>42</v>
      </c>
      <c r="C540" s="26">
        <v>0</v>
      </c>
      <c r="D540" s="27">
        <v>0</v>
      </c>
      <c r="E540" s="27">
        <v>0</v>
      </c>
      <c r="F540" s="27">
        <v>0</v>
      </c>
      <c r="G540" s="28"/>
      <c r="H540" s="28"/>
      <c r="I540" s="28"/>
      <c r="J540" s="26">
        <f t="array" ref="J540">SUM($G$498:$I$498*DecCours*DecPasse^(B540-$B$498-1))</f>
        <v>189.5485852842736</v>
      </c>
      <c r="K540" s="27"/>
      <c r="L540" s="30"/>
      <c r="M540" s="6"/>
      <c r="N540" s="62"/>
      <c r="O540" s="62"/>
      <c r="P540" s="62"/>
      <c r="Q540" s="62"/>
      <c r="R540" s="62"/>
      <c r="S540" s="62"/>
      <c r="T540" s="62"/>
      <c r="U540" s="80"/>
      <c r="V540" s="62"/>
      <c r="W540" s="62"/>
      <c r="X540" s="62"/>
      <c r="Y540" s="62"/>
      <c r="Z540" s="62"/>
      <c r="AA540" s="79"/>
      <c r="AB540"/>
      <c r="AC540" s="56"/>
      <c r="AD540" s="70"/>
      <c r="AE540" s="71"/>
      <c r="AF540" s="72"/>
      <c r="AG540" s="72"/>
      <c r="AH540" s="128"/>
      <c r="AI540"/>
      <c r="AJ540" s="62"/>
      <c r="AK540" s="62"/>
      <c r="AL540" s="62"/>
      <c r="AM540" s="62"/>
      <c r="AN540" s="62"/>
      <c r="AO540" s="79"/>
    </row>
    <row r="541" spans="1:41" x14ac:dyDescent="0.25">
      <c r="A541" s="24" t="s">
        <v>9</v>
      </c>
      <c r="B541" s="25">
        <v>43</v>
      </c>
      <c r="C541" s="26">
        <v>0</v>
      </c>
      <c r="D541" s="27">
        <v>0</v>
      </c>
      <c r="E541" s="27">
        <v>0</v>
      </c>
      <c r="F541" s="27">
        <v>0</v>
      </c>
      <c r="G541" s="28"/>
      <c r="H541" s="28"/>
      <c r="I541" s="28"/>
      <c r="J541" s="26">
        <f t="array" ref="J541">SUM($G$498:$I$498*DecCours*DecPasse^(B541-$B$498-1))</f>
        <v>185.65681145279646</v>
      </c>
      <c r="K541" s="27"/>
      <c r="L541" s="30"/>
      <c r="M541" s="6"/>
      <c r="N541" s="62"/>
      <c r="O541" s="62"/>
      <c r="P541" s="62"/>
      <c r="Q541" s="62"/>
      <c r="R541" s="62"/>
      <c r="S541" s="62"/>
      <c r="T541" s="62"/>
      <c r="U541" s="80"/>
      <c r="V541" s="62"/>
      <c r="W541" s="62"/>
      <c r="X541" s="62"/>
      <c r="Y541" s="62"/>
      <c r="Z541" s="62"/>
      <c r="AA541" s="79"/>
      <c r="AB541"/>
      <c r="AC541" s="56"/>
      <c r="AD541" s="70"/>
      <c r="AE541" s="71"/>
      <c r="AF541" s="72"/>
      <c r="AG541" s="72"/>
      <c r="AH541" s="128"/>
      <c r="AI541"/>
      <c r="AJ541" s="62"/>
      <c r="AK541" s="62"/>
      <c r="AL541" s="62"/>
      <c r="AM541" s="62"/>
      <c r="AN541" s="62"/>
      <c r="AO541" s="79"/>
    </row>
    <row r="542" spans="1:41" x14ac:dyDescent="0.25">
      <c r="A542" s="24" t="s">
        <v>9</v>
      </c>
      <c r="B542" s="25">
        <v>44</v>
      </c>
      <c r="C542" s="26">
        <v>0</v>
      </c>
      <c r="D542" s="27">
        <v>0</v>
      </c>
      <c r="E542" s="27">
        <v>0</v>
      </c>
      <c r="F542" s="27">
        <v>0</v>
      </c>
      <c r="G542" s="28"/>
      <c r="H542" s="28"/>
      <c r="I542" s="28"/>
      <c r="J542" s="26">
        <f t="array" ref="J542">SUM($G$498:$I$498*DecCours*DecPasse^(B542-$B$498-1))</f>
        <v>181.84613792577321</v>
      </c>
      <c r="K542" s="27"/>
      <c r="L542" s="30"/>
      <c r="M542" s="6"/>
      <c r="N542" s="62"/>
      <c r="O542" s="62"/>
      <c r="P542" s="62"/>
      <c r="Q542" s="62"/>
      <c r="R542" s="62"/>
      <c r="S542" s="62"/>
      <c r="T542" s="62"/>
      <c r="U542" s="80"/>
      <c r="V542" s="62"/>
      <c r="W542" s="62"/>
      <c r="X542" s="62"/>
      <c r="Y542" s="62"/>
      <c r="Z542" s="62"/>
      <c r="AA542" s="79"/>
      <c r="AB542"/>
      <c r="AC542" s="56"/>
      <c r="AD542" s="70"/>
      <c r="AE542" s="71"/>
      <c r="AF542" s="72"/>
      <c r="AG542" s="72"/>
      <c r="AH542" s="128"/>
      <c r="AI542"/>
      <c r="AJ542" s="62"/>
      <c r="AK542" s="62"/>
      <c r="AL542" s="62"/>
      <c r="AM542" s="62"/>
      <c r="AN542" s="62"/>
      <c r="AO542" s="79"/>
    </row>
    <row r="543" spans="1:41" x14ac:dyDescent="0.25">
      <c r="A543" s="24" t="s">
        <v>9</v>
      </c>
      <c r="B543" s="25">
        <v>45</v>
      </c>
      <c r="C543" s="26">
        <v>0</v>
      </c>
      <c r="D543" s="27">
        <v>0</v>
      </c>
      <c r="E543" s="27">
        <v>0</v>
      </c>
      <c r="F543" s="27">
        <v>0</v>
      </c>
      <c r="G543" s="28"/>
      <c r="H543" s="28"/>
      <c r="I543" s="28"/>
      <c r="J543" s="26">
        <f t="array" ref="J543">SUM($G$498:$I$498*DecCours*DecPasse^(B543-$B$498-1))</f>
        <v>178.1148423763228</v>
      </c>
      <c r="K543" s="27"/>
      <c r="L543" s="30"/>
      <c r="M543" s="6"/>
      <c r="N543" s="62"/>
      <c r="O543" s="62"/>
      <c r="P543" s="62"/>
      <c r="Q543" s="62"/>
      <c r="R543" s="62"/>
      <c r="S543" s="62"/>
      <c r="T543" s="62"/>
      <c r="U543" s="80"/>
      <c r="V543" s="62"/>
      <c r="W543" s="62"/>
      <c r="X543" s="62"/>
      <c r="Y543" s="62"/>
      <c r="Z543" s="62"/>
      <c r="AA543" s="79"/>
      <c r="AB543"/>
      <c r="AC543" s="56"/>
      <c r="AD543" s="70"/>
      <c r="AE543" s="71"/>
      <c r="AF543" s="72"/>
      <c r="AG543" s="72"/>
      <c r="AH543" s="128"/>
      <c r="AI543"/>
      <c r="AJ543" s="62"/>
      <c r="AK543" s="62"/>
      <c r="AL543" s="62"/>
      <c r="AM543" s="62"/>
      <c r="AN543" s="62"/>
      <c r="AO543" s="79"/>
    </row>
    <row r="544" spans="1:41" x14ac:dyDescent="0.25">
      <c r="A544" s="24" t="s">
        <v>9</v>
      </c>
      <c r="B544" s="25">
        <v>46</v>
      </c>
      <c r="C544" s="26">
        <v>0</v>
      </c>
      <c r="D544" s="27">
        <v>0</v>
      </c>
      <c r="E544" s="27">
        <v>0</v>
      </c>
      <c r="F544" s="27">
        <v>0</v>
      </c>
      <c r="G544" s="28"/>
      <c r="H544" s="28"/>
      <c r="I544" s="28"/>
      <c r="J544" s="26">
        <f t="array" ref="J544">SUM($G$498:$I$498*DecCours*DecPasse^(B544-$B$498-1))</f>
        <v>174.46124019872062</v>
      </c>
      <c r="K544" s="27"/>
      <c r="L544" s="30"/>
      <c r="M544" s="6"/>
      <c r="N544" s="62"/>
      <c r="O544" s="62"/>
      <c r="P544" s="62"/>
      <c r="Q544" s="62"/>
      <c r="R544" s="62"/>
      <c r="S544" s="62"/>
      <c r="T544" s="62"/>
      <c r="U544" s="80"/>
      <c r="V544" s="62"/>
      <c r="W544" s="62"/>
      <c r="X544" s="62"/>
      <c r="Y544" s="62"/>
      <c r="Z544" s="62"/>
      <c r="AA544" s="79"/>
      <c r="AB544"/>
      <c r="AC544" s="56"/>
      <c r="AD544" s="70"/>
      <c r="AE544" s="71"/>
      <c r="AF544" s="72"/>
      <c r="AG544" s="72"/>
      <c r="AH544" s="128"/>
      <c r="AI544"/>
      <c r="AJ544" s="62"/>
      <c r="AK544" s="62"/>
      <c r="AL544" s="62"/>
      <c r="AM544" s="62"/>
      <c r="AN544" s="62"/>
      <c r="AO544" s="79"/>
    </row>
    <row r="545" spans="1:41" x14ac:dyDescent="0.25">
      <c r="A545" s="24" t="s">
        <v>9</v>
      </c>
      <c r="B545" s="25">
        <v>47</v>
      </c>
      <c r="C545" s="26">
        <v>0</v>
      </c>
      <c r="D545" s="27">
        <v>0</v>
      </c>
      <c r="E545" s="27">
        <v>0</v>
      </c>
      <c r="F545" s="27">
        <v>0</v>
      </c>
      <c r="G545" s="28"/>
      <c r="H545" s="28"/>
      <c r="I545" s="28"/>
      <c r="J545" s="26">
        <f t="array" ref="J545">SUM($G$498:$I$498*DecCours*DecPasse^(B545-$B$498-1))</f>
        <v>170.8836835618155</v>
      </c>
      <c r="K545" s="27"/>
      <c r="L545" s="30"/>
      <c r="M545" s="6"/>
      <c r="N545" s="62"/>
      <c r="O545" s="62"/>
      <c r="P545" s="62"/>
      <c r="Q545" s="62"/>
      <c r="R545" s="62"/>
      <c r="S545" s="62"/>
      <c r="T545" s="62"/>
      <c r="U545" s="80"/>
      <c r="V545" s="62"/>
      <c r="W545" s="62"/>
      <c r="X545" s="62"/>
      <c r="Y545" s="62"/>
      <c r="Z545" s="62"/>
      <c r="AA545" s="79"/>
      <c r="AB545"/>
      <c r="AC545" s="56"/>
      <c r="AD545" s="70"/>
      <c r="AE545" s="71"/>
      <c r="AF545" s="72"/>
      <c r="AG545" s="72"/>
      <c r="AH545" s="128"/>
      <c r="AI545"/>
      <c r="AJ545" s="62"/>
      <c r="AK545" s="62"/>
      <c r="AL545" s="62"/>
      <c r="AM545" s="62"/>
      <c r="AN545" s="62"/>
      <c r="AO545" s="79"/>
    </row>
    <row r="546" spans="1:41" x14ac:dyDescent="0.25">
      <c r="A546" s="24" t="s">
        <v>9</v>
      </c>
      <c r="B546" s="25">
        <v>48</v>
      </c>
      <c r="C546" s="26">
        <v>0</v>
      </c>
      <c r="D546" s="27">
        <v>0</v>
      </c>
      <c r="E546" s="27">
        <v>0</v>
      </c>
      <c r="F546" s="27">
        <v>0</v>
      </c>
      <c r="G546" s="28"/>
      <c r="H546" s="28"/>
      <c r="I546" s="28"/>
      <c r="J546" s="26">
        <f t="array" ref="J546">SUM($G$498:$I$498*DecCours*DecPasse^(B546-$B$498-1))</f>
        <v>167.38056051564837</v>
      </c>
      <c r="K546" s="27"/>
      <c r="L546" s="30"/>
      <c r="M546" s="6"/>
      <c r="N546" s="62"/>
      <c r="O546" s="62"/>
      <c r="P546" s="62"/>
      <c r="Q546" s="62"/>
      <c r="R546" s="62"/>
      <c r="S546" s="62"/>
      <c r="T546" s="62"/>
      <c r="U546" s="80"/>
      <c r="V546" s="62"/>
      <c r="W546" s="62"/>
      <c r="X546" s="62"/>
      <c r="Y546" s="62"/>
      <c r="Z546" s="62"/>
      <c r="AA546" s="79"/>
      <c r="AB546"/>
      <c r="AC546" s="56"/>
      <c r="AD546" s="70"/>
      <c r="AE546" s="71"/>
      <c r="AF546" s="72"/>
      <c r="AG546" s="72"/>
      <c r="AH546" s="128"/>
      <c r="AI546"/>
      <c r="AJ546" s="62"/>
      <c r="AK546" s="62"/>
      <c r="AL546" s="62"/>
      <c r="AM546" s="62"/>
      <c r="AN546" s="62"/>
      <c r="AO546" s="79"/>
    </row>
    <row r="547" spans="1:41" x14ac:dyDescent="0.25">
      <c r="A547" s="24" t="s">
        <v>9</v>
      </c>
      <c r="B547" s="25">
        <v>49</v>
      </c>
      <c r="C547" s="26">
        <v>0</v>
      </c>
      <c r="D547" s="27">
        <v>0</v>
      </c>
      <c r="E547" s="27">
        <v>0</v>
      </c>
      <c r="F547" s="27">
        <v>0</v>
      </c>
      <c r="G547" s="28"/>
      <c r="H547" s="28"/>
      <c r="I547" s="28"/>
      <c r="J547" s="26">
        <f t="array" ref="J547">SUM($G$498:$I$498*DecCours*DecPasse^(B547-$B$498-1))</f>
        <v>163.95029414079454</v>
      </c>
      <c r="K547" s="27"/>
      <c r="L547" s="30"/>
      <c r="M547" s="6"/>
      <c r="N547" s="62"/>
      <c r="O547" s="62"/>
      <c r="P547" s="62"/>
      <c r="Q547" s="62"/>
      <c r="R547" s="62"/>
      <c r="S547" s="62"/>
      <c r="T547" s="62"/>
      <c r="U547" s="80"/>
      <c r="V547" s="62"/>
      <c r="W547" s="62"/>
      <c r="X547" s="62"/>
      <c r="Y547" s="62"/>
      <c r="Z547" s="62"/>
      <c r="AA547" s="79"/>
      <c r="AB547"/>
      <c r="AC547" s="56"/>
      <c r="AD547" s="70"/>
      <c r="AE547" s="71"/>
      <c r="AF547" s="72"/>
      <c r="AG547" s="72"/>
      <c r="AH547" s="128"/>
      <c r="AI547"/>
      <c r="AJ547" s="62"/>
      <c r="AK547" s="62"/>
      <c r="AL547" s="62"/>
      <c r="AM547" s="62"/>
      <c r="AN547" s="62"/>
      <c r="AO547" s="79"/>
    </row>
    <row r="548" spans="1:41" x14ac:dyDescent="0.25">
      <c r="A548" s="24" t="s">
        <v>9</v>
      </c>
      <c r="B548" s="25">
        <v>50</v>
      </c>
      <c r="C548" s="26">
        <v>0</v>
      </c>
      <c r="D548" s="27">
        <v>0</v>
      </c>
      <c r="E548" s="27">
        <v>0</v>
      </c>
      <c r="F548" s="27">
        <v>0</v>
      </c>
      <c r="G548" s="28"/>
      <c r="H548" s="28"/>
      <c r="I548" s="28"/>
      <c r="J548" s="26">
        <f t="array" ref="J548">SUM($G$498:$I$498*DecCours*DecPasse^(B548-$B$498-1))</f>
        <v>160.59134173289806</v>
      </c>
      <c r="K548" s="27"/>
      <c r="L548" s="30"/>
      <c r="M548" s="6"/>
      <c r="N548" s="62"/>
      <c r="O548" s="62"/>
      <c r="P548" s="62"/>
      <c r="Q548" s="62"/>
      <c r="R548" s="62"/>
      <c r="S548" s="62"/>
      <c r="T548" s="62"/>
      <c r="U548" s="80"/>
      <c r="V548" s="62"/>
      <c r="W548" s="62"/>
      <c r="X548" s="62"/>
      <c r="Y548" s="62"/>
      <c r="Z548" s="62"/>
      <c r="AA548" s="79"/>
      <c r="AB548"/>
      <c r="AC548" s="56"/>
      <c r="AD548" s="70"/>
      <c r="AE548" s="71"/>
      <c r="AF548" s="72"/>
      <c r="AG548" s="72"/>
      <c r="AH548" s="128"/>
      <c r="AI548"/>
      <c r="AJ548" s="62"/>
      <c r="AK548" s="62"/>
      <c r="AL548" s="62"/>
      <c r="AM548" s="62"/>
      <c r="AN548" s="62"/>
      <c r="AO548" s="79"/>
    </row>
    <row r="549" spans="1:41" x14ac:dyDescent="0.25">
      <c r="A549" s="24" t="s">
        <v>9</v>
      </c>
      <c r="B549" s="25">
        <v>51</v>
      </c>
      <c r="C549" s="26">
        <v>0</v>
      </c>
      <c r="D549" s="27">
        <v>0</v>
      </c>
      <c r="E549" s="27">
        <v>0</v>
      </c>
      <c r="F549" s="27">
        <v>0</v>
      </c>
      <c r="G549" s="28"/>
      <c r="H549" s="28"/>
      <c r="I549" s="28"/>
      <c r="J549" s="26">
        <f t="array" ref="J549">SUM($G$498:$I$498*DecCours*DecPasse^(B549-$B$498-1))</f>
        <v>157.3021940169601</v>
      </c>
      <c r="K549" s="27"/>
      <c r="L549" s="30"/>
      <c r="M549" s="6"/>
      <c r="N549" s="62"/>
      <c r="O549" s="62"/>
      <c r="P549" s="62"/>
      <c r="Q549" s="62"/>
      <c r="R549" s="62"/>
      <c r="S549" s="62"/>
      <c r="T549" s="62"/>
      <c r="U549" s="80"/>
      <c r="V549" s="62"/>
      <c r="W549" s="62"/>
      <c r="X549" s="62"/>
      <c r="Y549" s="62"/>
      <c r="Z549" s="62"/>
      <c r="AA549" s="79"/>
      <c r="AB549"/>
      <c r="AC549" s="56"/>
      <c r="AD549" s="70"/>
      <c r="AE549" s="71"/>
      <c r="AF549" s="72"/>
      <c r="AG549" s="72"/>
      <c r="AH549" s="128"/>
      <c r="AI549"/>
      <c r="AJ549" s="62"/>
      <c r="AK549" s="62"/>
      <c r="AL549" s="62"/>
      <c r="AM549" s="62"/>
      <c r="AN549" s="62"/>
      <c r="AO549" s="79"/>
    </row>
    <row r="550" spans="1:41" x14ac:dyDescent="0.25">
      <c r="A550" s="24" t="s">
        <v>9</v>
      </c>
      <c r="B550" s="25">
        <v>52</v>
      </c>
      <c r="C550" s="26">
        <v>0</v>
      </c>
      <c r="D550" s="27">
        <v>0</v>
      </c>
      <c r="E550" s="27">
        <v>0</v>
      </c>
      <c r="F550" s="27">
        <v>0</v>
      </c>
      <c r="G550" s="28"/>
      <c r="H550" s="28"/>
      <c r="I550" s="28"/>
      <c r="J550" s="26">
        <f t="array" ref="J550">SUM($G$498:$I$498*DecCours*DecPasse^(B550-$B$498-1))</f>
        <v>154.08137438741755</v>
      </c>
      <c r="K550" s="27"/>
      <c r="L550" s="30"/>
      <c r="M550" s="6"/>
      <c r="N550" s="62"/>
      <c r="O550" s="62"/>
      <c r="P550" s="62"/>
      <c r="Q550" s="62"/>
      <c r="R550" s="62"/>
      <c r="S550" s="62"/>
      <c r="T550" s="62"/>
      <c r="U550" s="80"/>
      <c r="V550" s="62"/>
      <c r="W550" s="62"/>
      <c r="X550" s="62"/>
      <c r="Y550" s="62"/>
      <c r="Z550" s="62"/>
      <c r="AA550" s="79"/>
      <c r="AB550"/>
      <c r="AC550" s="56"/>
      <c r="AD550" s="70"/>
      <c r="AE550" s="71"/>
      <c r="AF550" s="72"/>
      <c r="AG550" s="72"/>
      <c r="AH550" s="128"/>
      <c r="AI550"/>
      <c r="AJ550" s="62"/>
      <c r="AK550" s="62"/>
      <c r="AL550" s="62"/>
      <c r="AM550" s="62"/>
      <c r="AN550" s="62"/>
      <c r="AO550" s="79"/>
    </row>
    <row r="551" spans="1:41" x14ac:dyDescent="0.25">
      <c r="A551" s="24" t="s">
        <v>9</v>
      </c>
      <c r="B551" s="25">
        <v>53</v>
      </c>
      <c r="C551" s="26">
        <v>0</v>
      </c>
      <c r="D551" s="27">
        <v>0</v>
      </c>
      <c r="E551" s="27">
        <v>0</v>
      </c>
      <c r="F551" s="27">
        <v>0</v>
      </c>
      <c r="G551" s="28"/>
      <c r="H551" s="28"/>
      <c r="I551" s="28"/>
      <c r="J551" s="26">
        <f t="array" ref="J551">SUM($G$498:$I$498*DecCours*DecPasse^(B551-$B$498-1))</f>
        <v>150.92743817110227</v>
      </c>
      <c r="K551" s="27"/>
      <c r="L551" s="30"/>
      <c r="M551" s="6"/>
      <c r="N551" s="62"/>
      <c r="O551" s="62"/>
      <c r="P551" s="62"/>
      <c r="Q551" s="62"/>
      <c r="R551" s="62"/>
      <c r="S551" s="62"/>
      <c r="T551" s="62"/>
      <c r="U551" s="80"/>
      <c r="V551" s="62"/>
      <c r="W551" s="62"/>
      <c r="X551" s="62"/>
      <c r="Y551" s="62"/>
      <c r="Z551" s="62"/>
      <c r="AA551" s="79"/>
      <c r="AB551"/>
      <c r="AC551" s="56"/>
      <c r="AD551" s="70"/>
      <c r="AE551" s="71"/>
      <c r="AF551" s="72"/>
      <c r="AG551" s="72"/>
      <c r="AH551" s="128"/>
      <c r="AI551"/>
      <c r="AJ551" s="62"/>
      <c r="AK551" s="62"/>
      <c r="AL551" s="62"/>
      <c r="AM551" s="62"/>
      <c r="AN551" s="62"/>
      <c r="AO551" s="79"/>
    </row>
    <row r="552" spans="1:41" x14ac:dyDescent="0.25">
      <c r="A552" s="24" t="s">
        <v>9</v>
      </c>
      <c r="B552" s="25">
        <v>54</v>
      </c>
      <c r="C552" s="26">
        <v>0</v>
      </c>
      <c r="D552" s="27">
        <v>0</v>
      </c>
      <c r="E552" s="27">
        <v>0</v>
      </c>
      <c r="F552" s="27">
        <v>0</v>
      </c>
      <c r="G552" s="28"/>
      <c r="H552" s="28"/>
      <c r="I552" s="28"/>
      <c r="J552" s="26">
        <f t="array" ref="J552">SUM($G$498:$I$498*DecCours*DecPasse^(B552-$B$498-1))</f>
        <v>147.83897191091191</v>
      </c>
      <c r="K552" s="27"/>
      <c r="L552" s="30"/>
      <c r="M552" s="6"/>
      <c r="N552" s="62"/>
      <c r="O552" s="62"/>
      <c r="P552" s="62"/>
      <c r="Q552" s="62"/>
      <c r="R552" s="62"/>
      <c r="S552" s="62"/>
      <c r="T552" s="62"/>
      <c r="U552" s="80"/>
      <c r="V552" s="62"/>
      <c r="W552" s="62"/>
      <c r="X552" s="62"/>
      <c r="Y552" s="62"/>
      <c r="Z552" s="62"/>
      <c r="AA552" s="79"/>
      <c r="AB552"/>
      <c r="AC552" s="56"/>
      <c r="AD552" s="70"/>
      <c r="AE552" s="71"/>
      <c r="AF552" s="72"/>
      <c r="AG552" s="72"/>
      <c r="AH552" s="128"/>
      <c r="AI552"/>
      <c r="AJ552" s="62"/>
      <c r="AK552" s="62"/>
      <c r="AL552" s="62"/>
      <c r="AM552" s="62"/>
      <c r="AN552" s="62"/>
      <c r="AO552" s="79"/>
    </row>
    <row r="553" spans="1:41" x14ac:dyDescent="0.25">
      <c r="A553" s="24" t="s">
        <v>9</v>
      </c>
      <c r="B553" s="25">
        <v>55</v>
      </c>
      <c r="C553" s="26">
        <v>0</v>
      </c>
      <c r="D553" s="27">
        <v>0</v>
      </c>
      <c r="E553" s="27">
        <v>0</v>
      </c>
      <c r="F553" s="27">
        <v>0</v>
      </c>
      <c r="G553" s="28"/>
      <c r="H553" s="28"/>
      <c r="I553" s="28"/>
      <c r="J553" s="26">
        <f t="array" ref="J553">SUM($G$498:$I$498*DecCours*DecPasse^(B553-$B$498-1))</f>
        <v>144.81459266855492</v>
      </c>
      <c r="K553" s="27"/>
      <c r="L553" s="30"/>
      <c r="M553" s="6"/>
      <c r="N553" s="62"/>
      <c r="O553" s="62"/>
      <c r="P553" s="62"/>
      <c r="Q553" s="62"/>
      <c r="R553" s="62"/>
      <c r="S553" s="62"/>
      <c r="T553" s="62"/>
      <c r="U553" s="80"/>
      <c r="V553" s="62"/>
      <c r="W553" s="62"/>
      <c r="X553" s="62"/>
      <c r="Y553" s="62"/>
      <c r="Z553" s="62"/>
      <c r="AA553" s="79"/>
      <c r="AB553"/>
      <c r="AC553" s="56"/>
      <c r="AD553" s="70"/>
      <c r="AE553" s="71"/>
      <c r="AF553" s="72"/>
      <c r="AG553" s="72"/>
      <c r="AH553" s="128"/>
      <c r="AI553"/>
      <c r="AJ553" s="62"/>
      <c r="AK553" s="62"/>
      <c r="AL553" s="62"/>
      <c r="AM553" s="62"/>
      <c r="AN553" s="62"/>
      <c r="AO553" s="79"/>
    </row>
    <row r="554" spans="1:41" x14ac:dyDescent="0.25">
      <c r="A554" s="24" t="s">
        <v>9</v>
      </c>
      <c r="B554" s="25">
        <v>56</v>
      </c>
      <c r="C554" s="26">
        <v>0</v>
      </c>
      <c r="D554" s="27">
        <v>0</v>
      </c>
      <c r="E554" s="27">
        <v>0</v>
      </c>
      <c r="F554" s="27">
        <v>0</v>
      </c>
      <c r="G554" s="28"/>
      <c r="H554" s="28"/>
      <c r="I554" s="28"/>
      <c r="J554" s="26">
        <f t="array" ref="J554">SUM($G$498:$I$498*DecCours*DecPasse^(B554-$B$498-1))</f>
        <v>141.85294734510717</v>
      </c>
      <c r="K554" s="27"/>
      <c r="L554" s="30"/>
      <c r="M554" s="6"/>
      <c r="N554" s="62"/>
      <c r="O554" s="62"/>
      <c r="P554" s="62"/>
      <c r="Q554" s="62"/>
      <c r="R554" s="62"/>
      <c r="S554" s="62"/>
      <c r="T554" s="62"/>
      <c r="U554" s="80"/>
      <c r="V554" s="62"/>
      <c r="W554" s="62"/>
      <c r="X554" s="62"/>
      <c r="Y554" s="62"/>
      <c r="Z554" s="62"/>
      <c r="AA554" s="79"/>
      <c r="AB554"/>
      <c r="AC554" s="56"/>
      <c r="AD554" s="70"/>
      <c r="AE554" s="71"/>
      <c r="AF554" s="72"/>
      <c r="AG554" s="72"/>
      <c r="AH554" s="128"/>
      <c r="AI554"/>
      <c r="AJ554" s="62"/>
      <c r="AK554" s="62"/>
      <c r="AL554" s="62"/>
      <c r="AM554" s="62"/>
      <c r="AN554" s="62"/>
      <c r="AO554" s="79"/>
    </row>
    <row r="555" spans="1:41" x14ac:dyDescent="0.25">
      <c r="A555" s="24" t="s">
        <v>9</v>
      </c>
      <c r="B555" s="25">
        <v>57</v>
      </c>
      <c r="C555" s="26">
        <v>0</v>
      </c>
      <c r="D555" s="27">
        <v>0</v>
      </c>
      <c r="E555" s="27">
        <v>0</v>
      </c>
      <c r="F555" s="27">
        <v>0</v>
      </c>
      <c r="G555" s="28"/>
      <c r="H555" s="28"/>
      <c r="I555" s="28"/>
      <c r="J555" s="26">
        <f t="array" ref="J555">SUM($G$498:$I$498*DecCours*DecPasse^(B555-$B$498-1))</f>
        <v>138.9527120183877</v>
      </c>
      <c r="K555" s="27"/>
      <c r="L555" s="30"/>
      <c r="M555" s="6"/>
      <c r="N555" s="62"/>
      <c r="O555" s="62"/>
      <c r="P555" s="62"/>
      <c r="Q555" s="62"/>
      <c r="R555" s="62"/>
      <c r="S555" s="62"/>
      <c r="T555" s="62"/>
      <c r="U555" s="80"/>
      <c r="V555" s="62"/>
      <c r="W555" s="62"/>
      <c r="X555" s="62"/>
      <c r="Y555" s="62"/>
      <c r="Z555" s="62"/>
      <c r="AA555" s="79"/>
      <c r="AB555"/>
      <c r="AC555" s="56"/>
      <c r="AD555" s="70"/>
      <c r="AE555" s="71"/>
      <c r="AF555" s="72"/>
      <c r="AG555" s="72"/>
      <c r="AH555" s="128"/>
      <c r="AI555"/>
      <c r="AJ555" s="62"/>
      <c r="AK555" s="62"/>
      <c r="AL555" s="62"/>
      <c r="AM555" s="62"/>
      <c r="AN555" s="62"/>
      <c r="AO555" s="79"/>
    </row>
    <row r="556" spans="1:41" x14ac:dyDescent="0.25">
      <c r="A556" s="24" t="s">
        <v>9</v>
      </c>
      <c r="B556" s="25">
        <v>58</v>
      </c>
      <c r="C556" s="26">
        <v>0</v>
      </c>
      <c r="D556" s="27">
        <v>0</v>
      </c>
      <c r="E556" s="27">
        <v>0</v>
      </c>
      <c r="F556" s="27">
        <v>0</v>
      </c>
      <c r="G556" s="28"/>
      <c r="H556" s="28"/>
      <c r="I556" s="28"/>
      <c r="J556" s="26">
        <f t="array" ref="J556">SUM($G$498:$I$498*DecCours*DecPasse^(B556-$B$498-1))</f>
        <v>136.11259129635303</v>
      </c>
      <c r="K556" s="27"/>
      <c r="L556" s="30"/>
      <c r="M556" s="6"/>
      <c r="N556" s="62"/>
      <c r="O556" s="62"/>
      <c r="P556" s="62"/>
      <c r="Q556" s="62"/>
      <c r="R556" s="62"/>
      <c r="S556" s="62"/>
      <c r="T556" s="62"/>
      <c r="U556" s="80"/>
      <c r="V556" s="62"/>
      <c r="W556" s="62"/>
      <c r="X556" s="62"/>
      <c r="Y556" s="62"/>
      <c r="Z556" s="62"/>
      <c r="AA556" s="79"/>
      <c r="AB556"/>
      <c r="AC556" s="56"/>
      <c r="AD556" s="70"/>
      <c r="AE556" s="71"/>
      <c r="AF556" s="72"/>
      <c r="AG556" s="72"/>
      <c r="AH556" s="128"/>
      <c r="AI556"/>
      <c r="AJ556" s="62"/>
      <c r="AK556" s="62"/>
      <c r="AL556" s="62"/>
      <c r="AM556" s="62"/>
      <c r="AN556" s="62"/>
      <c r="AO556" s="79"/>
    </row>
    <row r="557" spans="1:41" x14ac:dyDescent="0.25">
      <c r="A557" s="24" t="s">
        <v>9</v>
      </c>
      <c r="B557" s="25">
        <v>59</v>
      </c>
      <c r="C557" s="26">
        <v>0</v>
      </c>
      <c r="D557" s="27">
        <v>0</v>
      </c>
      <c r="E557" s="27">
        <v>0</v>
      </c>
      <c r="F557" s="27">
        <v>0</v>
      </c>
      <c r="G557" s="28"/>
      <c r="H557" s="28"/>
      <c r="I557" s="28"/>
      <c r="J557" s="26">
        <f t="array" ref="J557">SUM($G$498:$I$498*DecCours*DecPasse^(B557-$B$498-1))</f>
        <v>133.33131768584741</v>
      </c>
      <c r="K557" s="27"/>
      <c r="L557" s="30"/>
      <c r="M557" s="6"/>
      <c r="N557" s="62"/>
      <c r="O557" s="62"/>
      <c r="P557" s="62"/>
      <c r="Q557" s="62"/>
      <c r="R557" s="62"/>
      <c r="S557" s="62"/>
      <c r="T557" s="62"/>
      <c r="U557" s="80"/>
      <c r="V557" s="62"/>
      <c r="W557" s="62"/>
      <c r="X557" s="62"/>
      <c r="Y557" s="62"/>
      <c r="Z557" s="62"/>
      <c r="AA557" s="79"/>
      <c r="AB557"/>
      <c r="AC557" s="56"/>
      <c r="AD557" s="70"/>
      <c r="AE557" s="71"/>
      <c r="AF557" s="72"/>
      <c r="AG557" s="72"/>
      <c r="AH557" s="128"/>
      <c r="AI557"/>
      <c r="AJ557" s="62"/>
      <c r="AK557" s="62"/>
      <c r="AL557" s="62"/>
      <c r="AM557" s="62"/>
      <c r="AN557" s="62"/>
      <c r="AO557" s="79"/>
    </row>
    <row r="558" spans="1:41" x14ac:dyDescent="0.25">
      <c r="A558" s="24" t="s">
        <v>9</v>
      </c>
      <c r="B558" s="25">
        <v>60</v>
      </c>
      <c r="C558" s="26">
        <v>0</v>
      </c>
      <c r="D558" s="27">
        <v>0</v>
      </c>
      <c r="E558" s="27">
        <v>0</v>
      </c>
      <c r="F558" s="27">
        <v>0</v>
      </c>
      <c r="G558" s="28"/>
      <c r="H558" s="28"/>
      <c r="I558" s="28"/>
      <c r="J558" s="26">
        <f t="array" ref="J558">SUM($G$498:$I$498*DecCours*DecPasse^(B558-$B$498-1))</f>
        <v>130.60765097614782</v>
      </c>
      <c r="K558" s="27"/>
      <c r="L558" s="30"/>
      <c r="M558" s="6"/>
      <c r="N558" s="62"/>
      <c r="O558" s="62"/>
      <c r="P558" s="62"/>
      <c r="Q558" s="62"/>
      <c r="R558" s="62"/>
      <c r="S558" s="62"/>
      <c r="T558" s="62"/>
      <c r="U558" s="80"/>
      <c r="V558" s="62"/>
      <c r="W558" s="62"/>
      <c r="X558" s="62"/>
      <c r="Y558" s="62"/>
      <c r="Z558" s="62"/>
      <c r="AA558" s="79"/>
      <c r="AB558"/>
      <c r="AC558" s="56"/>
      <c r="AD558" s="70"/>
      <c r="AE558" s="71"/>
      <c r="AF558" s="72"/>
      <c r="AG558" s="72"/>
      <c r="AH558" s="128"/>
      <c r="AI558"/>
      <c r="AJ558" s="62"/>
      <c r="AK558" s="62"/>
      <c r="AL558" s="62"/>
      <c r="AM558" s="62"/>
      <c r="AN558" s="62"/>
      <c r="AO558" s="79"/>
    </row>
    <row r="559" spans="1:41" ht="17.100000000000001" customHeight="1" x14ac:dyDescent="0.25">
      <c r="A559" s="24" t="s">
        <v>9</v>
      </c>
      <c r="B559" s="25">
        <v>61</v>
      </c>
      <c r="C559" s="26">
        <v>0</v>
      </c>
      <c r="D559" s="27">
        <v>0</v>
      </c>
      <c r="E559" s="27">
        <v>0</v>
      </c>
      <c r="F559" s="27">
        <v>0</v>
      </c>
      <c r="G559" s="28"/>
      <c r="H559" s="28"/>
      <c r="I559" s="28"/>
      <c r="J559" s="26">
        <f t="array" ref="J559">SUM($G$498:$I$498*DecCours*DecPasse^(B559-$B$498-1))</f>
        <v>127.94037763681428</v>
      </c>
      <c r="K559" s="27"/>
      <c r="L559" s="30"/>
      <c r="M559" s="6"/>
      <c r="N559" s="62"/>
      <c r="O559" s="62"/>
      <c r="P559" s="62"/>
      <c r="Q559" s="62"/>
      <c r="R559" s="62"/>
      <c r="S559" s="62"/>
      <c r="T559" s="62"/>
      <c r="U559" s="80"/>
      <c r="V559" s="62"/>
      <c r="W559" s="62"/>
      <c r="X559" s="62"/>
      <c r="Y559" s="62"/>
      <c r="Z559" s="62"/>
      <c r="AA559" s="79"/>
      <c r="AB559"/>
      <c r="AC559" s="56"/>
      <c r="AD559" s="70"/>
      <c r="AE559" s="71"/>
      <c r="AF559" s="72"/>
      <c r="AG559" s="72"/>
      <c r="AH559" s="128"/>
      <c r="AI559"/>
      <c r="AJ559" s="62"/>
      <c r="AK559" s="62"/>
      <c r="AL559" s="62"/>
      <c r="AM559" s="62"/>
      <c r="AN559" s="62"/>
      <c r="AO559" s="79"/>
    </row>
    <row r="560" spans="1:41" x14ac:dyDescent="0.25">
      <c r="A560" s="24" t="s">
        <v>9</v>
      </c>
      <c r="B560" s="25">
        <v>62</v>
      </c>
      <c r="C560" s="26">
        <v>0</v>
      </c>
      <c r="D560" s="27">
        <v>0</v>
      </c>
      <c r="E560" s="27">
        <v>0</v>
      </c>
      <c r="F560" s="27">
        <v>0</v>
      </c>
      <c r="G560" s="28"/>
      <c r="H560" s="28"/>
      <c r="I560" s="28"/>
      <c r="J560" s="26">
        <f t="array" ref="J560">SUM($G$498:$I$498*DecCours*DecPasse^(B560-$B$498-1))</f>
        <v>125.32831022941106</v>
      </c>
      <c r="K560" s="27"/>
      <c r="L560" s="30"/>
      <c r="M560" s="6"/>
      <c r="N560" s="62"/>
      <c r="O560" s="62"/>
      <c r="P560" s="62"/>
      <c r="Q560" s="62"/>
      <c r="R560" s="62"/>
      <c r="S560" s="62"/>
      <c r="T560" s="62"/>
      <c r="U560" s="80"/>
      <c r="V560" s="62"/>
      <c r="W560" s="62"/>
      <c r="X560" s="62"/>
      <c r="Y560" s="62"/>
      <c r="Z560" s="62"/>
      <c r="AA560" s="79"/>
      <c r="AB560"/>
      <c r="AC560" s="56"/>
      <c r="AD560" s="70"/>
      <c r="AE560" s="71"/>
      <c r="AF560" s="72"/>
      <c r="AG560" s="72"/>
      <c r="AH560" s="128"/>
      <c r="AI560"/>
      <c r="AJ560" s="62"/>
      <c r="AK560" s="62"/>
      <c r="AL560" s="62"/>
      <c r="AM560" s="62"/>
      <c r="AN560" s="62"/>
      <c r="AO560" s="79"/>
    </row>
    <row r="561" spans="1:41" x14ac:dyDescent="0.25">
      <c r="A561" s="24" t="s">
        <v>9</v>
      </c>
      <c r="B561" s="25">
        <v>63</v>
      </c>
      <c r="C561" s="26">
        <v>0</v>
      </c>
      <c r="D561" s="27">
        <v>0</v>
      </c>
      <c r="E561" s="27">
        <v>0</v>
      </c>
      <c r="F561" s="27">
        <v>0</v>
      </c>
      <c r="G561" s="28"/>
      <c r="H561" s="28"/>
      <c r="I561" s="28"/>
      <c r="J561" s="26">
        <f t="array" ref="J561">SUM($G$498:$I$498*DecCours*DecPasse^(B561-$B$498-1))</f>
        <v>122.77028683270363</v>
      </c>
      <c r="K561" s="27"/>
      <c r="L561" s="30"/>
      <c r="M561" s="6"/>
      <c r="N561" s="62"/>
      <c r="O561" s="62"/>
      <c r="P561" s="62"/>
      <c r="Q561" s="62"/>
      <c r="R561" s="62"/>
      <c r="S561" s="62"/>
      <c r="T561" s="62"/>
      <c r="U561" s="80"/>
      <c r="V561" s="62"/>
      <c r="W561" s="62"/>
      <c r="X561" s="62"/>
      <c r="Y561" s="62"/>
      <c r="Z561" s="62"/>
      <c r="AA561" s="79"/>
      <c r="AB561"/>
      <c r="AC561" s="56"/>
      <c r="AD561" s="70"/>
      <c r="AE561" s="71"/>
      <c r="AF561" s="72"/>
      <c r="AG561" s="72"/>
      <c r="AH561" s="128"/>
      <c r="AI561"/>
      <c r="AJ561" s="62"/>
      <c r="AK561" s="62"/>
      <c r="AL561" s="62"/>
      <c r="AM561" s="62"/>
      <c r="AN561" s="62"/>
      <c r="AO561" s="79"/>
    </row>
    <row r="562" spans="1:41" x14ac:dyDescent="0.25">
      <c r="A562" s="24" t="s">
        <v>9</v>
      </c>
      <c r="B562" s="25">
        <v>64</v>
      </c>
      <c r="C562" s="26">
        <v>0</v>
      </c>
      <c r="D562" s="27">
        <v>0</v>
      </c>
      <c r="E562" s="27">
        <v>0</v>
      </c>
      <c r="F562" s="27">
        <v>0</v>
      </c>
      <c r="G562" s="28"/>
      <c r="H562" s="28"/>
      <c r="I562" s="28"/>
      <c r="J562" s="26">
        <f t="array" ref="J562">SUM($G$498:$I$498*DecCours*DecPasse^(B562-$B$498-1))</f>
        <v>120.26517048096734</v>
      </c>
      <c r="K562" s="27"/>
      <c r="L562" s="30"/>
      <c r="M562" s="6"/>
      <c r="N562" s="62"/>
      <c r="O562" s="62"/>
      <c r="P562" s="62"/>
      <c r="Q562" s="62"/>
      <c r="R562" s="62"/>
      <c r="S562" s="62"/>
      <c r="T562" s="62"/>
      <c r="U562" s="80"/>
      <c r="V562" s="62"/>
      <c r="W562" s="62"/>
      <c r="X562" s="62"/>
      <c r="Y562" s="62"/>
      <c r="Z562" s="62"/>
      <c r="AA562" s="79"/>
      <c r="AB562"/>
      <c r="AC562" s="56"/>
      <c r="AD562" s="70"/>
      <c r="AE562" s="71"/>
      <c r="AF562" s="72"/>
      <c r="AG562" s="72"/>
      <c r="AH562" s="128"/>
      <c r="AI562"/>
      <c r="AJ562" s="62"/>
      <c r="AK562" s="62"/>
      <c r="AL562" s="62"/>
      <c r="AM562" s="62"/>
      <c r="AN562" s="62"/>
      <c r="AO562" s="79"/>
    </row>
    <row r="563" spans="1:41" ht="16.5" thickBot="1" x14ac:dyDescent="0.3">
      <c r="A563" s="24" t="s">
        <v>9</v>
      </c>
      <c r="B563" s="25">
        <v>65</v>
      </c>
      <c r="C563" s="26">
        <f>66*C492</f>
        <v>149.16</v>
      </c>
      <c r="D563" s="27">
        <v>0.1</v>
      </c>
      <c r="E563" s="27">
        <v>0</v>
      </c>
      <c r="F563" s="27">
        <v>0</v>
      </c>
      <c r="G563" s="28">
        <f>$C$563*D563*InfraBoul*TauxC*MasseMol</f>
        <v>13.508924</v>
      </c>
      <c r="H563" s="28">
        <f>$C$563*E563*InfraBoul*TauxC*MasseMol</f>
        <v>0</v>
      </c>
      <c r="I563" s="28">
        <f>$C$563*F563*InfraBoul*TauxC*MasseMol</f>
        <v>0</v>
      </c>
      <c r="J563" s="26">
        <f t="array" ref="J563">SUM($G$498:$I$498*DecCours*DecPasse^(B563-$B$498-1))</f>
        <v>117.81184861506732</v>
      </c>
      <c r="K563" s="29"/>
      <c r="L563" s="36"/>
      <c r="M563" s="6"/>
    </row>
    <row r="564" spans="1:41" x14ac:dyDescent="0.25">
      <c r="A564" s="12" t="s">
        <v>10</v>
      </c>
      <c r="B564" s="13">
        <v>0</v>
      </c>
      <c r="C564" s="14">
        <v>903.99999999999989</v>
      </c>
      <c r="D564" s="15">
        <f>56%*0.9</f>
        <v>0.50400000000000011</v>
      </c>
      <c r="E564" s="15">
        <f>16%*0.9</f>
        <v>0.14400000000000002</v>
      </c>
      <c r="F564" s="15">
        <f>12%*0.9</f>
        <v>0.108</v>
      </c>
      <c r="G564" s="16">
        <f>(0.52*InfraRx+0.04*InfraFs)*C564*TauxC*MasseMol</f>
        <v>379.76135999999991</v>
      </c>
      <c r="H564" s="16">
        <f>E564*C564*TauxC*InfraRx*MasseMol</f>
        <v>95.223743999999968</v>
      </c>
      <c r="I564" s="16">
        <f>F564*C564*InfraRx*TauxC*MasseMol</f>
        <v>71.41780799999998</v>
      </c>
      <c r="J564" s="14">
        <v>0</v>
      </c>
      <c r="K564" s="15">
        <f>0.16</f>
        <v>0.16</v>
      </c>
      <c r="L564" s="17">
        <f>C564*(D564*CoefSubSciage+E564*CoefSubEmballage+F564*CoefSubPanneaux+K564*CoefSubEnergie)</f>
        <v>803.87296000000015</v>
      </c>
      <c r="M564" s="6"/>
    </row>
    <row r="565" spans="1:41" x14ac:dyDescent="0.25">
      <c r="A565" s="24" t="s">
        <v>10</v>
      </c>
      <c r="B565" s="25">
        <v>1</v>
      </c>
      <c r="C565" s="26">
        <v>0</v>
      </c>
      <c r="D565" s="27">
        <v>0</v>
      </c>
      <c r="E565" s="27">
        <v>0</v>
      </c>
      <c r="F565" s="27">
        <v>0</v>
      </c>
      <c r="G565" s="28"/>
      <c r="H565" s="28"/>
      <c r="I565" s="28"/>
      <c r="J565" s="26">
        <f t="array" ref="J565">SUM($G$564:$I$564*DecCours)</f>
        <v>526.93711124693141</v>
      </c>
      <c r="K565" s="27"/>
      <c r="L565" s="30"/>
      <c r="M565" s="6"/>
    </row>
    <row r="566" spans="1:41" x14ac:dyDescent="0.25">
      <c r="A566" s="24" t="s">
        <v>10</v>
      </c>
      <c r="B566" s="25">
        <v>2</v>
      </c>
      <c r="C566" s="26">
        <v>0</v>
      </c>
      <c r="D566" s="27">
        <v>0</v>
      </c>
      <c r="E566" s="27">
        <v>0</v>
      </c>
      <c r="F566" s="27">
        <v>0</v>
      </c>
      <c r="G566" s="28"/>
      <c r="H566" s="28"/>
      <c r="I566" s="28"/>
      <c r="J566" s="26">
        <f t="array" ref="J566">SUM($G$564:$I$564*DecCours*DecPasse^(B566-$B$564-1))</f>
        <v>494.0668994458415</v>
      </c>
      <c r="K566" s="27"/>
      <c r="L566" s="30"/>
      <c r="M566" s="6"/>
    </row>
    <row r="567" spans="1:41" x14ac:dyDescent="0.25">
      <c r="A567" s="24" t="s">
        <v>10</v>
      </c>
      <c r="B567" s="25">
        <v>3</v>
      </c>
      <c r="C567" s="26">
        <v>0</v>
      </c>
      <c r="D567" s="27">
        <v>0</v>
      </c>
      <c r="E567" s="27">
        <v>0</v>
      </c>
      <c r="F567" s="27">
        <v>0</v>
      </c>
      <c r="G567" s="28"/>
      <c r="H567" s="28"/>
      <c r="I567" s="28"/>
      <c r="J567" s="26">
        <f t="array" ref="J567">SUM($G$564:$I$564*DecCours*DecPasse^(B567-$B$564-1))</f>
        <v>468.29758303939411</v>
      </c>
      <c r="K567" s="27"/>
      <c r="L567" s="30"/>
      <c r="M567" s="6"/>
    </row>
    <row r="568" spans="1:41" x14ac:dyDescent="0.25">
      <c r="A568" s="24" t="s">
        <v>10</v>
      </c>
      <c r="B568" s="25">
        <v>4</v>
      </c>
      <c r="C568" s="26">
        <v>0</v>
      </c>
      <c r="D568" s="27">
        <v>0</v>
      </c>
      <c r="E568" s="27">
        <v>0</v>
      </c>
      <c r="F568" s="27">
        <v>0</v>
      </c>
      <c r="G568" s="28"/>
      <c r="H568" s="28"/>
      <c r="I568" s="28"/>
      <c r="J568" s="26">
        <f t="array" ref="J568">SUM($G$564:$I$564*DecCours*DecPasse^(B568-$B$564-1))</f>
        <v>447.60285892685266</v>
      </c>
      <c r="K568" s="27"/>
      <c r="L568" s="30"/>
      <c r="M568" s="6"/>
    </row>
    <row r="569" spans="1:41" x14ac:dyDescent="0.25">
      <c r="A569" s="24" t="s">
        <v>10</v>
      </c>
      <c r="B569" s="25">
        <v>5</v>
      </c>
      <c r="C569" s="26">
        <v>0</v>
      </c>
      <c r="D569" s="27">
        <v>0</v>
      </c>
      <c r="E569" s="27">
        <v>0</v>
      </c>
      <c r="F569" s="27">
        <v>0</v>
      </c>
      <c r="G569" s="28"/>
      <c r="H569" s="28"/>
      <c r="I569" s="28"/>
      <c r="J569" s="26">
        <f t="array" ref="J569">SUM($G$564:$I$564*DecCours*DecPasse^(B569-$B$564-1))</f>
        <v>430.54875713006112</v>
      </c>
      <c r="K569" s="27"/>
      <c r="L569" s="30"/>
      <c r="M569" s="6"/>
    </row>
    <row r="570" spans="1:41" x14ac:dyDescent="0.25">
      <c r="A570" s="24" t="s">
        <v>10</v>
      </c>
      <c r="B570" s="25">
        <v>6</v>
      </c>
      <c r="C570" s="26">
        <v>0</v>
      </c>
      <c r="D570" s="27">
        <v>0</v>
      </c>
      <c r="E570" s="27">
        <v>0</v>
      </c>
      <c r="F570" s="27">
        <v>0</v>
      </c>
      <c r="G570" s="28"/>
      <c r="H570" s="28"/>
      <c r="I570" s="28"/>
      <c r="J570" s="26">
        <f t="array" ref="J570">SUM($G$564:$I$564*DecCours*DecPasse^(B570-$B$564-1))</f>
        <v>416.12017609133756</v>
      </c>
      <c r="K570" s="27"/>
      <c r="L570" s="30"/>
      <c r="M570" s="6"/>
    </row>
    <row r="571" spans="1:41" x14ac:dyDescent="0.25">
      <c r="A571" s="24" t="s">
        <v>10</v>
      </c>
      <c r="B571" s="25">
        <v>7</v>
      </c>
      <c r="C571" s="26">
        <v>0</v>
      </c>
      <c r="D571" s="27">
        <v>0</v>
      </c>
      <c r="E571" s="27">
        <v>0</v>
      </c>
      <c r="F571" s="27">
        <v>0</v>
      </c>
      <c r="G571" s="28"/>
      <c r="H571" s="28"/>
      <c r="I571" s="28"/>
      <c r="J571" s="26">
        <f t="array" ref="J571">SUM($G$564:$I$564*DecCours*DecPasse^(B571-$B$564-1))</f>
        <v>403.59822402238132</v>
      </c>
      <c r="K571" s="27"/>
      <c r="L571" s="30"/>
      <c r="M571" s="6"/>
    </row>
    <row r="572" spans="1:41" x14ac:dyDescent="0.25">
      <c r="A572" s="24" t="s">
        <v>10</v>
      </c>
      <c r="B572" s="25">
        <v>8</v>
      </c>
      <c r="C572" s="26">
        <v>0</v>
      </c>
      <c r="D572" s="27">
        <v>0</v>
      </c>
      <c r="E572" s="27">
        <v>0</v>
      </c>
      <c r="F572" s="27">
        <v>0</v>
      </c>
      <c r="G572" s="28"/>
      <c r="H572" s="28"/>
      <c r="I572" s="28"/>
      <c r="J572" s="26">
        <f t="array" ref="J572">SUM($G$564:$I$564*DecCours*DecPasse^(B572-$B$564-1))</f>
        <v>392.47348557003994</v>
      </c>
      <c r="K572" s="27"/>
      <c r="L572" s="30"/>
      <c r="M572" s="6"/>
    </row>
    <row r="573" spans="1:41" x14ac:dyDescent="0.25">
      <c r="A573" s="24" t="s">
        <v>10</v>
      </c>
      <c r="B573" s="25">
        <v>9</v>
      </c>
      <c r="C573" s="26">
        <v>0</v>
      </c>
      <c r="D573" s="27">
        <v>0</v>
      </c>
      <c r="E573" s="27">
        <v>0</v>
      </c>
      <c r="F573" s="27">
        <v>0</v>
      </c>
      <c r="G573" s="28"/>
      <c r="H573" s="28"/>
      <c r="I573" s="28"/>
      <c r="J573" s="26">
        <f t="array" ref="J573">SUM($G$564:$I$564*DecCours*DecPasse^(B573-$B$564-1))</f>
        <v>382.38469153057872</v>
      </c>
      <c r="K573" s="27"/>
      <c r="L573" s="30"/>
      <c r="M573" s="6"/>
    </row>
    <row r="574" spans="1:41" x14ac:dyDescent="0.25">
      <c r="A574" s="24" t="s">
        <v>10</v>
      </c>
      <c r="B574" s="25">
        <v>10</v>
      </c>
      <c r="C574" s="26">
        <v>0</v>
      </c>
      <c r="D574" s="27">
        <v>0</v>
      </c>
      <c r="E574" s="27">
        <v>0</v>
      </c>
      <c r="F574" s="27">
        <v>0</v>
      </c>
      <c r="G574" s="28"/>
      <c r="H574" s="28"/>
      <c r="I574" s="28"/>
      <c r="J574" s="26">
        <f t="array" ref="J574">SUM($G$564:$I$564*DecCours*DecPasse^(B574-$B$564-1))</f>
        <v>373.0753512448245</v>
      </c>
      <c r="K574" s="27"/>
      <c r="L574" s="30"/>
      <c r="M574" s="6"/>
    </row>
    <row r="575" spans="1:41" x14ac:dyDescent="0.25">
      <c r="A575" s="24" t="s">
        <v>10</v>
      </c>
      <c r="B575" s="25">
        <v>11</v>
      </c>
      <c r="C575" s="26">
        <v>0</v>
      </c>
      <c r="D575" s="27">
        <v>0</v>
      </c>
      <c r="E575" s="27">
        <v>0</v>
      </c>
      <c r="F575" s="27">
        <v>0</v>
      </c>
      <c r="G575" s="28"/>
      <c r="H575" s="28"/>
      <c r="I575" s="28"/>
      <c r="J575" s="26">
        <f t="array" ref="J575">SUM($G$564:$I$564*DecCours*DecPasse^(B575-$B$564-1))</f>
        <v>364.36308653946315</v>
      </c>
      <c r="K575" s="27"/>
      <c r="L575" s="30"/>
      <c r="M575" s="6"/>
    </row>
    <row r="576" spans="1:41" x14ac:dyDescent="0.25">
      <c r="A576" s="24" t="s">
        <v>10</v>
      </c>
      <c r="B576" s="25">
        <v>12</v>
      </c>
      <c r="C576" s="26">
        <v>0</v>
      </c>
      <c r="D576" s="27">
        <v>0</v>
      </c>
      <c r="E576" s="27">
        <v>0</v>
      </c>
      <c r="F576" s="27">
        <v>0</v>
      </c>
      <c r="G576" s="28"/>
      <c r="H576" s="28"/>
      <c r="I576" s="28"/>
      <c r="J576" s="26">
        <f t="array" ref="J576">SUM($G$564:$I$564*DecCours*DecPasse^(B576-$B$564-1))</f>
        <v>356.11794703015357</v>
      </c>
      <c r="K576" s="27"/>
      <c r="L576" s="30"/>
      <c r="M576" s="6"/>
    </row>
    <row r="577" spans="1:13" x14ac:dyDescent="0.25">
      <c r="A577" s="24" t="s">
        <v>10</v>
      </c>
      <c r="B577" s="25">
        <v>13</v>
      </c>
      <c r="C577" s="26">
        <v>0</v>
      </c>
      <c r="D577" s="27">
        <v>0</v>
      </c>
      <c r="E577" s="27">
        <v>0</v>
      </c>
      <c r="F577" s="27">
        <v>0</v>
      </c>
      <c r="G577" s="28"/>
      <c r="H577" s="28"/>
      <c r="I577" s="28"/>
      <c r="J577" s="26">
        <f t="array" ref="J577">SUM($G$564:$I$564*DecCours*DecPasse^(B577-$B$564-1))</f>
        <v>348.24707621858482</v>
      </c>
      <c r="K577" s="27"/>
      <c r="L577" s="30"/>
      <c r="M577" s="6"/>
    </row>
    <row r="578" spans="1:13" x14ac:dyDescent="0.25">
      <c r="A578" s="24" t="s">
        <v>10</v>
      </c>
      <c r="B578" s="25">
        <v>14</v>
      </c>
      <c r="C578" s="26">
        <v>0</v>
      </c>
      <c r="D578" s="27">
        <v>0</v>
      </c>
      <c r="E578" s="27">
        <v>0</v>
      </c>
      <c r="F578" s="27">
        <v>0</v>
      </c>
      <c r="G578" s="28"/>
      <c r="H578" s="28"/>
      <c r="I578" s="28"/>
      <c r="J578" s="26">
        <f t="array" ref="J578">SUM($G$564:$I$564*DecCours*DecPasse^(B578-$B$564-1))</f>
        <v>340.68386829080538</v>
      </c>
      <c r="K578" s="27"/>
      <c r="L578" s="30"/>
      <c r="M578" s="6"/>
    </row>
    <row r="579" spans="1:13" x14ac:dyDescent="0.25">
      <c r="A579" s="24" t="s">
        <v>10</v>
      </c>
      <c r="B579" s="25">
        <v>15</v>
      </c>
      <c r="C579" s="26">
        <v>0</v>
      </c>
      <c r="D579" s="27">
        <v>0</v>
      </c>
      <c r="E579" s="27">
        <v>0</v>
      </c>
      <c r="F579" s="27">
        <v>0</v>
      </c>
      <c r="G579" s="28"/>
      <c r="H579" s="28"/>
      <c r="I579" s="28"/>
      <c r="J579" s="26">
        <f t="array" ref="J579">SUM($G$564:$I$564*DecCours*DecPasse^(B579-$B$564-1))</f>
        <v>333.38030033240369</v>
      </c>
      <c r="K579" s="27"/>
      <c r="L579" s="30"/>
      <c r="M579" s="6"/>
    </row>
    <row r="580" spans="1:13" x14ac:dyDescent="0.25">
      <c r="A580" s="24" t="s">
        <v>10</v>
      </c>
      <c r="B580" s="25">
        <v>16</v>
      </c>
      <c r="C580" s="26">
        <v>0</v>
      </c>
      <c r="D580" s="27">
        <v>0</v>
      </c>
      <c r="E580" s="27">
        <v>0</v>
      </c>
      <c r="F580" s="27">
        <v>0</v>
      </c>
      <c r="G580" s="28"/>
      <c r="H580" s="28"/>
      <c r="I580" s="28"/>
      <c r="J580" s="26">
        <f t="array" ref="J580">SUM($G$564:$I$564*DecCours*DecPasse^(B580-$B$564-1))</f>
        <v>326.30150991372568</v>
      </c>
      <c r="K580" s="27"/>
      <c r="L580" s="30"/>
      <c r="M580" s="6"/>
    </row>
    <row r="581" spans="1:13" x14ac:dyDescent="0.25">
      <c r="A581" s="24" t="s">
        <v>10</v>
      </c>
      <c r="B581" s="25">
        <v>17</v>
      </c>
      <c r="C581" s="26">
        <v>0</v>
      </c>
      <c r="D581" s="27">
        <v>0</v>
      </c>
      <c r="E581" s="27">
        <v>0</v>
      </c>
      <c r="F581" s="27">
        <v>0</v>
      </c>
      <c r="G581" s="28"/>
      <c r="H581" s="28"/>
      <c r="I581" s="28"/>
      <c r="J581" s="26">
        <f t="array" ref="J581">SUM($G$564:$I$564*DecCours*DecPasse^(B581-$B$564-1))</f>
        <v>319.42196040245568</v>
      </c>
      <c r="K581" s="27"/>
      <c r="L581" s="30"/>
      <c r="M581" s="6"/>
    </row>
    <row r="582" spans="1:13" x14ac:dyDescent="0.25">
      <c r="A582" s="24" t="s">
        <v>10</v>
      </c>
      <c r="B582" s="25">
        <v>18</v>
      </c>
      <c r="C582" s="26">
        <v>0</v>
      </c>
      <c r="D582" s="27">
        <v>0</v>
      </c>
      <c r="E582" s="27">
        <v>0</v>
      </c>
      <c r="F582" s="27">
        <v>0</v>
      </c>
      <c r="G582" s="28"/>
      <c r="H582" s="28"/>
      <c r="I582" s="28"/>
      <c r="J582" s="26">
        <f t="array" ref="J582">SUM($G$564:$I$564*DecCours*DecPasse^(B582-$B$564-1))</f>
        <v>312.72272897970174</v>
      </c>
      <c r="K582" s="27"/>
      <c r="L582" s="30"/>
      <c r="M582" s="6"/>
    </row>
    <row r="583" spans="1:13" x14ac:dyDescent="0.25">
      <c r="A583" s="24" t="s">
        <v>10</v>
      </c>
      <c r="B583" s="25">
        <v>19</v>
      </c>
      <c r="C583" s="26">
        <v>0</v>
      </c>
      <c r="D583" s="27">
        <v>0</v>
      </c>
      <c r="E583" s="27">
        <v>0</v>
      </c>
      <c r="F583" s="27">
        <v>0</v>
      </c>
      <c r="G583" s="28"/>
      <c r="H583" s="28"/>
      <c r="I583" s="28"/>
      <c r="J583" s="26">
        <f t="array" ref="J583">SUM($G$564:$I$564*DecCours*DecPasse^(B583-$B$564-1))</f>
        <v>306.18958853780481</v>
      </c>
      <c r="K583" s="27"/>
      <c r="L583" s="30"/>
      <c r="M583" s="6"/>
    </row>
    <row r="584" spans="1:13" x14ac:dyDescent="0.25">
      <c r="A584" s="24" t="s">
        <v>10</v>
      </c>
      <c r="B584" s="25">
        <v>20</v>
      </c>
      <c r="C584" s="26">
        <v>0</v>
      </c>
      <c r="D584" s="27">
        <v>0</v>
      </c>
      <c r="E584" s="27">
        <v>0</v>
      </c>
      <c r="F584" s="27">
        <v>0</v>
      </c>
      <c r="G584" s="28"/>
      <c r="H584" s="28"/>
      <c r="I584" s="28"/>
      <c r="J584" s="26">
        <f t="array" ref="J584">SUM($G$564:$I$564*DecCours*DecPasse^(B584-$B$564-1))</f>
        <v>299.81165094751395</v>
      </c>
      <c r="K584" s="27"/>
      <c r="L584" s="30"/>
      <c r="M584" s="6"/>
    </row>
    <row r="585" spans="1:13" x14ac:dyDescent="0.25">
      <c r="A585" s="24" t="s">
        <v>10</v>
      </c>
      <c r="B585" s="25">
        <v>21</v>
      </c>
      <c r="C585" s="26">
        <v>0</v>
      </c>
      <c r="D585" s="27">
        <v>0</v>
      </c>
      <c r="E585" s="27">
        <v>0</v>
      </c>
      <c r="F585" s="27">
        <v>0</v>
      </c>
      <c r="G585" s="28"/>
      <c r="H585" s="28"/>
      <c r="I585" s="28"/>
      <c r="J585" s="26">
        <f t="array" ref="J585">SUM($G$564:$I$564*DecCours*DecPasse^(B585-$B$564-1))</f>
        <v>293.58040728321527</v>
      </c>
      <c r="K585" s="27"/>
      <c r="L585" s="30"/>
      <c r="M585" s="6"/>
    </row>
    <row r="586" spans="1:13" x14ac:dyDescent="0.25">
      <c r="A586" s="24" t="s">
        <v>10</v>
      </c>
      <c r="B586" s="25">
        <v>22</v>
      </c>
      <c r="C586" s="26">
        <v>0</v>
      </c>
      <c r="D586" s="27">
        <v>0</v>
      </c>
      <c r="E586" s="27">
        <v>0</v>
      </c>
      <c r="F586" s="27">
        <v>0</v>
      </c>
      <c r="G586" s="28"/>
      <c r="H586" s="28"/>
      <c r="I586" s="28"/>
      <c r="J586" s="26">
        <f t="array" ref="J586">SUM($G$564:$I$564*DecCours*DecPasse^(B586-$B$564-1))</f>
        <v>287.48904874962523</v>
      </c>
      <c r="K586" s="27"/>
      <c r="L586" s="30"/>
      <c r="M586" s="6"/>
    </row>
    <row r="587" spans="1:13" x14ac:dyDescent="0.25">
      <c r="A587" s="24" t="s">
        <v>10</v>
      </c>
      <c r="B587" s="25">
        <v>23</v>
      </c>
      <c r="C587" s="26">
        <v>0</v>
      </c>
      <c r="D587" s="27">
        <v>0</v>
      </c>
      <c r="E587" s="27">
        <v>0</v>
      </c>
      <c r="F587" s="27">
        <v>0</v>
      </c>
      <c r="G587" s="28"/>
      <c r="H587" s="28"/>
      <c r="I587" s="28"/>
      <c r="J587" s="26">
        <f t="array" ref="J587">SUM($G$564:$I$564*DecCours*DecPasse^(B587-$B$564-1))</f>
        <v>281.53198610389495</v>
      </c>
      <c r="K587" s="27"/>
      <c r="L587" s="30"/>
      <c r="M587" s="6"/>
    </row>
    <row r="588" spans="1:13" x14ac:dyDescent="0.25">
      <c r="A588" s="24" t="s">
        <v>10</v>
      </c>
      <c r="B588" s="25">
        <v>24</v>
      </c>
      <c r="C588" s="26">
        <v>0</v>
      </c>
      <c r="D588" s="27">
        <v>0</v>
      </c>
      <c r="E588" s="27">
        <v>0</v>
      </c>
      <c r="F588" s="27">
        <v>0</v>
      </c>
      <c r="G588" s="28"/>
      <c r="H588" s="28"/>
      <c r="I588" s="28"/>
      <c r="J588" s="26">
        <f t="array" ref="J588">SUM($G$564:$I$564*DecCours*DecPasse^(B588-$B$564-1))</f>
        <v>275.70450944443797</v>
      </c>
      <c r="K588" s="27"/>
      <c r="L588" s="30"/>
      <c r="M588" s="6"/>
    </row>
    <row r="589" spans="1:13" x14ac:dyDescent="0.25">
      <c r="A589" s="24" t="s">
        <v>10</v>
      </c>
      <c r="B589" s="35">
        <v>25</v>
      </c>
      <c r="C589" s="43">
        <f>54*C493</f>
        <v>95.04</v>
      </c>
      <c r="D589" s="27">
        <f>40%*0.84</f>
        <v>0.33600000000000002</v>
      </c>
      <c r="E589" s="27">
        <v>0</v>
      </c>
      <c r="F589" s="27">
        <v>0.6</v>
      </c>
      <c r="G589" s="28">
        <f>$C$589*D589*InfraDg*TauxC*MasseMol</f>
        <v>23.915485440000001</v>
      </c>
      <c r="H589" s="28">
        <f>$C$589*E589*InfraDg*TauxC*MasseMol</f>
        <v>0</v>
      </c>
      <c r="I589" s="28">
        <f>$C$589*F589*InfraDg*TauxC*MasseMol</f>
        <v>42.706223999999999</v>
      </c>
      <c r="J589" s="26">
        <f t="array" ref="J589">SUM($G$564:$I$564*DecCours*DecPasse^(B589-$B$564-1))</f>
        <v>270.00254726307458</v>
      </c>
      <c r="K589" s="29"/>
      <c r="L589" s="30">
        <f t="array" ref="L589">C589*SUM(D589:F589*CoefSubst)</f>
        <v>92.447308800000002</v>
      </c>
      <c r="M589" s="6"/>
    </row>
    <row r="590" spans="1:13" x14ac:dyDescent="0.25">
      <c r="A590" s="24" t="s">
        <v>10</v>
      </c>
      <c r="B590" s="35">
        <v>26</v>
      </c>
      <c r="C590" s="43">
        <v>0</v>
      </c>
      <c r="D590" s="27">
        <v>0</v>
      </c>
      <c r="E590" s="27">
        <v>0</v>
      </c>
      <c r="F590" s="27">
        <v>0</v>
      </c>
      <c r="G590" s="28"/>
      <c r="H590" s="28"/>
      <c r="I590" s="28"/>
      <c r="J590" s="26">
        <f t="array" ref="J590">SUM($G$564:$I$564*DecCours*DecPasse^(B590-$B$564-1)) + SUM($G$589:$I$589*DecCours)</f>
        <v>330.22234700191194</v>
      </c>
      <c r="K590" s="29"/>
      <c r="L590" s="30"/>
      <c r="M590" s="6"/>
    </row>
    <row r="591" spans="1:13" x14ac:dyDescent="0.25">
      <c r="A591" s="24" t="s">
        <v>10</v>
      </c>
      <c r="B591" s="35">
        <v>27</v>
      </c>
      <c r="C591" s="43">
        <v>0</v>
      </c>
      <c r="D591" s="27">
        <v>0</v>
      </c>
      <c r="E591" s="27">
        <v>0</v>
      </c>
      <c r="F591" s="27">
        <v>0</v>
      </c>
      <c r="G591" s="28"/>
      <c r="H591" s="28"/>
      <c r="I591" s="28"/>
      <c r="J591" s="26">
        <f t="array" ref="J591">SUM($G$564:$I$564*DecCours*DecPasse^(B591-$B$564-1)) + SUM($G$589:$I$589*DecCours*DecPasse^(B591-$B$589-1))</f>
        <v>323.14483057993101</v>
      </c>
      <c r="K591" s="29"/>
      <c r="L591" s="30"/>
      <c r="M591" s="6"/>
    </row>
    <row r="592" spans="1:13" x14ac:dyDescent="0.25">
      <c r="A592" s="24" t="s">
        <v>10</v>
      </c>
      <c r="B592" s="35">
        <v>28</v>
      </c>
      <c r="C592" s="43">
        <v>0</v>
      </c>
      <c r="D592" s="27">
        <v>0</v>
      </c>
      <c r="E592" s="27">
        <v>0</v>
      </c>
      <c r="F592" s="27">
        <v>0</v>
      </c>
      <c r="G592" s="28"/>
      <c r="H592" s="28"/>
      <c r="I592" s="28"/>
      <c r="J592" s="26">
        <f t="array" ref="J592">SUM($G$564:$I$564*DecCours*DecPasse^(B592-$B$564-1)) + SUM($G$589:$I$589*DecCours*DecPasse^(B592-$B$589-1))</f>
        <v>316.22357142292515</v>
      </c>
      <c r="K592" s="29"/>
      <c r="L592" s="30"/>
      <c r="M592" s="6"/>
    </row>
    <row r="593" spans="1:13" x14ac:dyDescent="0.25">
      <c r="A593" s="24" t="s">
        <v>10</v>
      </c>
      <c r="B593" s="35">
        <v>29</v>
      </c>
      <c r="C593" s="43">
        <v>0</v>
      </c>
      <c r="D593" s="27">
        <v>0</v>
      </c>
      <c r="E593" s="27">
        <v>0</v>
      </c>
      <c r="F593" s="27">
        <v>0</v>
      </c>
      <c r="G593" s="28"/>
      <c r="H593" s="28"/>
      <c r="I593" s="28"/>
      <c r="J593" s="26">
        <f t="array" ref="J593">SUM($G$564:$I$564*DecCours*DecPasse^(B593-$B$564-1)) + SUM($G$589:$I$589*DecCours*DecPasse^(B593-$B$589-1))</f>
        <v>309.45473237122138</v>
      </c>
      <c r="K593" s="29"/>
      <c r="L593" s="30"/>
      <c r="M593" s="6"/>
    </row>
    <row r="594" spans="1:13" x14ac:dyDescent="0.25">
      <c r="A594" s="24" t="s">
        <v>10</v>
      </c>
      <c r="B594" s="35">
        <v>30</v>
      </c>
      <c r="C594" s="43">
        <f>54*C493</f>
        <v>95.04</v>
      </c>
      <c r="D594" s="27">
        <f>60%*0.84</f>
        <v>0.504</v>
      </c>
      <c r="E594" s="27">
        <v>0</v>
      </c>
      <c r="F594" s="27">
        <v>0.4</v>
      </c>
      <c r="G594" s="28">
        <f>$C$594*D594*InfraDg*TauxC*MasseMol</f>
        <v>35.873228160000004</v>
      </c>
      <c r="H594" s="28">
        <f>$C$594*E594*InfraDg*TauxC*MasseMol</f>
        <v>0</v>
      </c>
      <c r="I594" s="28">
        <f>$C$594*F594*InfraDg*TauxC*MasseMol</f>
        <v>28.470816000000003</v>
      </c>
      <c r="J594" s="26">
        <f t="array" ref="J594">SUM($G$564:$I$564*DecCours*DecPasse^(B594-$B$564-1)) + SUM($G$589:$I$589*DecCours*DecPasse^(B594-$B$589-1))</f>
        <v>302.83465913743328</v>
      </c>
      <c r="K594" s="29"/>
      <c r="L594" s="30">
        <f t="array" ref="L594">C594*SUM(D594:F594*CoefSubst)</f>
        <v>102.0805632</v>
      </c>
      <c r="M594" s="6"/>
    </row>
    <row r="595" spans="1:13" x14ac:dyDescent="0.25">
      <c r="A595" s="24" t="s">
        <v>10</v>
      </c>
      <c r="B595" s="35">
        <v>31</v>
      </c>
      <c r="C595" s="43">
        <v>0</v>
      </c>
      <c r="D595" s="27">
        <v>0</v>
      </c>
      <c r="E595" s="27">
        <v>0</v>
      </c>
      <c r="F595" s="27">
        <v>0</v>
      </c>
      <c r="G595" s="28"/>
      <c r="H595" s="28"/>
      <c r="I595" s="28"/>
      <c r="J595" s="26">
        <f t="array" ref="J595">SUM($G$564:$I$564*DecCours*DecPasse^(B595-$B$564-1)) + SUM($G$589:$I$589*DecCours*DecPasse^(B595-$B$589-1)) + SUM($G$594:$I$594*DecCours)</f>
        <v>359.95993885124</v>
      </c>
      <c r="K595" s="29"/>
      <c r="L595" s="30"/>
      <c r="M595" s="6"/>
    </row>
    <row r="596" spans="1:13" x14ac:dyDescent="0.25">
      <c r="A596" s="24" t="s">
        <v>10</v>
      </c>
      <c r="B596" s="35">
        <v>32</v>
      </c>
      <c r="C596" s="43">
        <v>0</v>
      </c>
      <c r="D596" s="27">
        <v>0</v>
      </c>
      <c r="E596" s="27">
        <v>0</v>
      </c>
      <c r="F596" s="27">
        <v>0</v>
      </c>
      <c r="G596" s="28"/>
      <c r="H596" s="28"/>
      <c r="I596" s="28"/>
      <c r="J596" s="26">
        <f t="array" ref="J596">SUM($G$564:$I$564*DecCours*DecPasse^(B596-$B$564-1)) + SUM($G$589:$I$589*DecCours*DecPasse^(B596-$B$589-1)) + SUM($G$594:$I$594*DecCours*DecPasse^(B596-$B$594-1))</f>
        <v>352.1626409476761</v>
      </c>
      <c r="K596" s="29"/>
      <c r="L596" s="30"/>
      <c r="M596" s="6"/>
    </row>
    <row r="597" spans="1:13" x14ac:dyDescent="0.25">
      <c r="A597" s="24" t="s">
        <v>10</v>
      </c>
      <c r="B597" s="35">
        <v>33</v>
      </c>
      <c r="C597" s="43">
        <v>0</v>
      </c>
      <c r="D597" s="27">
        <v>0</v>
      </c>
      <c r="E597" s="27">
        <v>0</v>
      </c>
      <c r="F597" s="27">
        <v>0</v>
      </c>
      <c r="G597" s="28"/>
      <c r="H597" s="28"/>
      <c r="I597" s="28"/>
      <c r="J597" s="26">
        <f t="array" ref="J597">SUM($G$564:$I$564*DecCours*DecPasse^(B597-$B$564-1)) + SUM($G$589:$I$589*DecCours*DecPasse^(B597-$B$589-1)) + SUM($G$594:$I$594*DecCours*DecPasse^(B597-$B$594-1))</f>
        <v>344.53862139813918</v>
      </c>
      <c r="K597" s="29"/>
      <c r="L597" s="30"/>
      <c r="M597" s="6"/>
    </row>
    <row r="598" spans="1:13" x14ac:dyDescent="0.25">
      <c r="A598" s="24" t="s">
        <v>10</v>
      </c>
      <c r="B598" s="35">
        <v>34</v>
      </c>
      <c r="C598" s="43">
        <v>0</v>
      </c>
      <c r="D598" s="27">
        <v>0</v>
      </c>
      <c r="E598" s="27">
        <v>0</v>
      </c>
      <c r="F598" s="27">
        <v>0</v>
      </c>
      <c r="G598" s="28"/>
      <c r="H598" s="28"/>
      <c r="I598" s="28"/>
      <c r="J598" s="26">
        <f t="array" ref="J598">SUM($G$564:$I$564*DecCours*DecPasse^(B598-$B$564-1)) + SUM($G$589:$I$589*DecCours*DecPasse^(B598-$B$589-1)) + SUM($G$594:$I$594*DecCours*DecPasse^(B598-$B$594-1))</f>
        <v>337.08387287900655</v>
      </c>
      <c r="K598" s="29"/>
      <c r="L598" s="30"/>
      <c r="M598" s="6"/>
    </row>
    <row r="599" spans="1:13" x14ac:dyDescent="0.25">
      <c r="A599" s="24" t="s">
        <v>10</v>
      </c>
      <c r="B599" s="35">
        <v>35</v>
      </c>
      <c r="C599" s="43">
        <f>69*C493</f>
        <v>121.44</v>
      </c>
      <c r="D599" s="27">
        <f>60%*0.84</f>
        <v>0.504</v>
      </c>
      <c r="E599" s="27">
        <f>20%*0.84</f>
        <v>0.16800000000000001</v>
      </c>
      <c r="F599" s="27">
        <v>0.2</v>
      </c>
      <c r="G599" s="28">
        <f>$C$599*D599*InfraDg*TauxC*MasseMol</f>
        <v>45.838013759999996</v>
      </c>
      <c r="H599" s="28">
        <f>$C$599*E599*InfraDg*TauxC*MasseMol</f>
        <v>15.27933792</v>
      </c>
      <c r="I599" s="28">
        <f>$C$599*F599*InfraDg*TauxC*MasseMol</f>
        <v>18.189687999999997</v>
      </c>
      <c r="J599" s="26">
        <f t="array" ref="J599">SUM($G$564:$I$564*DecCours*DecPasse^(B599-$B$564-1)) + SUM($G$589:$I$589*DecCours*DecPasse^(B599-$B$589-1)) + SUM($G$594:$I$594*DecCours*DecPasse^(B599-$B$594-1))</f>
        <v>329.79449860222741</v>
      </c>
      <c r="K599" s="29"/>
      <c r="L599" s="30"/>
      <c r="M599" s="6"/>
    </row>
    <row r="600" spans="1:13" x14ac:dyDescent="0.25">
      <c r="A600" s="24" t="s">
        <v>10</v>
      </c>
      <c r="B600" s="35">
        <v>36</v>
      </c>
      <c r="C600" s="43">
        <v>0</v>
      </c>
      <c r="D600" s="27">
        <v>0</v>
      </c>
      <c r="E600" s="27">
        <v>0</v>
      </c>
      <c r="F600" s="27">
        <v>0</v>
      </c>
      <c r="G600" s="28"/>
      <c r="H600" s="28"/>
      <c r="I600" s="28"/>
      <c r="J600" s="26">
        <f t="array" ref="J600">SUM($G$564:$I$564*DecCours*DecPasse^(B600-$B$564-1)) + SUM($G$589:$I$589*DecCours*DecPasse^(B600-$B$589-1)) + SUM($G$594:$I$594*DecCours*DecPasse^(B600-$B$594-1))+ SUM($G$599:$I$599*DecCours)</f>
        <v>398.9063866176084</v>
      </c>
      <c r="K600" s="29"/>
      <c r="L600" s="30"/>
      <c r="M600" s="6"/>
    </row>
    <row r="601" spans="1:13" x14ac:dyDescent="0.25">
      <c r="A601" s="24" t="s">
        <v>10</v>
      </c>
      <c r="B601" s="35">
        <v>37</v>
      </c>
      <c r="C601" s="43">
        <v>0</v>
      </c>
      <c r="D601" s="27">
        <v>0</v>
      </c>
      <c r="E601" s="27">
        <v>0</v>
      </c>
      <c r="F601" s="27">
        <v>0</v>
      </c>
      <c r="G601" s="28"/>
      <c r="H601" s="28"/>
      <c r="I601" s="28"/>
      <c r="J601" s="26">
        <f t="array" ref="J601">SUM($G$564:$I$564*DecCours*DecPasse^(B601-$B$564-1)) + SUM($G$589:$I$589*DecCours*DecPasse^(B601-$B$589-1)) + SUM($G$594:$I$594*DecCours*DecPasse^(B601-$B$594-1))+ SUM($G$599:$I$599*DecCours*DecPasse^(B601-$B$599-1))</f>
        <v>386.77384353532921</v>
      </c>
      <c r="K601" s="29"/>
      <c r="L601" s="30"/>
      <c r="M601" s="6"/>
    </row>
    <row r="602" spans="1:13" x14ac:dyDescent="0.25">
      <c r="A602" s="24" t="s">
        <v>10</v>
      </c>
      <c r="B602" s="35">
        <v>38</v>
      </c>
      <c r="C602" s="43">
        <v>0</v>
      </c>
      <c r="D602" s="27">
        <v>0</v>
      </c>
      <c r="E602" s="27">
        <v>0</v>
      </c>
      <c r="F602" s="27">
        <v>0</v>
      </c>
      <c r="G602" s="28"/>
      <c r="H602" s="28"/>
      <c r="I602" s="28"/>
      <c r="J602" s="26">
        <f t="array" ref="J602">SUM($G$564:$I$564*DecCours*DecPasse^(B602-$B$564-1)) + SUM($G$589:$I$589*DecCours*DecPasse^(B602-$B$589-1)) + SUM($G$594:$I$594*DecCours*DecPasse^(B602-$B$594-1))+ SUM($G$599:$I$599*DecCours*DecPasse^(B602-$B$599-1))</f>
        <v>375.93418500678547</v>
      </c>
      <c r="K602" s="29"/>
      <c r="L602" s="30"/>
      <c r="M602" s="6"/>
    </row>
    <row r="603" spans="1:13" x14ac:dyDescent="0.25">
      <c r="A603" s="24" t="s">
        <v>10</v>
      </c>
      <c r="B603" s="35">
        <v>39</v>
      </c>
      <c r="C603" s="43">
        <v>0</v>
      </c>
      <c r="D603" s="27">
        <v>0</v>
      </c>
      <c r="E603" s="27">
        <v>0</v>
      </c>
      <c r="F603" s="27">
        <v>0</v>
      </c>
      <c r="G603" s="28"/>
      <c r="H603" s="28"/>
      <c r="I603" s="28"/>
      <c r="J603" s="26">
        <f t="array" ref="J603">SUM($G$564:$I$564*DecCours*DecPasse^(B603-$B$564-1)) + SUM($G$589:$I$589*DecCours*DecPasse^(B603-$B$589-1)) + SUM($G$594:$I$594*DecCours*DecPasse^(B603-$B$594-1))+ SUM($G$599:$I$599*DecCours*DecPasse^(B603-$B$599-1))</f>
        <v>366.05873712089073</v>
      </c>
      <c r="K603" s="29"/>
      <c r="L603" s="30"/>
      <c r="M603" s="6"/>
    </row>
    <row r="604" spans="1:13" x14ac:dyDescent="0.25">
      <c r="A604" s="24" t="s">
        <v>10</v>
      </c>
      <c r="B604" s="35">
        <v>40</v>
      </c>
      <c r="C604" s="43">
        <f>72*C493</f>
        <v>126.72</v>
      </c>
      <c r="D604" s="27">
        <f>60%*0.84</f>
        <v>0.504</v>
      </c>
      <c r="E604" s="27">
        <f>20%*0.84</f>
        <v>0.16800000000000001</v>
      </c>
      <c r="F604" s="27">
        <v>0.2</v>
      </c>
      <c r="G604" s="28">
        <f>$C$604*D604*InfraDg*TauxC*MasseMol</f>
        <v>47.830970880000002</v>
      </c>
      <c r="H604" s="28">
        <f>$C$604*E604*InfraDg*TauxC*MasseMol</f>
        <v>15.943656959999998</v>
      </c>
      <c r="I604" s="28">
        <f>$C$604*F604*InfraDg*TauxC*MasseMol</f>
        <v>18.980543999999998</v>
      </c>
      <c r="J604" s="26">
        <f t="array" ref="J604">SUM($G$564:$I$564*DecCours*DecPasse^(B604-$B$564-1)) + SUM($G$589:$I$589*DecCours*DecPasse^(B604-$B$589-1)) + SUM($G$594:$I$594*DecCours*DecPasse^(B604-$B$594-1))+ SUM($G$599:$I$599*DecCours*DecPasse^(B604-$B$599-1))</f>
        <v>356.91395666158212</v>
      </c>
      <c r="K604" s="29"/>
      <c r="L604" s="30"/>
      <c r="M604" s="6"/>
    </row>
    <row r="605" spans="1:13" x14ac:dyDescent="0.25">
      <c r="A605" s="24" t="s">
        <v>10</v>
      </c>
      <c r="B605" s="35">
        <v>41</v>
      </c>
      <c r="C605" s="43">
        <v>0</v>
      </c>
      <c r="D605" s="27">
        <v>0</v>
      </c>
      <c r="E605" s="27">
        <v>0</v>
      </c>
      <c r="F605" s="27">
        <v>0</v>
      </c>
      <c r="G605" s="28"/>
      <c r="H605" s="28"/>
      <c r="I605" s="28"/>
      <c r="J605" s="26">
        <f t="array" ref="J605">SUM($G$564:$I$564*DecCours*DecPasse^(B605-$B$564-1)) + SUM($G$589:$I$589*DecCours*DecPasse^(B605-$B$589-1)) + SUM($G$594:$I$594*DecCours*DecPasse^(B605-$B$594-1))+ SUM($G$599:$I$599*DecCours*DecPasse^(B605-$B$599-1))+SUM($G$604:$I$604*DecCours)</f>
        <v>427.88804508071928</v>
      </c>
      <c r="K605" s="29"/>
      <c r="L605" s="30"/>
      <c r="M605" s="6"/>
    </row>
    <row r="606" spans="1:13" x14ac:dyDescent="0.25">
      <c r="A606" s="24" t="s">
        <v>10</v>
      </c>
      <c r="B606" s="35">
        <v>42</v>
      </c>
      <c r="C606" s="43">
        <v>0</v>
      </c>
      <c r="D606" s="27">
        <v>0</v>
      </c>
      <c r="E606" s="27">
        <v>0</v>
      </c>
      <c r="F606" s="27">
        <v>0</v>
      </c>
      <c r="G606" s="28"/>
      <c r="H606" s="28"/>
      <c r="I606" s="28"/>
      <c r="J606" s="26">
        <f t="array" ref="J606">SUM($G$564:$I$564*DecCours*DecPasse^(B606-$B$564-1)) + SUM($G$589:$I$589*DecCours*DecPasse^(B606-$B$589-1)) + SUM($G$594:$I$594*DecCours*DecPasse^(B606-$B$594-1))+ SUM($G$599:$I$599*DecCours*DecPasse^(B606-$B$599-1))+SUM($G$604:$I$604*DecCours*DecPasse^(B606-$B$604-1))</f>
        <v>414.3663666262741</v>
      </c>
      <c r="K606" s="29"/>
      <c r="L606" s="30"/>
      <c r="M606" s="6"/>
    </row>
    <row r="607" spans="1:13" x14ac:dyDescent="0.25">
      <c r="A607" s="24" t="s">
        <v>10</v>
      </c>
      <c r="B607" s="35">
        <v>43</v>
      </c>
      <c r="C607" s="43">
        <v>0</v>
      </c>
      <c r="D607" s="27">
        <v>0</v>
      </c>
      <c r="E607" s="27">
        <v>0</v>
      </c>
      <c r="F607" s="27">
        <v>0</v>
      </c>
      <c r="G607" s="28"/>
      <c r="H607" s="28"/>
      <c r="I607" s="28"/>
      <c r="J607" s="26">
        <f t="array" ref="J607">SUM($G$564:$I$564*DecCours*DecPasse^(B607-$B$564-1)) + SUM($G$589:$I$589*DecCours*DecPasse^(B607-$B$589-1)) + SUM($G$594:$I$594*DecCours*DecPasse^(B607-$B$594-1))+ SUM($G$599:$I$599*DecCours*DecPasse^(B607-$B$599-1))+SUM($G$604:$I$604*DecCours*DecPasse^(B607-$B$604-1))</f>
        <v>402.39362834667799</v>
      </c>
      <c r="K607" s="29"/>
      <c r="L607" s="30"/>
      <c r="M607" s="6"/>
    </row>
    <row r="608" spans="1:13" x14ac:dyDescent="0.25">
      <c r="A608" s="24" t="s">
        <v>10</v>
      </c>
      <c r="B608" s="35">
        <v>44</v>
      </c>
      <c r="C608" s="43">
        <v>0</v>
      </c>
      <c r="D608" s="27">
        <v>0</v>
      </c>
      <c r="E608" s="27">
        <v>0</v>
      </c>
      <c r="F608" s="27">
        <v>0</v>
      </c>
      <c r="G608" s="28"/>
      <c r="H608" s="28"/>
      <c r="I608" s="28"/>
      <c r="J608" s="26">
        <f t="array" ref="J608">SUM($G$564:$I$564*DecCours*DecPasse^(B608-$B$564-1)) + SUM($G$589:$I$589*DecCours*DecPasse^(B608-$B$589-1)) + SUM($G$594:$I$594*DecCours*DecPasse^(B608-$B$594-1))+ SUM($G$599:$I$599*DecCours*DecPasse^(B608-$B$599-1))+SUM($G$604:$I$604*DecCours*DecPasse^(B608-$B$604-1))</f>
        <v>391.56943386584965</v>
      </c>
      <c r="K608" s="29"/>
      <c r="L608" s="30"/>
      <c r="M608" s="6"/>
    </row>
    <row r="609" spans="1:13" x14ac:dyDescent="0.25">
      <c r="A609" s="24" t="s">
        <v>10</v>
      </c>
      <c r="B609" s="35">
        <v>45</v>
      </c>
      <c r="C609" s="43">
        <f>66*C493</f>
        <v>116.16</v>
      </c>
      <c r="D609" s="27">
        <f>60%*0.84</f>
        <v>0.504</v>
      </c>
      <c r="E609" s="27">
        <f>30%*0.84</f>
        <v>0.252</v>
      </c>
      <c r="F609" s="27">
        <v>0.1</v>
      </c>
      <c r="G609" s="28">
        <f>$C$609*D609*InfraDg*TauxC*MasseMol</f>
        <v>43.845056639999996</v>
      </c>
      <c r="H609" s="28">
        <f>$C$609*E609*InfraDg*TauxC*MasseMol</f>
        <v>21.922528319999998</v>
      </c>
      <c r="I609" s="28">
        <f>$C$609*F609*InfraDg*TauxC*MasseMol</f>
        <v>8.6994159999999994</v>
      </c>
      <c r="J609" s="26">
        <f t="array" ref="J609">SUM($G$564:$I$564*DecCours*DecPasse^(B609-$B$564-1)) + SUM($G$589:$I$589*DecCours*DecPasse^(B609-$B$589-1)) + SUM($G$594:$I$594*DecCours*DecPasse^(B609-$B$594-1))+ SUM($G$599:$I$599*DecCours*DecPasse^(B609-$B$599-1))+SUM($G$604:$I$604*DecCours*DecPasse^(B609-$B$604-1))</f>
        <v>381.60945164326978</v>
      </c>
      <c r="K609" s="29"/>
      <c r="L609" s="30"/>
      <c r="M609" s="6"/>
    </row>
    <row r="610" spans="1:13" x14ac:dyDescent="0.25">
      <c r="A610" s="24" t="s">
        <v>10</v>
      </c>
      <c r="B610" s="35">
        <v>46</v>
      </c>
      <c r="C610" s="43">
        <f>102*C494</f>
        <v>51</v>
      </c>
      <c r="D610" s="27">
        <v>0</v>
      </c>
      <c r="E610" s="27">
        <v>0</v>
      </c>
      <c r="F610" s="27">
        <v>1</v>
      </c>
      <c r="G610" s="28">
        <f>$C$610*D610*InfraCed*TauxC*MasseMol</f>
        <v>0</v>
      </c>
      <c r="H610" s="28">
        <f>$C$610*E610*InfraCed*TauxC*MasseMol</f>
        <v>0</v>
      </c>
      <c r="I610" s="28">
        <f>$C$610*F610*InfraCed*TauxC*MasseMol</f>
        <v>31.977</v>
      </c>
      <c r="J610" s="26">
        <f t="array" ref="J610">SUM($G$564:$I$564*DecCours*DecPasse^(B610-$B$564-1)) + SUM($G$589:$I$589*DecCours*DecPasse^(B610-$B$589-1)) + SUM($G$594:$I$594*DecCours*DecPasse^(B610-$B$594-1))+ SUM($G$599:$I$599*DecCours*DecPasse^(B610-$B$599-1))+SUM($G$604:$I$604*DecCours*DecPasse^(B610-$B$604-1)) + SUM($G$609:$I$609*DecCours)</f>
        <v>442.8320962044279</v>
      </c>
      <c r="K610" s="29"/>
      <c r="L610" s="30"/>
      <c r="M610" s="6"/>
    </row>
    <row r="611" spans="1:13" x14ac:dyDescent="0.25">
      <c r="A611" s="24" t="s">
        <v>10</v>
      </c>
      <c r="B611" s="35">
        <v>47</v>
      </c>
      <c r="C611" s="43"/>
      <c r="D611" s="27">
        <v>0</v>
      </c>
      <c r="E611" s="27">
        <v>0</v>
      </c>
      <c r="F611" s="27">
        <v>0</v>
      </c>
      <c r="G611" s="28"/>
      <c r="H611" s="28"/>
      <c r="I611" s="28"/>
      <c r="J611" s="26">
        <f t="array" ref="J611">SUM($G$564:$I$564*DecCours*DecPasse^(B611-$B$564-1)) + SUM($G$589:$I$589*DecCours*DecPasse^(B611-$B$589-1)) + SUM($G$594:$I$594*DecCours*DecPasse^(B611-$B$594-1))+ SUM($G$599:$I$599*DecCours*DecPasse^(B611-$B$599-1))+SUM($G$604:$I$604*DecCours*DecPasse^(B611-$B$604-1)) + SUM($G$609:$I$609*DecCours*DecPasse^(B611-$B$609-1))+SUM($G$610:$I$610*DecCours)</f>
        <v>459.07733162461096</v>
      </c>
      <c r="K611" s="29"/>
      <c r="L611" s="30"/>
      <c r="M611" s="6"/>
    </row>
    <row r="612" spans="1:13" x14ac:dyDescent="0.25">
      <c r="A612" s="24" t="s">
        <v>10</v>
      </c>
      <c r="B612" s="35">
        <v>48</v>
      </c>
      <c r="C612" s="43"/>
      <c r="D612" s="27">
        <v>0</v>
      </c>
      <c r="E612" s="27">
        <v>0</v>
      </c>
      <c r="F612" s="27">
        <v>0</v>
      </c>
      <c r="G612" s="28"/>
      <c r="H612" s="28"/>
      <c r="I612" s="28"/>
      <c r="J612" s="26">
        <f t="array" ref="J612">SUM($G$564:$I$564*DecCours*DecPasse^(B612-$B$564-1)) + SUM($G$589:$I$589*DecCours*DecPasse^(B612-$B$589-1)) + SUM($G$594:$I$594*DecCours*DecPasse^(B612-$B$594-1))+ SUM($G$599:$I$599*DecCours*DecPasse^(B612-$B$599-1))+SUM($G$604:$I$604*DecCours*DecPasse^(B612-$B$604-1)) + SUM($G$609:$I$609*DecCours*DecPasse^(B612-$B$609-1))+SUM($G$610:$I$610*DecCours*DecPasse^(B612-$B$610-1))</f>
        <v>444.94963226232005</v>
      </c>
      <c r="K612" s="29"/>
      <c r="L612" s="30"/>
      <c r="M612" s="6"/>
    </row>
    <row r="613" spans="1:13" x14ac:dyDescent="0.25">
      <c r="A613" s="24" t="s">
        <v>10</v>
      </c>
      <c r="B613" s="35">
        <v>49</v>
      </c>
      <c r="C613" s="43"/>
      <c r="D613" s="27">
        <v>0</v>
      </c>
      <c r="E613" s="27">
        <v>0</v>
      </c>
      <c r="F613" s="27">
        <v>0</v>
      </c>
      <c r="G613" s="28"/>
      <c r="H613" s="28"/>
      <c r="I613" s="28"/>
      <c r="J613" s="26">
        <f t="array" ref="J613">SUM($G$564:$I$564*DecCours*DecPasse^(B613-$B$564-1)) + SUM($G$589:$I$589*DecCours*DecPasse^(B613-$B$589-1)) + SUM($G$594:$I$594*DecCours*DecPasse^(B613-$B$594-1))+ SUM($G$599:$I$599*DecCours*DecPasse^(B613-$B$599-1))+SUM($G$604:$I$604*DecCours*DecPasse^(B613-$B$604-1)) + SUM($G$609:$I$609*DecCours*DecPasse^(B613-$B$609-1))+SUM($G$610:$I$610*DecCours*DecPasse^(B613-$B$610-1))</f>
        <v>432.33276680332983</v>
      </c>
      <c r="K613" s="29"/>
      <c r="L613" s="30"/>
      <c r="M613" s="6"/>
    </row>
    <row r="614" spans="1:13" x14ac:dyDescent="0.25">
      <c r="A614" s="24" t="s">
        <v>10</v>
      </c>
      <c r="B614" s="35">
        <v>50</v>
      </c>
      <c r="C614" s="43">
        <f>48*C493</f>
        <v>84.48</v>
      </c>
      <c r="D614" s="27">
        <f>60%*0.84</f>
        <v>0.504</v>
      </c>
      <c r="E614" s="27">
        <f>30%*0.84</f>
        <v>0.252</v>
      </c>
      <c r="F614" s="27">
        <v>0.1</v>
      </c>
      <c r="G614" s="28">
        <f>$C$614*D614*InfraDg*TauxC*MasseMol</f>
        <v>31.887313919999997</v>
      </c>
      <c r="H614" s="28">
        <f>$C$614*E614*InfraDg*TauxC*MasseMol</f>
        <v>15.943656959999998</v>
      </c>
      <c r="I614" s="28">
        <f>$C$614*F614*InfraDg*TauxC*MasseMol</f>
        <v>6.326848</v>
      </c>
      <c r="J614" s="26">
        <f t="array" ref="J614">SUM($G$564:$I$564*DecCours*DecPasse^(B614-$B$564-1)) + SUM($G$589:$I$589*DecCours*DecPasse^(B614-$B$589-1)) + SUM($G$594:$I$594*DecCours*DecPasse^(B614-$B$594-1))+ SUM($G$599:$I$599*DecCours*DecPasse^(B614-$B$599-1))+SUM($G$604:$I$604*DecCours*DecPasse^(B614-$B$604-1)) + SUM($G$609:$I$609*DecCours*DecPasse^(B614-$B$609-1))+SUM($G$610:$I$610*DecCours*DecPasse^(B614-$B$610-1))</f>
        <v>420.84305010742804</v>
      </c>
      <c r="K614" s="29"/>
      <c r="L614" s="30"/>
      <c r="M614" s="6"/>
    </row>
    <row r="615" spans="1:13" x14ac:dyDescent="0.25">
      <c r="A615" s="24" t="s">
        <v>10</v>
      </c>
      <c r="B615" s="35">
        <v>51</v>
      </c>
      <c r="C615" s="43">
        <v>0</v>
      </c>
      <c r="D615" s="27">
        <v>0</v>
      </c>
      <c r="E615" s="27">
        <v>0</v>
      </c>
      <c r="F615" s="27">
        <v>0</v>
      </c>
      <c r="G615" s="28"/>
      <c r="H615" s="28"/>
      <c r="I615" s="28"/>
      <c r="J615" s="26">
        <f t="array" ref="J615">SUM($G$564:$I$564*DecCours*DecPasse^(B615-$B$564-1)) + SUM($G$589:$I$589*DecCours*DecPasse^(B615-$B$589-1)) + SUM($G$594:$I$594*DecCours*DecPasse^(B615-$B$594-1))+ SUM($G$599:$I$599*DecCours*DecPasse^(B615-$B$599-1))+SUM($G$604:$I$604*DecCours*DecPasse^(B615-$B$604-1)) + SUM($G$609:$I$609*DecCours*DecPasse^(B615-$B$609-1))+SUM($G$610:$I$610*DecCours*DecPasse^(B615-$B$610-1))+SUM($G$614:$I$614*DecCours)</f>
        <v>461.49556601884638</v>
      </c>
      <c r="K615" s="29"/>
      <c r="L615" s="30"/>
      <c r="M615" s="6"/>
    </row>
    <row r="616" spans="1:13" x14ac:dyDescent="0.25">
      <c r="A616" s="24" t="s">
        <v>10</v>
      </c>
      <c r="B616" s="35">
        <v>52</v>
      </c>
      <c r="C616" s="43">
        <v>0</v>
      </c>
      <c r="D616" s="27">
        <v>0</v>
      </c>
      <c r="E616" s="27">
        <v>0</v>
      </c>
      <c r="F616" s="27">
        <v>0</v>
      </c>
      <c r="G616" s="28"/>
      <c r="H616" s="28"/>
      <c r="I616" s="28"/>
      <c r="J616" s="26">
        <f t="array" ref="J616">SUM($G$564:$I$564*DecCours*DecPasse^(B616-$B$564-1))+SUM($G$589:$I$589*DecCours*DecPasse^(B616-$B$589-1))+SUM($G$594:$I$594*DecCours*DecPasse^(B616-$B$594-1))+SUM($G$599:$I$599*DecCours*DecPasse^(B616-$B$599-1))+SUM($G$604:$I$604*DecCours*DecPasse^(B616-$B$604-1))+SUM($G$609:$I$609*DecCours*DecPasse^(B616-$B$609-1))+SUM($G$610:$I$610*DecCours*DecPasse^(B616-$B$610-1))+SUM($G$614:$I$614*DecCours*DecPasse^(B616-$B$614-1))</f>
        <v>446.7844435420908</v>
      </c>
      <c r="K616" s="29"/>
      <c r="L616" s="30"/>
      <c r="M616" s="6"/>
    </row>
    <row r="617" spans="1:13" x14ac:dyDescent="0.25">
      <c r="A617" s="24" t="s">
        <v>10</v>
      </c>
      <c r="B617" s="35">
        <v>53</v>
      </c>
      <c r="C617" s="43">
        <v>0</v>
      </c>
      <c r="D617" s="27">
        <v>0</v>
      </c>
      <c r="E617" s="27">
        <v>0</v>
      </c>
      <c r="F617" s="27">
        <v>0</v>
      </c>
      <c r="G617" s="28"/>
      <c r="H617" s="28"/>
      <c r="I617" s="28"/>
      <c r="J617" s="26">
        <f t="array" ref="J617">SUM($G$564:$I$564*DecCours*DecPasse^(B617-$B$564-1))+SUM($G$589:$I$589*DecCours*DecPasse^(B617-$B$589-1))+SUM($G$594:$I$594*DecCours*DecPasse^(B617-$B$594-1))+SUM($G$599:$I$599*DecCours*DecPasse^(B617-$B$599-1))+SUM($G$604:$I$604*DecCours*DecPasse^(B617-$B$604-1))+SUM($G$609:$I$609*DecCours*DecPasse^(B617-$B$609-1))+SUM($G$610:$I$610*DecCours*DecPasse^(B617-$B$610-1))+SUM($G$614:$I$614*DecCours*DecPasse^(B617-$B$614-1))</f>
        <v>433.76784132757484</v>
      </c>
      <c r="K617" s="29"/>
      <c r="L617" s="30"/>
      <c r="M617" s="6"/>
    </row>
    <row r="618" spans="1:13" x14ac:dyDescent="0.25">
      <c r="A618" s="24" t="s">
        <v>10</v>
      </c>
      <c r="B618" s="35">
        <v>54</v>
      </c>
      <c r="C618" s="43">
        <v>0</v>
      </c>
      <c r="D618" s="27">
        <v>0</v>
      </c>
      <c r="E618" s="27">
        <v>0</v>
      </c>
      <c r="F618" s="27">
        <v>0</v>
      </c>
      <c r="G618" s="28"/>
      <c r="H618" s="28"/>
      <c r="I618" s="28"/>
      <c r="J618" s="26">
        <f t="array" ref="J618">SUM($G$564:$I$564*DecCours*DecPasse^(B618-$B$564-1))+SUM($G$589:$I$589*DecCours*DecPasse^(B618-$B$589-1))+SUM($G$594:$I$594*DecCours*DecPasse^(B618-$B$594-1))+SUM($G$599:$I$599*DecCours*DecPasse^(B618-$B$599-1))+SUM($G$604:$I$604*DecCours*DecPasse^(B618-$B$604-1))+SUM($G$609:$I$609*DecCours*DecPasse^(B618-$B$609-1))+SUM($G$610:$I$610*DecCours*DecPasse^(B618-$B$610-1))+SUM($G$614:$I$614*DecCours*DecPasse^(B618-$B$614-1))</f>
        <v>422.00760550923849</v>
      </c>
      <c r="K618" s="29"/>
      <c r="L618" s="30"/>
      <c r="M618" s="6"/>
    </row>
    <row r="619" spans="1:13" x14ac:dyDescent="0.25">
      <c r="A619" s="24" t="s">
        <v>10</v>
      </c>
      <c r="B619" s="35">
        <v>55</v>
      </c>
      <c r="C619" s="43">
        <f>35*C493</f>
        <v>61.6</v>
      </c>
      <c r="D619" s="27">
        <f>55%*0.84</f>
        <v>0.46200000000000002</v>
      </c>
      <c r="E619" s="27">
        <f>35%*0.84</f>
        <v>0.29399999999999998</v>
      </c>
      <c r="F619" s="27">
        <v>0.1</v>
      </c>
      <c r="G619" s="28">
        <f>$C$619*D619*InfraDg*TauxC*MasseMol</f>
        <v>21.3135692</v>
      </c>
      <c r="H619" s="28">
        <f>$C$619*E619*InfraDg*TauxC*MasseMol</f>
        <v>13.563180399999998</v>
      </c>
      <c r="I619" s="28">
        <f>$C$619*F619*InfraDg*TauxC*MasseMol</f>
        <v>4.6133266666666657</v>
      </c>
      <c r="J619" s="26">
        <f t="array" ref="J619">SUM($G$564:$I$564*DecCours*DecPasse^(B619-$B$564-1))+SUM($G$589:$I$589*DecCours*DecPasse^(B619-$B$589-1))+SUM($G$594:$I$594*DecCours*DecPasse^(B619-$B$594-1))+SUM($G$599:$I$599*DecCours*DecPasse^(B619-$B$599-1))+SUM($G$604:$I$604*DecCours*DecPasse^(B619-$B$604-1))+SUM($G$609:$I$609*DecCours*DecPasse^(B619-$B$609-1))+SUM($G$610:$I$610*DecCours*DecPasse^(B619-$B$610-1))+SUM($G$614:$I$614*DecCours*DecPasse^(B619-$B$614-1))</f>
        <v>411.1925854864129</v>
      </c>
      <c r="K619" s="29"/>
      <c r="L619" s="30"/>
      <c r="M619" s="6"/>
    </row>
    <row r="620" spans="1:13" x14ac:dyDescent="0.25">
      <c r="A620" s="24" t="s">
        <v>10</v>
      </c>
      <c r="B620" s="35">
        <v>56</v>
      </c>
      <c r="C620" s="43">
        <f>91*C494</f>
        <v>45.5</v>
      </c>
      <c r="D620" s="27">
        <v>0</v>
      </c>
      <c r="E620" s="27">
        <v>0</v>
      </c>
      <c r="F620" s="27">
        <v>1</v>
      </c>
      <c r="G620" s="28">
        <f>$C$620*D620*InfraCed*TauxC*MasseMol</f>
        <v>0</v>
      </c>
      <c r="H620" s="28">
        <f>$C$620*E620*InfraCed*TauxC*MasseMol</f>
        <v>0</v>
      </c>
      <c r="I620" s="28">
        <f>$C$620*F620*InfraCed*TauxC*MasseMol</f>
        <v>28.528499999999994</v>
      </c>
      <c r="J620" s="26">
        <f t="array" ref="J620">SUM($G$564:$I$564*DecCours*DecPasse^(B620-$B$564-1))+SUM($G$589:$I$589*DecCours*DecPasse^(B620-$B$589-1))+SUM($G$594:$I$594*DecCours*DecPasse^(B620-$B$594-1))+SUM($G$599:$I$599*DecCours*DecPasse^(B620-$B$599-1))+SUM($G$604:$I$604*DecCours*DecPasse^(B620-$B$604-1))+SUM($G$609:$I$609*DecCours*DecPasse^(B620-$B$609-1))+SUM($G$610:$I$610*DecCours*DecPasse^(B620-$B$610-1))+SUM($G$614:$I$614*DecCours*DecPasse^(B620-$B$614-1)) + SUM($G$619:$I$619*DecCours)</f>
        <v>438.21772802401347</v>
      </c>
      <c r="K620" s="29"/>
      <c r="L620" s="30"/>
      <c r="M620" s="6"/>
    </row>
    <row r="621" spans="1:13" x14ac:dyDescent="0.25">
      <c r="A621" s="24" t="s">
        <v>10</v>
      </c>
      <c r="B621" s="35">
        <v>57</v>
      </c>
      <c r="C621" s="43">
        <v>0</v>
      </c>
      <c r="D621" s="27">
        <v>0</v>
      </c>
      <c r="E621" s="27">
        <v>0</v>
      </c>
      <c r="F621" s="27">
        <v>0</v>
      </c>
      <c r="G621" s="28"/>
      <c r="H621" s="28"/>
      <c r="I621" s="28"/>
      <c r="J621" s="26">
        <f t="array" ref="J621">SUM($G$564:$I$564*DecCours*DecPasse^(B621-$B$564-1))+SUM($G$589:$I$589*DecCours*DecPasse^(B621-$B$589-1))+SUM($G$594:$I$594*DecCours*DecPasse^(B621-$B$594-1))+SUM($G$599:$I$599*DecCours*DecPasse^(B621-$B$599-1))+SUM($G$604:$I$604*DecCours*DecPasse^(B621-$B$604-1))+SUM($G$609:$I$609*DecCours*DecPasse^(B621-$B$609-1))+SUM($G$610:$I$610*DecCours*DecPasse^(B621-$B$610-1))+SUM($G$614:$I$614*DecCours*DecPasse^(B621-$B$614-1)) + SUM($G$619:$I$619*DecCours*DecPasse^(B621-$B$619-1)+SUM($G$620:$I$620*DecCours))</f>
        <v>509.20716143477466</v>
      </c>
      <c r="K621" s="29"/>
      <c r="L621" s="30"/>
      <c r="M621" s="6"/>
    </row>
    <row r="622" spans="1:13" x14ac:dyDescent="0.25">
      <c r="A622" s="24" t="s">
        <v>10</v>
      </c>
      <c r="B622" s="35">
        <v>58</v>
      </c>
      <c r="C622" s="43">
        <v>0</v>
      </c>
      <c r="D622" s="27">
        <v>0</v>
      </c>
      <c r="E622" s="27">
        <v>0</v>
      </c>
      <c r="F622" s="27">
        <v>0</v>
      </c>
      <c r="G622" s="28"/>
      <c r="H622" s="28"/>
      <c r="I622" s="28"/>
      <c r="J622" s="26">
        <f t="array" ref="J622">SUM($G$564:$I$564*DecCours*DecPasse^(B622-$B$564-1))+SUM($G$589:$I$589*DecCours*DecPasse^(B622-$B$589-1))+SUM($G$594:$I$594*DecCours*DecPasse^(B622-$B$594-1))+SUM($G$599:$I$599*DecCours*DecPasse^(B622-$B$599-1))+SUM($G$604:$I$604*DecCours*DecPasse^(B622-$B$604-1))+SUM($G$609:$I$609*DecCours*DecPasse^(B622-$B$609-1))+SUM($G$610:$I$610*DecCours*DecPasse^(B622-$B$610-1))+SUM($G$614:$I$614*DecCours*DecPasse^(B622-$B$614-1))+SUM($G$619:$I$619*DecCours*DecPasse^(B622-$B$619-1)+SUM($G$620:$I$620*DecCours*DecPasse^(B622-$B$620-1)))</f>
        <v>494.9266636121958</v>
      </c>
      <c r="K622" s="29"/>
      <c r="L622" s="30"/>
      <c r="M622" s="6"/>
    </row>
    <row r="623" spans="1:13" x14ac:dyDescent="0.25">
      <c r="A623" s="24" t="s">
        <v>10</v>
      </c>
      <c r="B623" s="35">
        <v>59</v>
      </c>
      <c r="C623" s="43">
        <v>0</v>
      </c>
      <c r="D623" s="27">
        <v>0</v>
      </c>
      <c r="E623" s="27">
        <v>0</v>
      </c>
      <c r="F623" s="27">
        <v>0</v>
      </c>
      <c r="G623" s="28"/>
      <c r="H623" s="28"/>
      <c r="I623" s="28"/>
      <c r="J623" s="26">
        <f t="array" ref="J623">SUM($G$564:$I$564*DecCours*DecPasse^(B623-$B$564-1))+SUM($G$589:$I$589*DecCours*DecPasse^(B623-$B$589-1))+SUM($G$594:$I$594*DecCours*DecPasse^(B623-$B$594-1))+SUM($G$599:$I$599*DecCours*DecPasse^(B623-$B$599-1))+SUM($G$604:$I$604*DecCours*DecPasse^(B623-$B$604-1))+SUM($G$609:$I$609*DecCours*DecPasse^(B623-$B$609-1))+SUM($G$610:$I$610*DecCours*DecPasse^(B623-$B$610-1))+SUM($G$614:$I$614*DecCours*DecPasse^(B623-$B$614-1))+SUM($G$619:$I$619*DecCours*DecPasse^(B623-$B$619-1)+SUM($G$620:$I$620*DecCours*DecPasse^(B623-$B$620-1)))</f>
        <v>481.78824548183104</v>
      </c>
      <c r="K623" s="29"/>
      <c r="L623" s="30"/>
      <c r="M623" s="6"/>
    </row>
    <row r="624" spans="1:13" x14ac:dyDescent="0.25">
      <c r="A624" s="24" t="s">
        <v>10</v>
      </c>
      <c r="B624" s="25">
        <v>60</v>
      </c>
      <c r="C624" s="26">
        <f>29*C493</f>
        <v>51.04</v>
      </c>
      <c r="D624" s="27">
        <f>55%*0.84</f>
        <v>0.46200000000000002</v>
      </c>
      <c r="E624" s="27">
        <f>35%*0.84</f>
        <v>0.29399999999999998</v>
      </c>
      <c r="F624" s="27">
        <v>0.1</v>
      </c>
      <c r="G624" s="28">
        <f>$C$624*D624*InfraDg*TauxC*MasseMol</f>
        <v>17.659814479999998</v>
      </c>
      <c r="H624" s="28">
        <f>$C$624*E624*InfraDg*TauxC*MasseMol</f>
        <v>11.238063759999998</v>
      </c>
      <c r="I624" s="28">
        <f>$C$624*F624*InfraDg*TauxC*MasseMol</f>
        <v>3.8224706666666664</v>
      </c>
      <c r="J624" s="26">
        <f t="array" ref="J624">SUM($G$564:$I$564*DecCours*DecPasse^(B624-$B$564-1))+SUM($G$589:$I$589*DecCours*DecPasse^(B624-$B$589-1))+SUM($G$594:$I$594*DecCours*DecPasse^(B624-$B$594-1))+SUM($G$599:$I$599*DecCours*DecPasse^(B624-$B$599-1))+SUM($G$604:$I$604*DecCours*DecPasse^(B624-$B$604-1))+SUM($G$609:$I$609*DecCours*DecPasse^(B624-$B$609-1))+SUM($G$610:$I$610*DecCours*DecPasse^(B624-$B$610-1))+SUM($G$614:$I$614*DecCours*DecPasse^(B624-$B$614-1))+SUM($G$619:$I$619*DecCours*DecPasse^(B624-$B$619-1)+SUM($G$620:$I$620*DecCours*DecPasse^(B624-$B$620-1)))</f>
        <v>469.52785232757242</v>
      </c>
      <c r="K624" s="29"/>
      <c r="L624" s="30"/>
      <c r="M624" s="6"/>
    </row>
    <row r="625" spans="1:13" x14ac:dyDescent="0.25">
      <c r="A625" s="24" t="s">
        <v>10</v>
      </c>
      <c r="B625" s="25">
        <v>61</v>
      </c>
      <c r="C625" s="43">
        <v>0</v>
      </c>
      <c r="D625" s="27">
        <v>0</v>
      </c>
      <c r="E625" s="27">
        <v>0</v>
      </c>
      <c r="F625" s="27">
        <v>0</v>
      </c>
      <c r="G625" s="28"/>
      <c r="H625" s="28"/>
      <c r="I625" s="28"/>
      <c r="J625" s="26">
        <f t="array" ref="J625">SUM($G$564:$I$564*DecCours*DecPasse^(B625-$B$564-1))+SUM($G$589:$I$589*DecCours*DecPasse^(B625-$B$589-1))+SUM($G$594:$I$594*DecCours*DecPasse^(B625-$B$594-1))+SUM($G$599:$I$599*DecCours*DecPasse^(B625-$B$599-1))+SUM($G$604:$I$604*DecCours*DecPasse^(B625-$B$604-1))+SUM($G$609:$I$609*DecCours*DecPasse^(B625-$B$609-1))+SUM($G$610:$I$610*DecCours*DecPasse^(B625-$B$610-1))+SUM($G$614:$I$614*DecCours*DecPasse^(B625-$B$614-1))+SUM($G$619:$I$619*DecCours*DecPasse^(B625-$B$619-1)+SUM($G$620:$I$620*DecCours*DecPasse^(B625-$B$620-1))) + SUM($G$624:$I$624*DecCours)</f>
        <v>488.71056525278482</v>
      </c>
      <c r="K625" s="29"/>
      <c r="L625" s="30"/>
      <c r="M625" s="6"/>
    </row>
    <row r="626" spans="1:13" x14ac:dyDescent="0.25">
      <c r="A626" s="24" t="s">
        <v>10</v>
      </c>
      <c r="B626" s="25">
        <v>62</v>
      </c>
      <c r="C626" s="43">
        <v>0</v>
      </c>
      <c r="D626" s="27">
        <v>0</v>
      </c>
      <c r="E626" s="27">
        <v>0</v>
      </c>
      <c r="F626" s="27">
        <v>0</v>
      </c>
      <c r="G626" s="28"/>
      <c r="H626" s="28"/>
      <c r="I626" s="28"/>
      <c r="J626" s="26">
        <f t="array" ref="J626">SUM($G$564:$I$564*DecCours*DecPasse^(B626-$B$564-1))+SUM($G$589:$I$589*DecCours*DecPasse^(B626-$B$589-1))+SUM($G$594:$I$594*DecCours*DecPasse^(B626-$B$594-1))+SUM($G$599:$I$599*DecCours*DecPasse^(B626-$B$599-1))+SUM($G$604:$I$604*DecCours*DecPasse^(B626-$B$604-1))+SUM($G$609:$I$609*DecCours*DecPasse^(B626-$B$609-1))+SUM($G$610:$I$610*DecCours*DecPasse^(B626-$B$610-1))+SUM($G$614:$I$614*DecCours*DecPasse^(B626-$B$614-1))+SUM($G$619:$I$619*DecCours*DecPasse^(B626-$B$619-1)+SUM($G$620:$I$620*DecCours*DecPasse^(B626-$B$620-1))) + SUM($G$624:$I$624*DecCours*DecPasse^(B626-$B$624-1))</f>
        <v>474.46687716162262</v>
      </c>
      <c r="K626" s="29"/>
      <c r="L626" s="30"/>
      <c r="M626" s="6"/>
    </row>
    <row r="627" spans="1:13" x14ac:dyDescent="0.25">
      <c r="A627" s="24" t="s">
        <v>10</v>
      </c>
      <c r="B627" s="25">
        <v>63</v>
      </c>
      <c r="C627" s="43">
        <v>0</v>
      </c>
      <c r="D627" s="27">
        <v>0</v>
      </c>
      <c r="E627" s="27">
        <v>0</v>
      </c>
      <c r="F627" s="27">
        <v>0</v>
      </c>
      <c r="G627" s="28"/>
      <c r="H627" s="28"/>
      <c r="I627" s="28"/>
      <c r="J627" s="26">
        <f t="array" ref="J627">SUM($G$564:$I$564*DecCours*DecPasse^(B627-$B$564-1))+SUM($G$589:$I$589*DecCours*DecPasse^(B627-$B$589-1))+SUM($G$594:$I$594*DecCours*DecPasse^(B627-$B$594-1))+SUM($G$599:$I$599*DecCours*DecPasse^(B627-$B$599-1))+SUM($G$604:$I$604*DecCours*DecPasse^(B627-$B$604-1))+SUM($G$609:$I$609*DecCours*DecPasse^(B627-$B$609-1))+SUM($G$610:$I$610*DecCours*DecPasse^(B627-$B$610-1))+SUM($G$614:$I$614*DecCours*DecPasse^(B627-$B$614-1))+SUM($G$619:$I$619*DecCours*DecPasse^(B627-$B$619-1)+SUM($G$620:$I$620*DecCours*DecPasse^(B627-$B$620-1))) + SUM($G$624:$I$624*DecCours*DecPasse^(B627-$B$624-1))</f>
        <v>461.50531316123249</v>
      </c>
      <c r="K627" s="29"/>
      <c r="L627" s="30"/>
      <c r="M627" s="6"/>
    </row>
    <row r="628" spans="1:13" x14ac:dyDescent="0.25">
      <c r="A628" s="24" t="s">
        <v>10</v>
      </c>
      <c r="B628" s="25">
        <v>64</v>
      </c>
      <c r="C628" s="43">
        <v>0</v>
      </c>
      <c r="D628" s="27">
        <v>0</v>
      </c>
      <c r="E628" s="27">
        <v>0</v>
      </c>
      <c r="F628" s="27">
        <v>0</v>
      </c>
      <c r="G628" s="28"/>
      <c r="H628" s="28"/>
      <c r="I628" s="28"/>
      <c r="J628" s="26">
        <f t="array" ref="J628">SUM($G$564:$I$564*DecCours*DecPasse^(B628-$B$564-1))+SUM($G$589:$I$589*DecCours*DecPasse^(B628-$B$589-1))+SUM($G$594:$I$594*DecCours*DecPasse^(B628-$B$594-1))+SUM($G$599:$I$599*DecCours*DecPasse^(B628-$B$599-1))+SUM($G$604:$I$604*DecCours*DecPasse^(B628-$B$604-1))+SUM($G$609:$I$609*DecCours*DecPasse^(B628-$B$609-1))+SUM($G$610:$I$610*DecCours*DecPasse^(B628-$B$610-1))+SUM($G$614:$I$614*DecCours*DecPasse^(B628-$B$614-1))+SUM($G$619:$I$619*DecCours*DecPasse^(B628-$B$619-1)+SUM($G$620:$I$620*DecCours*DecPasse^(B628-$B$620-1))) + SUM($G$624:$I$624*DecCours*DecPasse^(B628-$B$624-1))</f>
        <v>449.51691790100648</v>
      </c>
      <c r="K628" s="29"/>
      <c r="L628" s="30"/>
      <c r="M628" s="6"/>
    </row>
    <row r="629" spans="1:13" x14ac:dyDescent="0.25">
      <c r="A629" s="24" t="s">
        <v>10</v>
      </c>
      <c r="B629" s="25">
        <v>65</v>
      </c>
      <c r="C629" s="26">
        <v>0</v>
      </c>
      <c r="D629" s="27">
        <v>0</v>
      </c>
      <c r="E629" s="27">
        <v>0</v>
      </c>
      <c r="F629" s="27">
        <v>0</v>
      </c>
      <c r="G629" s="28"/>
      <c r="H629" s="28"/>
      <c r="I629" s="28"/>
      <c r="J629" s="26">
        <f t="array" ref="J629">SUM($G$564:$I$564*DecCours*DecPasse^(B629-$B$564-1))+SUM($G$589:$I$589*DecCours*DecPasse^(B629-$B$589-1))+SUM($G$594:$I$594*DecCours*DecPasse^(B629-$B$594-1))+SUM($G$599:$I$599*DecCours*DecPasse^(B629-$B$599-1))+SUM($G$604:$I$604*DecCours*DecPasse^(B629-$B$604-1))+SUM($G$609:$I$609*DecCours*DecPasse^(B629-$B$609-1))+SUM($G$610:$I$610*DecCours*DecPasse^(B629-$B$610-1))+SUM($G$614:$I$614*DecCours*DecPasse^(B629-$B$614-1))+SUM($G$619:$I$619*DecCours*DecPasse^(B629-$B$619-1)+SUM($G$620:$I$620*DecCours*DecPasse^(B629-$B$620-1))) + SUM($G$624:$I$624*DecCours*DecPasse^(B629-$B$624-1))</f>
        <v>438.28165073960105</v>
      </c>
      <c r="K629" s="29"/>
      <c r="L629" s="30"/>
      <c r="M629" s="6"/>
    </row>
    <row r="630" spans="1:13" x14ac:dyDescent="0.25">
      <c r="A630" s="24" t="s">
        <v>10</v>
      </c>
      <c r="B630" s="35">
        <v>66</v>
      </c>
      <c r="C630" s="26">
        <f>101*C494</f>
        <v>50.5</v>
      </c>
      <c r="D630" s="27">
        <f>50%*0.84</f>
        <v>0.42</v>
      </c>
      <c r="E630" s="27">
        <v>0</v>
      </c>
      <c r="F630" s="27">
        <v>0.5</v>
      </c>
      <c r="G630" s="28">
        <f>$C$630*D630*InfraCed*TauxC*MasseMol</f>
        <v>13.29867</v>
      </c>
      <c r="H630" s="28">
        <f>$C$630*E630*InfraCed*TauxC*MasseMol</f>
        <v>0</v>
      </c>
      <c r="I630" s="28">
        <f>$C$630*F630*InfraCed*TauxC*MasseMol</f>
        <v>15.831749999999996</v>
      </c>
      <c r="J630" s="26">
        <f t="array" ref="J630">SUM($G$564:$I$564*DecCours*DecPasse^(B630-$B$564-1))+SUM($G$589:$I$589*DecCours*DecPasse^(B630-$B$589-1))+SUM($G$594:$I$594*DecCours*DecPasse^(B630-$B$594-1))+SUM($G$599:$I$599*DecCours*DecPasse^(B630-$B$599-1))+SUM($G$604:$I$604*DecCours*DecPasse^(B630-$B$604-1))+SUM($G$609:$I$609*DecCours*DecPasse^(B630-$B$609-1))+SUM($G$610:$I$610*DecCours*DecPasse^(B630-$B$610-1))+SUM($G$614:$I$614*DecCours*DecPasse^(B630-$B$614-1))+SUM($G$619:$I$619*DecCours*DecPasse^(B630-$B$619-1)+SUM($G$620:$I$620*DecCours*DecPasse^(B630-$B$620-1))) + SUM($G$624:$I$624*DecCours*DecPasse^(B630-$B$624-1))</f>
        <v>427.64238154376437</v>
      </c>
      <c r="K630" s="29"/>
      <c r="L630" s="30"/>
      <c r="M630" s="6"/>
    </row>
    <row r="631" spans="1:13" x14ac:dyDescent="0.25">
      <c r="A631" s="24" t="s">
        <v>10</v>
      </c>
      <c r="B631" s="35">
        <v>67</v>
      </c>
      <c r="C631" s="26">
        <v>0</v>
      </c>
      <c r="D631" s="27">
        <v>0</v>
      </c>
      <c r="E631" s="27">
        <v>0</v>
      </c>
      <c r="F631" s="27">
        <v>0</v>
      </c>
      <c r="G631" s="28"/>
      <c r="H631" s="28"/>
      <c r="I631" s="28"/>
      <c r="J631" s="26">
        <f t="array" ref="J631">SUM($G$564:$I$564*DecCours*DecPasse^(B631-$B$564-1))+SUM($G$589:$I$589*DecCours*DecPasse^(B631-$B$589-1))+SUM($G$594:$I$594*DecCours*DecPasse^(B631-$B$594-1))+SUM($G$599:$I$599*DecCours*DecPasse^(B631-$B$599-1))+SUM($G$604:$I$604*DecCours*DecPasse^(B631-$B$604-1))+SUM($G$609:$I$609*DecCours*DecPasse^(B631-$B$609-1))+SUM($G$610:$I$610*DecCours*DecPasse^(B631-$B$610-1))+SUM($G$614:$I$614*DecCours*DecPasse^(B631-$B$614-1))+SUM($G$619:$I$619*DecCours*DecPasse^(B631-$B$619-1)+SUM($G$620:$I$620*DecCours*DecPasse^(B631-$B$620-1))) + SUM($G$624:$I$624*DecCours*DecPasse^(B631-$B$624-1)) + SUM($G$630:$I$630*DecCours)</f>
        <v>446.26864194725158</v>
      </c>
      <c r="K631" s="29"/>
      <c r="L631" s="30"/>
      <c r="M631" s="6"/>
    </row>
    <row r="632" spans="1:13" x14ac:dyDescent="0.25">
      <c r="A632" s="24" t="s">
        <v>10</v>
      </c>
      <c r="B632" s="35">
        <v>68</v>
      </c>
      <c r="C632" s="26">
        <v>0</v>
      </c>
      <c r="D632" s="27">
        <v>0</v>
      </c>
      <c r="E632" s="27">
        <v>0</v>
      </c>
      <c r="F632" s="27">
        <v>0</v>
      </c>
      <c r="G632" s="28"/>
      <c r="H632" s="28"/>
      <c r="I632" s="28"/>
      <c r="J632" s="26">
        <f t="array" ref="J632">SUM($G$564:$I$564*DecCours*DecPasse^(B632-$B$564-1))+SUM($G$589:$I$589*DecCours*DecPasse^(B632-$B$589-1))+SUM($G$594:$I$594*DecCours*DecPasse^(B632-$B$594-1))+SUM($G$599:$I$599*DecCours*DecPasse^(B632-$B$599-1))+SUM($G$604:$I$604*DecCours*DecPasse^(B632-$B$604-1))+SUM($G$609:$I$609*DecCours*DecPasse^(B632-$B$609-1))+SUM($G$610:$I$610*DecCours*DecPasse^(B632-$B$610-1))+SUM($G$614:$I$614*DecCours*DecPasse^(B632-$B$614-1))+SUM($G$619:$I$619*DecCours*DecPasse^(B632-$B$619-1)+SUM($G$620:$I$620*DecCours*DecPasse^(B632-$B$620-1))) + SUM($G$624:$I$624*DecCours*DecPasse^(B632-$B$624-1)) + SUM($G$630:$I$630*DecCours*DecPasse^(B632-$B$630-1))</f>
        <v>435.8298747220411</v>
      </c>
      <c r="K632" s="29"/>
      <c r="L632" s="30"/>
      <c r="M632" s="6"/>
    </row>
    <row r="633" spans="1:13" x14ac:dyDescent="0.25">
      <c r="A633" s="24" t="s">
        <v>10</v>
      </c>
      <c r="B633" s="35">
        <v>69</v>
      </c>
      <c r="C633" s="26">
        <v>0</v>
      </c>
      <c r="D633" s="27">
        <v>0</v>
      </c>
      <c r="E633" s="27">
        <v>0</v>
      </c>
      <c r="F633" s="27">
        <v>0</v>
      </c>
      <c r="G633" s="28"/>
      <c r="H633" s="28"/>
      <c r="I633" s="28"/>
      <c r="J633" s="26">
        <f t="array" ref="J633">SUM($G$564:$I$564*DecCours*DecPasse^(B633-$B$564-1))+SUM($G$589:$I$589*DecCours*DecPasse^(B633-$B$589-1))+SUM($G$594:$I$594*DecCours*DecPasse^(B633-$B$594-1))+SUM($G$599:$I$599*DecCours*DecPasse^(B633-$B$599-1))+SUM($G$604:$I$604*DecCours*DecPasse^(B633-$B$604-1))+SUM($G$609:$I$609*DecCours*DecPasse^(B633-$B$609-1))+SUM($G$610:$I$610*DecCours*DecPasse^(B633-$B$610-1))+SUM($G$614:$I$614*DecCours*DecPasse^(B633-$B$614-1))+SUM($G$619:$I$619*DecCours*DecPasse^(B633-$B$619-1)+SUM($G$620:$I$620*DecCours*DecPasse^(B633-$B$620-1))) + SUM($G$624:$I$624*DecCours*DecPasse^(B633-$B$624-1)) + SUM($G$630:$I$630*DecCours*DecPasse^(B633-$B$630-1))</f>
        <v>425.75137790305712</v>
      </c>
      <c r="K633" s="29"/>
      <c r="L633" s="30"/>
      <c r="M633" s="6"/>
    </row>
    <row r="634" spans="1:13" x14ac:dyDescent="0.25">
      <c r="A634" s="24" t="s">
        <v>10</v>
      </c>
      <c r="B634" s="35">
        <v>70</v>
      </c>
      <c r="C634" s="26">
        <v>0</v>
      </c>
      <c r="D634" s="27">
        <v>0</v>
      </c>
      <c r="E634" s="27">
        <v>0</v>
      </c>
      <c r="F634" s="27">
        <v>0</v>
      </c>
      <c r="G634" s="28"/>
      <c r="H634" s="28"/>
      <c r="I634" s="28"/>
      <c r="J634" s="26">
        <f t="array" ref="J634">SUM($G$564:$I$564*DecCours*DecPasse^(B634-$B$564-1))+SUM($G$589:$I$589*DecCours*DecPasse^(B634-$B$589-1))+SUM($G$594:$I$594*DecCours*DecPasse^(B634-$B$594-1))+SUM($G$599:$I$599*DecCours*DecPasse^(B634-$B$599-1))+SUM($G$604:$I$604*DecCours*DecPasse^(B634-$B$604-1))+SUM($G$609:$I$609*DecCours*DecPasse^(B634-$B$609-1))+SUM($G$610:$I$610*DecCours*DecPasse^(B634-$B$610-1))+SUM($G$614:$I$614*DecCours*DecPasse^(B634-$B$614-1))+SUM($G$619:$I$619*DecCours*DecPasse^(B634-$B$619-1)+SUM($G$620:$I$620*DecCours*DecPasse^(B634-$B$620-1))) + SUM($G$624:$I$624*DecCours*DecPasse^(B634-$B$624-1)) + SUM($G$630:$I$630*DecCours*DecPasse^(B634-$B$630-1))</f>
        <v>415.98978370835516</v>
      </c>
      <c r="K634" s="29"/>
      <c r="L634" s="30"/>
      <c r="M634" s="6"/>
    </row>
    <row r="635" spans="1:13" x14ac:dyDescent="0.25">
      <c r="A635" s="24" t="s">
        <v>10</v>
      </c>
      <c r="B635" s="35">
        <v>71</v>
      </c>
      <c r="C635" s="26">
        <v>0</v>
      </c>
      <c r="D635" s="27">
        <v>0</v>
      </c>
      <c r="E635" s="27">
        <v>0</v>
      </c>
      <c r="F635" s="27">
        <v>0</v>
      </c>
      <c r="G635" s="28"/>
      <c r="H635" s="28"/>
      <c r="I635" s="28"/>
      <c r="J635" s="26">
        <f t="array" ref="J635">SUM($G$564:$I$564*DecCours*DecPasse^(B635-$B$564-1))+SUM($G$589:$I$589*DecCours*DecPasse^(B635-$B$589-1))+SUM($G$594:$I$594*DecCours*DecPasse^(B635-$B$594-1))+SUM($G$599:$I$599*DecCours*DecPasse^(B635-$B$599-1))+SUM($G$604:$I$604*DecCours*DecPasse^(B635-$B$604-1))+SUM($G$609:$I$609*DecCours*DecPasse^(B635-$B$609-1))+SUM($G$610:$I$610*DecCours*DecPasse^(B635-$B$610-1))+SUM($G$614:$I$614*DecCours*DecPasse^(B635-$B$614-1))+SUM($G$619:$I$619*DecCours*DecPasse^(B635-$B$619-1)+SUM($G$620:$I$620*DecCours*DecPasse^(B635-$B$620-1))) + SUM($G$624:$I$624*DecCours*DecPasse^(B635-$B$624-1)) + SUM($G$630:$I$630*DecCours*DecPasse^(B635-$B$630-1))</f>
        <v>406.51295440480692</v>
      </c>
      <c r="K635" s="29"/>
      <c r="L635" s="30"/>
      <c r="M635" s="6"/>
    </row>
    <row r="636" spans="1:13" x14ac:dyDescent="0.25">
      <c r="A636" s="24" t="s">
        <v>10</v>
      </c>
      <c r="B636" s="35">
        <v>72</v>
      </c>
      <c r="C636" s="26">
        <v>0</v>
      </c>
      <c r="D636" s="27">
        <v>0</v>
      </c>
      <c r="E636" s="27">
        <v>0</v>
      </c>
      <c r="F636" s="27">
        <v>0</v>
      </c>
      <c r="G636" s="28"/>
      <c r="H636" s="28"/>
      <c r="I636" s="28"/>
      <c r="J636" s="26">
        <f t="array" ref="J636">SUM($G$564:$I$564*DecCours*DecPasse^(B636-$B$564-1))+SUM($G$589:$I$589*DecCours*DecPasse^(B636-$B$589-1))+SUM($G$594:$I$594*DecCours*DecPasse^(B636-$B$594-1))+SUM($G$599:$I$599*DecCours*DecPasse^(B636-$B$599-1))+SUM($G$604:$I$604*DecCours*DecPasse^(B636-$B$604-1))+SUM($G$609:$I$609*DecCours*DecPasse^(B636-$B$609-1))+SUM($G$610:$I$610*DecCours*DecPasse^(B636-$B$610-1))+SUM($G$614:$I$614*DecCours*DecPasse^(B636-$B$614-1))+SUM($G$619:$I$619*DecCours*DecPasse^(B636-$B$619-1)+SUM($G$620:$I$620*DecCours*DecPasse^(B636-$B$620-1))) + SUM($G$624:$I$624*DecCours*DecPasse^(B636-$B$624-1)) + SUM($G$630:$I$630*DecCours*DecPasse^(B636-$B$630-1))</f>
        <v>397.29672889601432</v>
      </c>
      <c r="K636" s="29"/>
      <c r="L636" s="30"/>
      <c r="M636" s="6"/>
    </row>
    <row r="637" spans="1:13" x14ac:dyDescent="0.25">
      <c r="A637" s="24" t="s">
        <v>10</v>
      </c>
      <c r="B637" s="35">
        <v>73</v>
      </c>
      <c r="C637" s="26">
        <v>0</v>
      </c>
      <c r="D637" s="27">
        <v>0</v>
      </c>
      <c r="E637" s="27">
        <v>0</v>
      </c>
      <c r="F637" s="27">
        <v>0</v>
      </c>
      <c r="G637" s="28"/>
      <c r="H637" s="28"/>
      <c r="I637" s="28"/>
      <c r="J637" s="26">
        <f t="array" ref="J637">SUM($G$564:$I$564*DecCours*DecPasse^(B637-$B$564-1))+SUM($G$589:$I$589*DecCours*DecPasse^(B637-$B$589-1))+SUM($G$594:$I$594*DecCours*DecPasse^(B637-$B$594-1))+SUM($G$599:$I$599*DecCours*DecPasse^(B637-$B$599-1))+SUM($G$604:$I$604*DecCours*DecPasse^(B637-$B$604-1))+SUM($G$609:$I$609*DecCours*DecPasse^(B637-$B$609-1))+SUM($G$610:$I$610*DecCours*DecPasse^(B637-$B$610-1))+SUM($G$614:$I$614*DecCours*DecPasse^(B637-$B$614-1))+SUM($G$619:$I$619*DecCours*DecPasse^(B637-$B$619-1)+SUM($G$620:$I$620*DecCours*DecPasse^(B637-$B$620-1))) + SUM($G$624:$I$624*DecCours*DecPasse^(B637-$B$624-1)) + SUM($G$630:$I$630*DecCours*DecPasse^(B637-$B$630-1))</f>
        <v>388.32262132127744</v>
      </c>
      <c r="K637" s="29"/>
      <c r="L637" s="30"/>
      <c r="M637" s="6"/>
    </row>
    <row r="638" spans="1:13" x14ac:dyDescent="0.25">
      <c r="A638" s="24" t="s">
        <v>10</v>
      </c>
      <c r="B638" s="35">
        <v>74</v>
      </c>
      <c r="C638" s="26">
        <v>0</v>
      </c>
      <c r="D638" s="27">
        <v>0</v>
      </c>
      <c r="E638" s="27">
        <v>0</v>
      </c>
      <c r="F638" s="27">
        <v>0</v>
      </c>
      <c r="G638" s="28"/>
      <c r="H638" s="28"/>
      <c r="I638" s="28"/>
      <c r="J638" s="26">
        <f t="array" ref="J638">SUM($G$564:$I$564*DecCours*DecPasse^(B638-$B$564-1))+SUM($G$589:$I$589*DecCours*DecPasse^(B638-$B$589-1))+SUM($G$594:$I$594*DecCours*DecPasse^(B638-$B$594-1))+SUM($G$599:$I$599*DecCours*DecPasse^(B638-$B$599-1))+SUM($G$604:$I$604*DecCours*DecPasse^(B638-$B$604-1))+SUM($G$609:$I$609*DecCours*DecPasse^(B638-$B$609-1))+SUM($G$610:$I$610*DecCours*DecPasse^(B638-$B$610-1))+SUM($G$614:$I$614*DecCours*DecPasse^(B638-$B$614-1))+SUM($G$619:$I$619*DecCours*DecPasse^(B638-$B$619-1)+SUM($G$620:$I$620*DecCours*DecPasse^(B638-$B$620-1))) + SUM($G$624:$I$624*DecCours*DecPasse^(B638-$B$624-1)) + SUM($G$630:$I$630*DecCours*DecPasse^(B638-$B$630-1))</f>
        <v>379.57619285068944</v>
      </c>
      <c r="K638" s="29"/>
      <c r="L638" s="30"/>
      <c r="M638" s="6"/>
    </row>
    <row r="639" spans="1:13" x14ac:dyDescent="0.25">
      <c r="A639" s="24" t="s">
        <v>10</v>
      </c>
      <c r="B639" s="35">
        <v>75</v>
      </c>
      <c r="C639" s="26">
        <v>0</v>
      </c>
      <c r="D639" s="27">
        <v>0</v>
      </c>
      <c r="E639" s="27">
        <v>0</v>
      </c>
      <c r="F639" s="27">
        <v>0</v>
      </c>
      <c r="G639" s="28"/>
      <c r="H639" s="28"/>
      <c r="I639" s="28"/>
      <c r="J639" s="26">
        <f t="array" ref="J639">SUM($G$564:$I$564*DecCours*DecPasse^(B639-$B$564-1))+SUM($G$589:$I$589*DecCours*DecPasse^(B639-$B$589-1))+SUM($G$594:$I$594*DecCours*DecPasse^(B639-$B$594-1))+SUM($G$599:$I$599*DecCours*DecPasse^(B639-$B$599-1))+SUM($G$604:$I$604*DecCours*DecPasse^(B639-$B$604-1))+SUM($G$609:$I$609*DecCours*DecPasse^(B639-$B$609-1))+SUM($G$610:$I$610*DecCours*DecPasse^(B639-$B$610-1))+SUM($G$614:$I$614*DecCours*DecPasse^(B639-$B$614-1))+SUM($G$619:$I$619*DecCours*DecPasse^(B639-$B$619-1)+SUM($G$620:$I$620*DecCours*DecPasse^(B639-$B$620-1))) + SUM($G$624:$I$624*DecCours*DecPasse^(B639-$B$624-1)) + SUM($G$630:$I$630*DecCours*DecPasse^(B639-$B$630-1))</f>
        <v>371.04589952385214</v>
      </c>
      <c r="K639" s="29"/>
      <c r="L639" s="30"/>
      <c r="M639" s="6"/>
    </row>
    <row r="640" spans="1:13" x14ac:dyDescent="0.25">
      <c r="A640" s="24" t="s">
        <v>10</v>
      </c>
      <c r="B640" s="35">
        <v>76</v>
      </c>
      <c r="C640" s="26">
        <f>106*C494</f>
        <v>53</v>
      </c>
      <c r="D640" s="27">
        <f>65%*0.84</f>
        <v>0.54600000000000004</v>
      </c>
      <c r="E640" s="27">
        <v>0</v>
      </c>
      <c r="F640" s="27">
        <v>0.35</v>
      </c>
      <c r="G640" s="28">
        <f>$C$640*D640*TauxC*InfraCed*MasseMol</f>
        <v>18.144126</v>
      </c>
      <c r="H640" s="28">
        <f>$C$640*E640*TauxC*InfraCed*MasseMol</f>
        <v>0</v>
      </c>
      <c r="I640" s="28">
        <f>$C$640*F640*TauxC*InfraCed*MasseMol</f>
        <v>11.630849999999997</v>
      </c>
      <c r="J640" s="26">
        <f t="array" ref="J640">SUM($G$564:$I$564*DecCours*DecPasse^(B640-$B$564-1))+SUM($G$589:$I$589*DecCours*DecPasse^(B640-$B$589-1))+SUM($G$594:$I$594*DecCours*DecPasse^(B640-$B$594-1))+SUM($G$599:$I$599*DecCours*DecPasse^(B640-$B$599-1))+SUM($G$604:$I$604*DecCours*DecPasse^(B640-$B$604-1))+SUM($G$609:$I$609*DecCours*DecPasse^(B640-$B$609-1))+SUM($G$610:$I$610*DecCours*DecPasse^(B640-$B$610-1))+SUM($G$614:$I$614*DecCours*DecPasse^(B640-$B$614-1))+SUM($G$619:$I$619*DecCours*DecPasse^(B640-$B$619-1)+SUM($G$620:$I$620*DecCours*DecPasse^(B640-$B$620-1))) + SUM($G$624:$I$624*DecCours*DecPasse^(B640-$B$624-1)) + SUM($G$630:$I$630*DecCours*DecPasse^(B640-$B$630-1))</f>
        <v>362.72227672376067</v>
      </c>
      <c r="K640" s="29"/>
      <c r="L640" s="30"/>
      <c r="M640" s="6"/>
    </row>
    <row r="641" spans="1:13" x14ac:dyDescent="0.25">
      <c r="A641" s="24" t="s">
        <v>10</v>
      </c>
      <c r="B641" s="35">
        <v>77</v>
      </c>
      <c r="C641" s="26">
        <v>0</v>
      </c>
      <c r="D641" s="27">
        <v>0</v>
      </c>
      <c r="E641" s="27">
        <v>0</v>
      </c>
      <c r="F641" s="27">
        <v>0</v>
      </c>
      <c r="G641" s="28"/>
      <c r="H641" s="28"/>
      <c r="I641" s="28"/>
      <c r="J641" s="26">
        <f t="array" ref="J641">SUM($G$564:$I$564*DecCours*DecPasse^(B641-$B$564-1))+SUM($G$589:$I$589*DecCours*DecPasse^(B641-$B$589-1))+SUM($G$594:$I$594*DecCours*DecPasse^(B641-$B$594-1))+SUM($G$599:$I$599*DecCours*DecPasse^(B641-$B$599-1))+SUM($G$604:$I$604*DecCours*DecPasse^(B641-$B$604-1))+SUM($G$609:$I$609*DecCours*DecPasse^(B641-$B$609-1))+SUM($G$610:$I$610*DecCours*DecPasse^(B641-$B$610-1))+SUM($G$614:$I$614*DecCours*DecPasse^(B641-$B$614-1))+SUM($G$619:$I$619*DecCours*DecPasse^(B641-$B$619-1)+SUM($G$620:$I$620*DecCours*DecPasse^(B641-$B$620-1))) + SUM($G$624:$I$624*DecCours*DecPasse^(B641-$B$624-1)) + SUM($G$630:$I$630*DecCours*DecPasse^(B641-$B$630-1))+SUM($G$640:$I$640*DecCours)</f>
        <v>384.03409496783541</v>
      </c>
      <c r="K641" s="29"/>
      <c r="L641" s="30"/>
      <c r="M641" s="6"/>
    </row>
    <row r="642" spans="1:13" x14ac:dyDescent="0.25">
      <c r="A642" s="24" t="s">
        <v>10</v>
      </c>
      <c r="B642" s="35">
        <v>78</v>
      </c>
      <c r="C642" s="26">
        <v>0</v>
      </c>
      <c r="D642" s="27">
        <v>0</v>
      </c>
      <c r="E642" s="27">
        <v>0</v>
      </c>
      <c r="F642" s="27">
        <v>0</v>
      </c>
      <c r="G642" s="28"/>
      <c r="H642" s="28"/>
      <c r="I642" s="28"/>
      <c r="J642" s="26">
        <f t="array" ref="J642">SUM($G$564:$I$564*DecCours*DecPasse^(B642-$B$564-1))+SUM($G$589:$I$589*DecCours*DecPasse^(B642-$B$589-1))+SUM($G$594:$I$594*DecCours*DecPasse^(B642-$B$594-1))+SUM($G$599:$I$599*DecCours*DecPasse^(B642-$B$599-1))+SUM($G$604:$I$604*DecCours*DecPasse^(B642-$B$604-1))+SUM($G$609:$I$609*DecCours*DecPasse^(B642-$B$609-1))+SUM($G$610:$I$610*DecCours*DecPasse^(B642-$B$610-1))+SUM($G$614:$I$614*DecCours*DecPasse^(B642-$B$614-1))+SUM($G$619:$I$619*DecCours*DecPasse^(B642-$B$619-1)+SUM($G$620:$I$620*DecCours*DecPasse^(B642-$B$620-1)))+SUM($G$624:$I$624*DecCours*DecPasse^(B642-$B$624-1))+SUM($G$630:$I$630*DecCours*DecPasse^(B642-$B$630-1))+SUM($G$640:$I$640*DecCours*DecPasse^(B642-$B$640-1))</f>
        <v>375.43504487420012</v>
      </c>
      <c r="K642" s="29"/>
      <c r="L642" s="30"/>
      <c r="M642" s="6"/>
    </row>
    <row r="643" spans="1:13" x14ac:dyDescent="0.25">
      <c r="A643" s="24" t="s">
        <v>10</v>
      </c>
      <c r="B643" s="35">
        <v>79</v>
      </c>
      <c r="C643" s="26">
        <v>0</v>
      </c>
      <c r="D643" s="27">
        <v>0</v>
      </c>
      <c r="E643" s="27">
        <v>0</v>
      </c>
      <c r="F643" s="27">
        <v>0</v>
      </c>
      <c r="G643" s="28"/>
      <c r="H643" s="28"/>
      <c r="I643" s="28"/>
      <c r="J643" s="26">
        <f t="array" ref="J643">SUM($G$564:$I$564*DecCours*DecPasse^(B643-$B$564-1))+SUM($G$589:$I$589*DecCours*DecPasse^(B643-$B$589-1))+SUM($G$594:$I$594*DecCours*DecPasse^(B643-$B$594-1))+SUM($G$599:$I$599*DecCours*DecPasse^(B643-$B$599-1))+SUM($G$604:$I$604*DecCours*DecPasse^(B643-$B$604-1))+SUM($G$609:$I$609*DecCours*DecPasse^(B643-$B$609-1))+SUM($G$610:$I$610*DecCours*DecPasse^(B643-$B$610-1))+SUM($G$614:$I$614*DecCours*DecPasse^(B643-$B$614-1))+SUM($G$619:$I$619*DecCours*DecPasse^(B643-$B$619-1)+SUM($G$620:$I$620*DecCours*DecPasse^(B643-$B$620-1)))+SUM($G$624:$I$624*DecCours*DecPasse^(B643-$B$624-1))+SUM($G$630:$I$630*DecCours*DecPasse^(B643-$B$630-1))+SUM($G$640:$I$640*DecCours*DecPasse^(B643-$B$640-1))</f>
        <v>367.03725113574831</v>
      </c>
      <c r="K643" s="29"/>
      <c r="L643" s="30"/>
      <c r="M643" s="6"/>
    </row>
    <row r="644" spans="1:13" x14ac:dyDescent="0.25">
      <c r="A644" s="24" t="s">
        <v>10</v>
      </c>
      <c r="B644" s="35">
        <v>80</v>
      </c>
      <c r="C644" s="26">
        <v>0</v>
      </c>
      <c r="D644" s="27">
        <v>0</v>
      </c>
      <c r="E644" s="27">
        <v>0</v>
      </c>
      <c r="F644" s="27">
        <v>0</v>
      </c>
      <c r="G644" s="28"/>
      <c r="H644" s="28"/>
      <c r="I644" s="28"/>
      <c r="J644" s="26">
        <f t="array" ref="J644">SUM($G$564:$I$564*DecCours*DecPasse^(B644-$B$564-1))+SUM($G$589:$I$589*DecCours*DecPasse^(B644-$B$589-1))+SUM($G$594:$I$594*DecCours*DecPasse^(B644-$B$594-1))+SUM($G$599:$I$599*DecCours*DecPasse^(B644-$B$599-1))+SUM($G$604:$I$604*DecCours*DecPasse^(B644-$B$604-1))+SUM($G$609:$I$609*DecCours*DecPasse^(B644-$B$609-1))+SUM($G$610:$I$610*DecCours*DecPasse^(B644-$B$610-1))+SUM($G$614:$I$614*DecCours*DecPasse^(B644-$B$614-1))+SUM($G$619:$I$619*DecCours*DecPasse^(B644-$B$619-1)+SUM($G$620:$I$620*DecCours*DecPasse^(B644-$B$620-1)))+SUM($G$624:$I$624*DecCours*DecPasse^(B644-$B$624-1))+SUM($G$630:$I$630*DecCours*DecPasse^(B644-$B$630-1))+SUM($G$640:$I$640*DecCours*DecPasse^(B644-$B$640-1))</f>
        <v>358.83487332345049</v>
      </c>
      <c r="K644" s="29"/>
      <c r="L644" s="30"/>
      <c r="M644" s="6"/>
    </row>
    <row r="645" spans="1:13" x14ac:dyDescent="0.25">
      <c r="A645" s="24" t="s">
        <v>10</v>
      </c>
      <c r="B645" s="35">
        <v>81</v>
      </c>
      <c r="C645" s="26">
        <v>0</v>
      </c>
      <c r="D645" s="27">
        <v>0</v>
      </c>
      <c r="E645" s="27">
        <v>0</v>
      </c>
      <c r="F645" s="27">
        <v>0</v>
      </c>
      <c r="G645" s="28"/>
      <c r="H645" s="28"/>
      <c r="I645" s="28"/>
      <c r="J645" s="26">
        <f t="array" ref="J645">SUM($G$564:$I$564*DecCours*DecPasse^(B645-$B$564-1))+SUM($G$589:$I$589*DecCours*DecPasse^(B645-$B$589-1))+SUM($G$594:$I$594*DecCours*DecPasse^(B645-$B$594-1))+SUM($G$599:$I$599*DecCours*DecPasse^(B645-$B$599-1))+SUM($G$604:$I$604*DecCours*DecPasse^(B645-$B$604-1))+SUM($G$609:$I$609*DecCours*DecPasse^(B645-$B$609-1))+SUM($G$610:$I$610*DecCours*DecPasse^(B645-$B$610-1))+SUM($G$614:$I$614*DecCours*DecPasse^(B645-$B$614-1))+SUM($G$619:$I$619*DecCours*DecPasse^(B645-$B$619-1)+SUM($G$620:$I$620*DecCours*DecPasse^(B645-$B$620-1)))+SUM($G$624:$I$624*DecCours*DecPasse^(B645-$B$624-1))+SUM($G$630:$I$630*DecCours*DecPasse^(B645-$B$630-1))+SUM($G$640:$I$640*DecCours*DecPasse^(B645-$B$640-1))</f>
        <v>350.82253066606455</v>
      </c>
      <c r="K645" s="29"/>
      <c r="L645" s="30"/>
      <c r="M645" s="6"/>
    </row>
    <row r="646" spans="1:13" x14ac:dyDescent="0.25">
      <c r="A646" s="24" t="s">
        <v>10</v>
      </c>
      <c r="B646" s="35">
        <v>82</v>
      </c>
      <c r="C646" s="26">
        <v>0</v>
      </c>
      <c r="D646" s="27">
        <v>0</v>
      </c>
      <c r="E646" s="27">
        <v>0</v>
      </c>
      <c r="F646" s="27">
        <v>0</v>
      </c>
      <c r="G646" s="28"/>
      <c r="H646" s="28"/>
      <c r="I646" s="28"/>
      <c r="J646" s="26">
        <f t="array" ref="J646">SUM($G$564:$I$564*DecCours*DecPasse^(B646-$B$564-1))+SUM($G$589:$I$589*DecCours*DecPasse^(B646-$B$589-1))+SUM($G$594:$I$594*DecCours*DecPasse^(B646-$B$594-1))+SUM($G$599:$I$599*DecCours*DecPasse^(B646-$B$599-1))+SUM($G$604:$I$604*DecCours*DecPasse^(B646-$B$604-1))+SUM($G$609:$I$609*DecCours*DecPasse^(B646-$B$609-1))+SUM($G$610:$I$610*DecCours*DecPasse^(B646-$B$610-1))+SUM($G$614:$I$614*DecCours*DecPasse^(B646-$B$614-1))+SUM($G$619:$I$619*DecCours*DecPasse^(B646-$B$619-1)+SUM($G$620:$I$620*DecCours*DecPasse^(B646-$B$620-1)))+SUM($G$624:$I$624*DecCours*DecPasse^(B646-$B$624-1))+SUM($G$630:$I$630*DecCours*DecPasse^(B646-$B$630-1))+SUM($G$640:$I$640*DecCours*DecPasse^(B646-$B$640-1))</f>
        <v>342.99519768122559</v>
      </c>
      <c r="K646" s="29"/>
      <c r="L646" s="30"/>
      <c r="M646" s="6"/>
    </row>
    <row r="647" spans="1:13" x14ac:dyDescent="0.25">
      <c r="A647" s="24" t="s">
        <v>10</v>
      </c>
      <c r="B647" s="35">
        <v>83</v>
      </c>
      <c r="C647" s="26">
        <v>0</v>
      </c>
      <c r="D647" s="27">
        <v>0</v>
      </c>
      <c r="E647" s="27">
        <v>0</v>
      </c>
      <c r="F647" s="27">
        <v>0</v>
      </c>
      <c r="G647" s="28"/>
      <c r="H647" s="28"/>
      <c r="I647" s="28"/>
      <c r="J647" s="26">
        <f t="array" ref="J647">SUM($G$564:$I$564*DecCours*DecPasse^(B647-$B$564-1))+SUM($G$589:$I$589*DecCours*DecPasse^(B647-$B$589-1))+SUM($G$594:$I$594*DecCours*DecPasse^(B647-$B$594-1))+SUM($G$599:$I$599*DecCours*DecPasse^(B647-$B$599-1))+SUM($G$604:$I$604*DecCours*DecPasse^(B647-$B$604-1))+SUM($G$609:$I$609*DecCours*DecPasse^(B647-$B$609-1))+SUM($G$610:$I$610*DecCours*DecPasse^(B647-$B$610-1))+SUM($G$614:$I$614*DecCours*DecPasse^(B647-$B$614-1))+SUM($G$619:$I$619*DecCours*DecPasse^(B647-$B$619-1)+SUM($G$620:$I$620*DecCours*DecPasse^(B647-$B$620-1)))+SUM($G$624:$I$624*DecCours*DecPasse^(B647-$B$624-1))+SUM($G$630:$I$630*DecCours*DecPasse^(B647-$B$630-1))+SUM($G$640:$I$640*DecCours*DecPasse^(B647-$B$640-1))</f>
        <v>335.34812962534926</v>
      </c>
      <c r="K647" s="29"/>
      <c r="L647" s="30"/>
      <c r="M647" s="6"/>
    </row>
    <row r="648" spans="1:13" x14ac:dyDescent="0.25">
      <c r="A648" s="24" t="s">
        <v>10</v>
      </c>
      <c r="B648" s="35">
        <v>84</v>
      </c>
      <c r="C648" s="26">
        <v>0</v>
      </c>
      <c r="D648" s="27">
        <v>0</v>
      </c>
      <c r="E648" s="27">
        <v>0</v>
      </c>
      <c r="F648" s="27">
        <v>0</v>
      </c>
      <c r="G648" s="28"/>
      <c r="H648" s="28"/>
      <c r="I648" s="28"/>
      <c r="J648" s="26">
        <f t="array" ref="J648">SUM($G$564:$I$564*DecCours*DecPasse^(B648-$B$564-1))+SUM($G$589:$I$589*DecCours*DecPasse^(B648-$B$589-1))+SUM($G$594:$I$594*DecCours*DecPasse^(B648-$B$594-1))+SUM($G$599:$I$599*DecCours*DecPasse^(B648-$B$599-1))+SUM($G$604:$I$604*DecCours*DecPasse^(B648-$B$604-1))+SUM($G$609:$I$609*DecCours*DecPasse^(B648-$B$609-1))+SUM($G$610:$I$610*DecCours*DecPasse^(B648-$B$610-1))+SUM($G$614:$I$614*DecCours*DecPasse^(B648-$B$614-1))+SUM($G$619:$I$619*DecCours*DecPasse^(B648-$B$619-1)+SUM($G$620:$I$620*DecCours*DecPasse^(B648-$B$620-1)))+SUM($G$624:$I$624*DecCours*DecPasse^(B648-$B$624-1))+SUM($G$630:$I$630*DecCours*DecPasse^(B648-$B$630-1))+SUM($G$640:$I$640*DecCours*DecPasse^(B648-$B$640-1))</f>
        <v>327.87680904761748</v>
      </c>
      <c r="K648" s="29"/>
      <c r="L648" s="30"/>
      <c r="M648" s="6"/>
    </row>
    <row r="649" spans="1:13" x14ac:dyDescent="0.25">
      <c r="A649" s="24" t="s">
        <v>10</v>
      </c>
      <c r="B649" s="35">
        <v>85</v>
      </c>
      <c r="C649" s="26">
        <v>0</v>
      </c>
      <c r="D649" s="27">
        <v>0</v>
      </c>
      <c r="E649" s="27">
        <v>0</v>
      </c>
      <c r="F649" s="27">
        <v>0</v>
      </c>
      <c r="G649" s="28"/>
      <c r="H649" s="28"/>
      <c r="I649" s="28"/>
      <c r="J649" s="26">
        <f t="array" ref="J649">SUM($G$564:$I$564*DecCours*DecPasse^(B649-$B$564-1))+SUM($G$589:$I$589*DecCours*DecPasse^(B649-$B$589-1))+SUM($G$594:$I$594*DecCours*DecPasse^(B649-$B$594-1))+SUM($G$599:$I$599*DecCours*DecPasse^(B649-$B$599-1))+SUM($G$604:$I$604*DecCours*DecPasse^(B649-$B$604-1))+SUM($G$609:$I$609*DecCours*DecPasse^(B649-$B$609-1))+SUM($G$610:$I$610*DecCours*DecPasse^(B649-$B$610-1))+SUM($G$614:$I$614*DecCours*DecPasse^(B649-$B$614-1))+SUM($G$619:$I$619*DecCours*DecPasse^(B649-$B$619-1)+SUM($G$620:$I$620*DecCours*DecPasse^(B649-$B$620-1)))+SUM($G$624:$I$624*DecCours*DecPasse^(B649-$B$624-1))+SUM($G$630:$I$630*DecCours*DecPasse^(B649-$B$630-1))+SUM($G$640:$I$640*DecCours*DecPasse^(B649-$B$640-1))</f>
        <v>320.5769072853081</v>
      </c>
      <c r="K649" s="29"/>
      <c r="L649" s="30"/>
      <c r="M649" s="6"/>
    </row>
    <row r="650" spans="1:13" x14ac:dyDescent="0.25">
      <c r="A650" s="24" t="s">
        <v>10</v>
      </c>
      <c r="B650" s="35">
        <v>86</v>
      </c>
      <c r="C650" s="26">
        <f>108*C494</f>
        <v>54</v>
      </c>
      <c r="D650" s="27">
        <f>65%*0.84</f>
        <v>0.54600000000000004</v>
      </c>
      <c r="E650" s="27">
        <f>25%*0.84</f>
        <v>0.21</v>
      </c>
      <c r="F650" s="27">
        <v>0.1</v>
      </c>
      <c r="G650" s="28">
        <f>$C$650*D650*TauxC*InfraCed*MasseMol</f>
        <v>18.486468000000002</v>
      </c>
      <c r="H650" s="28">
        <f>$C$650*E650*TauxC*InfraCed*MasseMol</f>
        <v>7.1101799999999988</v>
      </c>
      <c r="I650" s="28">
        <f>$C$650*F650*TauxC*InfraCed*MasseMol</f>
        <v>3.3857999999999997</v>
      </c>
      <c r="J650" s="26">
        <f t="array" ref="J650">SUM($G$564:$I$564*DecCours*DecPasse^(B650-$B$564-1))+SUM($G$589:$I$589*DecCours*DecPasse^(B650-$B$589-1))+SUM($G$594:$I$594*DecCours*DecPasse^(B650-$B$594-1))+SUM($G$599:$I$599*DecCours*DecPasse^(B650-$B$599-1))+SUM($G$604:$I$604*DecCours*DecPasse^(B650-$B$604-1))+SUM($G$609:$I$609*DecCours*DecPasse^(B650-$B$609-1))+SUM($G$610:$I$610*DecCours*DecPasse^(B650-$B$610-1))+SUM($G$614:$I$614*DecCours*DecPasse^(B650-$B$614-1))+SUM($G$619:$I$619*DecCours*DecPasse^(B650-$B$619-1)+SUM($G$620:$I$620*DecCours*DecPasse^(B650-$B$620-1)))+SUM($G$624:$I$624*DecCours*DecPasse^(B650-$B$624-1))+SUM($G$630:$I$630*DecCours*DecPasse^(B650-$B$630-1))+SUM($G$640:$I$640*DecCours*DecPasse^(B650-$B$640-1))</f>
        <v>313.4442565422795</v>
      </c>
      <c r="K650" s="29"/>
      <c r="L650" s="30"/>
      <c r="M650" s="6"/>
    </row>
    <row r="651" spans="1:13" x14ac:dyDescent="0.25">
      <c r="A651" s="24" t="s">
        <v>10</v>
      </c>
      <c r="B651" s="35">
        <v>87</v>
      </c>
      <c r="C651" s="26">
        <v>0</v>
      </c>
      <c r="D651" s="27">
        <v>0</v>
      </c>
      <c r="E651" s="27">
        <v>0</v>
      </c>
      <c r="F651" s="27">
        <v>0</v>
      </c>
      <c r="G651" s="28"/>
      <c r="H651" s="28"/>
      <c r="I651" s="28"/>
      <c r="J651" s="26">
        <f t="array" ref="J651">SUM($G$564:$I$564*DecCours*DecPasse^(B651-$B$564-1))+SUM($G$589:$I$589*DecCours*DecPasse^(B651-$B$589-1))+SUM($G$594:$I$594*DecCours*DecPasse^(B651-$B$594-1))+SUM($G$599:$I$599*DecCours*DecPasse^(B651-$B$599-1))+SUM($G$604:$I$604*DecCours*DecPasse^(B651-$B$604-1))+SUM($G$609:$I$609*DecCours*DecPasse^(B651-$B$609-1))+SUM($G$610:$I$610*DecCours*DecPasse^(B651-$B$610-1))+SUM($G$614:$I$614*DecCours*DecPasse^(B651-$B$614-1))+SUM($G$619:$I$619*DecCours*DecPasse^(B651-$B$619-1)+SUM($G$620:$I$620*DecCours*DecPasse^(B651-$B$620-1)))+SUM($G$624:$I$624*DecCours*DecPasse^(B651-$B$624-1))+SUM($G$630:$I$630*DecCours*DecPasse^(B651-$B$630-1))+SUM($G$640:$I$640*DecCours*DecPasse^(B651-$B$640-1)) + SUM($G$650:$I$650*DecCours)</f>
        <v>334.12763134316583</v>
      </c>
      <c r="K651" s="29"/>
      <c r="L651" s="30"/>
      <c r="M651" s="6"/>
    </row>
    <row r="652" spans="1:13" x14ac:dyDescent="0.25">
      <c r="A652" s="24" t="s">
        <v>10</v>
      </c>
      <c r="B652" s="35">
        <v>88</v>
      </c>
      <c r="C652" s="26">
        <v>0</v>
      </c>
      <c r="D652" s="27">
        <v>0</v>
      </c>
      <c r="E652" s="27">
        <v>0</v>
      </c>
      <c r="F652" s="27">
        <v>0</v>
      </c>
      <c r="G652" s="28"/>
      <c r="H652" s="28"/>
      <c r="I652" s="28"/>
      <c r="J652" s="26">
        <f t="array" ref="J652">SUM($G$564:$I$564*DecCours*DecPasse^(B652-$B$564-1))+SUM($G$589:$I$589*DecCours*DecPasse^(B652-$B$589-1))+SUM($G$594:$I$594*DecCours*DecPasse^(B652-$B$594-1))+SUM($G$599:$I$599*DecCours*DecPasse^(B652-$B$599-1))+SUM($G$604:$I$604*DecCours*DecPasse^(B652-$B$604-1))+SUM($G$609:$I$609*DecCours*DecPasse^(B652-$B$609-1))+SUM($G$610:$I$610*DecCours*DecPasse^(B652-$B$610-1))+SUM($G$614:$I$614*DecCours*DecPasse^(B652-$B$614-1))+SUM($G$619:$I$619*DecCours*DecPasse^(B652-$B$619-1)+SUM($G$620:$I$620*DecCours*DecPasse^(B652-$B$620-1)))+SUM($G$624:$I$624*DecCours*DecPasse^(B652-$B$624-1))+SUM($G$630:$I$630*DecCours*DecPasse^(B652-$B$630-1))+SUM($G$640:$I$640*DecCours*DecPasse^(B652-$B$640-1)) + SUM($G$650:$I$650*DecCours*DecPasse^(B652-$B$650-1))</f>
        <v>325.10730651244035</v>
      </c>
      <c r="K652" s="29"/>
      <c r="L652" s="30"/>
      <c r="M652" s="6"/>
    </row>
    <row r="653" spans="1:13" x14ac:dyDescent="0.25">
      <c r="A653" s="24" t="s">
        <v>10</v>
      </c>
      <c r="B653" s="35">
        <v>89</v>
      </c>
      <c r="C653" s="26">
        <v>0</v>
      </c>
      <c r="D653" s="27">
        <v>0</v>
      </c>
      <c r="E653" s="27">
        <v>0</v>
      </c>
      <c r="F653" s="27">
        <v>0</v>
      </c>
      <c r="G653" s="28"/>
      <c r="H653" s="28"/>
      <c r="I653" s="28"/>
      <c r="J653" s="26">
        <f t="array" ref="J653">SUM($G$564:$I$564*DecCours*DecPasse^(B653-$B$564-1))+SUM($G$589:$I$589*DecCours*DecPasse^(B653-$B$589-1))+SUM($G$594:$I$594*DecCours*DecPasse^(B653-$B$594-1))+SUM($G$599:$I$599*DecCours*DecPasse^(B653-$B$599-1))+SUM($G$604:$I$604*DecCours*DecPasse^(B653-$B$604-1))+SUM($G$609:$I$609*DecCours*DecPasse^(B653-$B$609-1))+SUM($G$610:$I$610*DecCours*DecPasse^(B653-$B$610-1))+SUM($G$614:$I$614*DecCours*DecPasse^(B653-$B$614-1))+SUM($G$619:$I$619*DecCours*DecPasse^(B653-$B$619-1)+SUM($G$620:$I$620*DecCours*DecPasse^(B653-$B$620-1)))+SUM($G$624:$I$624*DecCours*DecPasse^(B653-$B$624-1))+SUM($G$630:$I$630*DecCours*DecPasse^(B653-$B$630-1))+SUM($G$640:$I$640*DecCours*DecPasse^(B653-$B$640-1)) + SUM($G$650:$I$650*DecCours*DecPasse^(B653-$B$650-1))</f>
        <v>316.7675324704058</v>
      </c>
      <c r="K653" s="29"/>
      <c r="L653" s="30"/>
      <c r="M653" s="6"/>
    </row>
    <row r="654" spans="1:13" x14ac:dyDescent="0.25">
      <c r="A654" s="24" t="s">
        <v>10</v>
      </c>
      <c r="B654" s="35">
        <v>90</v>
      </c>
      <c r="C654" s="26">
        <v>0</v>
      </c>
      <c r="D654" s="27">
        <v>0</v>
      </c>
      <c r="E654" s="27">
        <v>0</v>
      </c>
      <c r="F654" s="27">
        <v>0</v>
      </c>
      <c r="G654" s="28"/>
      <c r="H654" s="28"/>
      <c r="I654" s="28"/>
      <c r="J654" s="26">
        <f t="array" ref="J654">SUM($G$564:$I$564*DecCours*DecPasse^(B654-$B$564-1))+SUM($G$589:$I$589*DecCours*DecPasse^(B654-$B$589-1))+SUM($G$594:$I$594*DecCours*DecPasse^(B654-$B$594-1))+SUM($G$599:$I$599*DecCours*DecPasse^(B654-$B$599-1))+SUM($G$604:$I$604*DecCours*DecPasse^(B654-$B$604-1))+SUM($G$609:$I$609*DecCours*DecPasse^(B654-$B$609-1))+SUM($G$610:$I$610*DecCours*DecPasse^(B654-$B$610-1))+SUM($G$614:$I$614*DecCours*DecPasse^(B654-$B$614-1))+SUM($G$619:$I$619*DecCours*DecPasse^(B654-$B$619-1)+SUM($G$620:$I$620*DecCours*DecPasse^(B654-$B$620-1)))+SUM($G$624:$I$624*DecCours*DecPasse^(B654-$B$624-1))+SUM($G$630:$I$630*DecCours*DecPasse^(B654-$B$630-1))+SUM($G$640:$I$640*DecCours*DecPasse^(B654-$B$640-1)) + SUM($G$650:$I$650*DecCours*DecPasse^(B654-$B$650-1))</f>
        <v>308.95343929722924</v>
      </c>
      <c r="K654" s="29"/>
      <c r="L654" s="30"/>
      <c r="M654" s="6"/>
    </row>
    <row r="655" spans="1:13" x14ac:dyDescent="0.25">
      <c r="A655" s="24" t="s">
        <v>10</v>
      </c>
      <c r="B655" s="35">
        <v>91</v>
      </c>
      <c r="C655" s="26">
        <v>0</v>
      </c>
      <c r="D655" s="27">
        <v>0</v>
      </c>
      <c r="E655" s="27">
        <v>0</v>
      </c>
      <c r="F655" s="27">
        <v>0</v>
      </c>
      <c r="G655" s="28"/>
      <c r="H655" s="28"/>
      <c r="I655" s="28"/>
      <c r="J655" s="26">
        <f t="array" ref="J655">SUM($G$564:$I$564*DecCours*DecPasse^(B655-$B$564-1))+SUM($G$589:$I$589*DecCours*DecPasse^(B655-$B$589-1))+SUM($G$594:$I$594*DecCours*DecPasse^(B655-$B$594-1))+SUM($G$599:$I$599*DecCours*DecPasse^(B655-$B$599-1))+SUM($G$604:$I$604*DecCours*DecPasse^(B655-$B$604-1))+SUM($G$609:$I$609*DecCours*DecPasse^(B655-$B$609-1))+SUM($G$610:$I$610*DecCours*DecPasse^(B655-$B$610-1))+SUM($G$614:$I$614*DecCours*DecPasse^(B655-$B$614-1))+SUM($G$619:$I$619*DecCours*DecPasse^(B655-$B$619-1)+SUM($G$620:$I$620*DecCours*DecPasse^(B655-$B$620-1)))+SUM($G$624:$I$624*DecCours*DecPasse^(B655-$B$624-1))+SUM($G$630:$I$630*DecCours*DecPasse^(B655-$B$630-1))+SUM($G$640:$I$640*DecCours*DecPasse^(B655-$B$640-1)) + SUM($G$650:$I$650*DecCours*DecPasse^(B655-$B$650-1))</f>
        <v>301.5544816482369</v>
      </c>
      <c r="K655" s="29"/>
      <c r="L655" s="30"/>
      <c r="M655" s="6"/>
    </row>
    <row r="656" spans="1:13" x14ac:dyDescent="0.25">
      <c r="A656" s="24" t="s">
        <v>10</v>
      </c>
      <c r="B656" s="35">
        <v>92</v>
      </c>
      <c r="C656" s="26">
        <v>0</v>
      </c>
      <c r="D656" s="27">
        <v>0</v>
      </c>
      <c r="E656" s="27">
        <v>0</v>
      </c>
      <c r="F656" s="27">
        <v>0</v>
      </c>
      <c r="G656" s="28"/>
      <c r="H656" s="28"/>
      <c r="I656" s="28"/>
      <c r="J656" s="26">
        <f t="array" ref="J656">SUM($G$564:$I$564*DecCours*DecPasse^(B656-$B$564-1))+SUM($G$589:$I$589*DecCours*DecPasse^(B656-$B$589-1))+SUM($G$594:$I$594*DecCours*DecPasse^(B656-$B$594-1))+SUM($G$599:$I$599*DecCours*DecPasse^(B656-$B$599-1))+SUM($G$604:$I$604*DecCours*DecPasse^(B656-$B$604-1))+SUM($G$609:$I$609*DecCours*DecPasse^(B656-$B$609-1))+SUM($G$610:$I$610*DecCours*DecPasse^(B656-$B$610-1))+SUM($G$614:$I$614*DecCours*DecPasse^(B656-$B$614-1))+SUM($G$619:$I$619*DecCours*DecPasse^(B656-$B$619-1)+SUM($G$620:$I$620*DecCours*DecPasse^(B656-$B$620-1)))+SUM($G$624:$I$624*DecCours*DecPasse^(B656-$B$624-1))+SUM($G$630:$I$630*DecCours*DecPasse^(B656-$B$630-1))+SUM($G$640:$I$640*DecCours*DecPasse^(B656-$B$640-1)) + SUM($G$650:$I$650*DecCours*DecPasse^(B656-$B$650-1))</f>
        <v>294.491481180937</v>
      </c>
      <c r="K656" s="29"/>
      <c r="L656" s="30"/>
      <c r="M656" s="6"/>
    </row>
    <row r="657" spans="1:41" x14ac:dyDescent="0.25">
      <c r="A657" s="24" t="s">
        <v>10</v>
      </c>
      <c r="B657" s="35">
        <v>93</v>
      </c>
      <c r="C657" s="26">
        <v>0</v>
      </c>
      <c r="D657" s="27">
        <v>0</v>
      </c>
      <c r="E657" s="27">
        <v>0</v>
      </c>
      <c r="F657" s="27">
        <v>0</v>
      </c>
      <c r="G657" s="28"/>
      <c r="H657" s="28"/>
      <c r="I657" s="28"/>
      <c r="J657" s="26">
        <f t="array" ref="J657">SUM($G$564:$I$564*DecCours*DecPasse^(B657-$B$564-1))+SUM($G$589:$I$589*DecCours*DecPasse^(B657-$B$589-1))+SUM($G$594:$I$594*DecCours*DecPasse^(B657-$B$594-1))+SUM($G$599:$I$599*DecCours*DecPasse^(B657-$B$599-1))+SUM($G$604:$I$604*DecCours*DecPasse^(B657-$B$604-1))+SUM($G$609:$I$609*DecCours*DecPasse^(B657-$B$609-1))+SUM($G$610:$I$610*DecCours*DecPasse^(B657-$B$610-1))+SUM($G$614:$I$614*DecCours*DecPasse^(B657-$B$614-1))+SUM($G$619:$I$619*DecCours*DecPasse^(B657-$B$619-1)+SUM($G$620:$I$620*DecCours*DecPasse^(B657-$B$620-1)))+SUM($G$624:$I$624*DecCours*DecPasse^(B657-$B$624-1))+SUM($G$630:$I$630*DecCours*DecPasse^(B657-$B$630-1))+SUM($G$640:$I$640*DecCours*DecPasse^(B657-$B$640-1)) + SUM($G$650:$I$650*DecCours*DecPasse^(B657-$B$650-1))</f>
        <v>287.70746355849093</v>
      </c>
      <c r="K657" s="29"/>
      <c r="L657" s="30"/>
      <c r="M657" s="6"/>
    </row>
    <row r="658" spans="1:41" x14ac:dyDescent="0.25">
      <c r="A658" s="24" t="s">
        <v>10</v>
      </c>
      <c r="B658" s="35">
        <v>94</v>
      </c>
      <c r="C658" s="26">
        <v>0</v>
      </c>
      <c r="D658" s="27">
        <v>0</v>
      </c>
      <c r="E658" s="27">
        <v>0</v>
      </c>
      <c r="F658" s="27">
        <v>0</v>
      </c>
      <c r="G658" s="28"/>
      <c r="H658" s="28"/>
      <c r="I658" s="28"/>
      <c r="J658" s="26">
        <f t="array" ref="J658">SUM($G$564:$I$564*DecCours*DecPasse^(B658-$B$564-1))+SUM($G$589:$I$589*DecCours*DecPasse^(B658-$B$589-1))+SUM($G$594:$I$594*DecCours*DecPasse^(B658-$B$594-1))+SUM($G$599:$I$599*DecCours*DecPasse^(B658-$B$599-1))+SUM($G$604:$I$604*DecCours*DecPasse^(B658-$B$604-1))+SUM($G$609:$I$609*DecCours*DecPasse^(B658-$B$609-1))+SUM($G$610:$I$610*DecCours*DecPasse^(B658-$B$610-1))+SUM($G$614:$I$614*DecCours*DecPasse^(B658-$B$614-1))+SUM($G$619:$I$619*DecCours*DecPasse^(B658-$B$619-1)+SUM($G$620:$I$620*DecCours*DecPasse^(B658-$B$620-1)))+SUM($G$624:$I$624*DecCours*DecPasse^(B658-$B$624-1))+SUM($G$630:$I$630*DecCours*DecPasse^(B658-$B$630-1))+SUM($G$640:$I$640*DecCours*DecPasse^(B658-$B$640-1)) + SUM($G$650:$I$650*DecCours*DecPasse^(B658-$B$650-1))</f>
        <v>281.16117863921158</v>
      </c>
      <c r="K658" s="29"/>
      <c r="L658" s="30"/>
      <c r="M658" s="6"/>
    </row>
    <row r="659" spans="1:41" ht="16.5" thickBot="1" x14ac:dyDescent="0.3">
      <c r="A659" s="18" t="s">
        <v>10</v>
      </c>
      <c r="B659" s="37">
        <v>95</v>
      </c>
      <c r="C659" s="20">
        <f>103*C494</f>
        <v>51.5</v>
      </c>
      <c r="D659" s="21">
        <f>60%*0.84</f>
        <v>0.504</v>
      </c>
      <c r="E659" s="21">
        <f>30%*0.84</f>
        <v>0.252</v>
      </c>
      <c r="F659" s="21">
        <v>0.1</v>
      </c>
      <c r="G659" s="22">
        <f>$C$659*D659*InfraCed*MasseMol*TauxC</f>
        <v>16.274411999999998</v>
      </c>
      <c r="H659" s="22">
        <f>$C$659*E659*InfraCed*MasseMol*TauxC</f>
        <v>8.1372059999999991</v>
      </c>
      <c r="I659" s="22">
        <f>$C$659*F659*InfraCed*MasseMol*TauxC</f>
        <v>3.22905</v>
      </c>
      <c r="J659" s="20">
        <f t="array" ref="J659">SUM($G$564:$I$564*DecCours*DecPasse^(B659-$B$564-1))+SUM($G$589:$I$589*DecCours*DecPasse^(B659-$B$589-1))+SUM($G$594:$I$594*DecCours*DecPasse^(B659-$B$594-1))+SUM($G$599:$I$599*DecCours*DecPasse^(B659-$B$599-1))+SUM($G$604:$I$604*DecCours*DecPasse^(B659-$B$604-1))+SUM($G$609:$I$609*DecCours*DecPasse^(B659-$B$609-1))+SUM($G$610:$I$610*DecCours*DecPasse^(B659-$B$610-1))+SUM($G$614:$I$614*DecCours*DecPasse^(B659-$B$614-1))+SUM($G$619:$I$619*DecCours*DecPasse^(B659-$B$619-1)+SUM($G$620:$I$620*DecCours*DecPasse^(B659-$B$620-1)))+SUM($G$624:$I$624*DecCours*DecPasse^(B659-$B$624-1))+SUM($G$630:$I$630*DecCours*DecPasse^(B659-$B$630-1))+SUM($G$640:$I$640*DecCours*DecPasse^(B659-$B$640-1)) + SUM($G$650:$I$650*DecCours*DecPasse^(B659-$B$650-1))</f>
        <v>274.82251797999783</v>
      </c>
      <c r="K659" s="23"/>
      <c r="L659" s="31"/>
      <c r="M659" s="6"/>
    </row>
    <row r="660" spans="1:41" ht="16.5" thickBot="1" x14ac:dyDescent="0.3">
      <c r="A660" s="6"/>
      <c r="B660" s="6"/>
      <c r="C660" s="6"/>
      <c r="D660" s="44"/>
      <c r="E660" s="44"/>
      <c r="F660" s="44"/>
      <c r="G660" s="45"/>
      <c r="H660" s="45"/>
      <c r="I660" s="45"/>
      <c r="J660" s="6"/>
      <c r="K660" s="32"/>
      <c r="L660" s="6"/>
      <c r="M660" s="6"/>
    </row>
    <row r="661" spans="1:41" ht="16.5" thickBot="1" x14ac:dyDescent="0.3">
      <c r="A661" s="1" t="s">
        <v>17</v>
      </c>
      <c r="B661" s="2" t="s">
        <v>14</v>
      </c>
      <c r="C661" s="115">
        <v>5.48</v>
      </c>
      <c r="J661" s="6"/>
      <c r="K661" s="32"/>
      <c r="L661" s="6"/>
      <c r="M661" s="6"/>
    </row>
    <row r="662" spans="1:41" x14ac:dyDescent="0.25">
      <c r="A662" s="40"/>
      <c r="B662" s="46" t="s">
        <v>15</v>
      </c>
      <c r="C662" s="119">
        <v>2</v>
      </c>
      <c r="D662" s="39"/>
      <c r="J662" s="6"/>
      <c r="K662" s="32"/>
      <c r="L662" s="6"/>
      <c r="M662" s="6"/>
    </row>
    <row r="663" spans="1:41" x14ac:dyDescent="0.25">
      <c r="A663" s="40"/>
      <c r="B663" s="47" t="s">
        <v>18</v>
      </c>
      <c r="C663" s="120">
        <v>2.48</v>
      </c>
      <c r="D663" s="39"/>
      <c r="J663" s="6"/>
      <c r="K663" s="32"/>
      <c r="L663" s="6"/>
      <c r="M663" s="6"/>
    </row>
    <row r="664" spans="1:41" ht="16.5" thickBot="1" x14ac:dyDescent="0.3">
      <c r="A664" s="48"/>
      <c r="B664" s="42" t="s">
        <v>16</v>
      </c>
      <c r="C664" s="118">
        <v>1</v>
      </c>
      <c r="G664" s="4" t="s">
        <v>98</v>
      </c>
      <c r="J664" s="6"/>
      <c r="K664" s="32"/>
      <c r="L664" s="6"/>
      <c r="M664" s="6"/>
    </row>
    <row r="665" spans="1:41" x14ac:dyDescent="0.25">
      <c r="A665" s="7"/>
      <c r="B665" s="53"/>
      <c r="C665" s="52"/>
      <c r="J665" s="6"/>
      <c r="K665" s="32"/>
      <c r="L665" s="6"/>
      <c r="M665" s="6"/>
    </row>
    <row r="666" spans="1:41" ht="47.25" x14ac:dyDescent="0.25">
      <c r="D666" s="183" t="s">
        <v>75</v>
      </c>
      <c r="E666" s="184"/>
      <c r="F666" s="185"/>
      <c r="G666" s="186" t="s">
        <v>93</v>
      </c>
      <c r="H666" s="187"/>
      <c r="I666" s="188"/>
      <c r="J666" s="7"/>
      <c r="K666" s="156" t="s">
        <v>86</v>
      </c>
      <c r="L666" s="157" t="s">
        <v>85</v>
      </c>
      <c r="M666" s="6"/>
    </row>
    <row r="667" spans="1:41" ht="16.5" thickBot="1" x14ac:dyDescent="0.3">
      <c r="A667" s="8" t="s">
        <v>2</v>
      </c>
      <c r="B667" s="8" t="s">
        <v>3</v>
      </c>
      <c r="C667" s="8" t="s">
        <v>76</v>
      </c>
      <c r="D667" s="149" t="s">
        <v>4</v>
      </c>
      <c r="E667" s="149" t="s">
        <v>77</v>
      </c>
      <c r="F667" s="149" t="s">
        <v>5</v>
      </c>
      <c r="G667" s="9" t="s">
        <v>4</v>
      </c>
      <c r="H667" s="9" t="s">
        <v>77</v>
      </c>
      <c r="I667" s="9" t="s">
        <v>5</v>
      </c>
      <c r="J667" s="8" t="s">
        <v>6</v>
      </c>
      <c r="K667" s="10" t="s">
        <v>7</v>
      </c>
      <c r="L667" s="11" t="s">
        <v>8</v>
      </c>
      <c r="M667" s="6"/>
    </row>
    <row r="668" spans="1:41" x14ac:dyDescent="0.25">
      <c r="A668" s="12" t="s">
        <v>9</v>
      </c>
      <c r="B668" s="13">
        <v>0</v>
      </c>
      <c r="C668" s="14">
        <f>400*C661</f>
        <v>2192</v>
      </c>
      <c r="D668" s="15">
        <f>60%*0.9</f>
        <v>0.54</v>
      </c>
      <c r="E668" s="15">
        <f>16%*0.9</f>
        <v>0.14400000000000002</v>
      </c>
      <c r="F668" s="15">
        <f>8%*0.9</f>
        <v>7.2000000000000008E-2</v>
      </c>
      <c r="G668" s="16">
        <f>(0.56*InfraRx + 0.04*InfraFs)*C668*TauxC*MasseMol</f>
        <v>984.97520000000009</v>
      </c>
      <c r="H668" s="16">
        <f>E668*C668*InfraRx*TauxC*MasseMol</f>
        <v>230.89651199999997</v>
      </c>
      <c r="I668" s="16">
        <f>F668*C668*InfraRx*TauxC*MasseMol</f>
        <v>115.44825599999999</v>
      </c>
      <c r="J668" s="14">
        <v>0</v>
      </c>
      <c r="K668" s="15">
        <f>0.16</f>
        <v>0.16</v>
      </c>
      <c r="L668" s="33">
        <f>C668*(D668*CoefSubSciage+E668*CoefSubEmballage+F668*CoefSubPanneaux+K668*CoefSubEnergie)</f>
        <v>2008.3980800000004</v>
      </c>
      <c r="M668" s="6"/>
    </row>
    <row r="669" spans="1:41" x14ac:dyDescent="0.25">
      <c r="A669" s="24" t="s">
        <v>9</v>
      </c>
      <c r="B669" s="25">
        <v>1</v>
      </c>
      <c r="C669" s="26">
        <v>0</v>
      </c>
      <c r="D669" s="27">
        <v>0</v>
      </c>
      <c r="E669" s="27">
        <v>0</v>
      </c>
      <c r="F669" s="27">
        <v>0</v>
      </c>
      <c r="G669" s="28"/>
      <c r="H669" s="28"/>
      <c r="I669" s="28"/>
      <c r="J669" s="26">
        <f t="array" ref="J669">SUM($G$668:$I$668*DecCours)</f>
        <v>1284.2816610298648</v>
      </c>
      <c r="K669" s="27"/>
      <c r="L669" s="30"/>
      <c r="M669" s="6"/>
      <c r="N669" s="62"/>
      <c r="O669" s="62"/>
      <c r="P669" s="62"/>
      <c r="Q669" s="62"/>
      <c r="R669" s="62"/>
      <c r="S669" s="62"/>
      <c r="T669" s="62"/>
      <c r="U669" s="80"/>
      <c r="V669" s="62"/>
      <c r="W669" s="62"/>
      <c r="X669" s="62"/>
      <c r="Y669" s="62"/>
      <c r="Z669" s="62"/>
      <c r="AA669" s="79"/>
      <c r="AB669"/>
      <c r="AC669" s="56"/>
      <c r="AD669" s="70"/>
      <c r="AE669" s="71"/>
      <c r="AF669" s="72"/>
      <c r="AG669" s="72"/>
      <c r="AH669" s="128"/>
      <c r="AI669"/>
      <c r="AJ669" s="62"/>
      <c r="AK669" s="62"/>
      <c r="AL669" s="62"/>
      <c r="AM669" s="62"/>
      <c r="AN669" s="62"/>
      <c r="AO669" s="79"/>
    </row>
    <row r="670" spans="1:41" x14ac:dyDescent="0.25">
      <c r="A670" s="24" t="s">
        <v>9</v>
      </c>
      <c r="B670" s="25">
        <v>2</v>
      </c>
      <c r="C670" s="26">
        <v>0</v>
      </c>
      <c r="D670" s="27">
        <v>0</v>
      </c>
      <c r="E670" s="27">
        <v>0</v>
      </c>
      <c r="F670" s="27">
        <v>0</v>
      </c>
      <c r="G670" s="28"/>
      <c r="H670" s="28"/>
      <c r="I670" s="28"/>
      <c r="J670" s="26">
        <f t="array" ref="J670">SUM($G$668:$I$668*DecCours*DecPasse^(B670-$B$668-1))</f>
        <v>1204.8901241382111</v>
      </c>
      <c r="K670" s="27"/>
      <c r="L670" s="30"/>
      <c r="M670" s="6"/>
      <c r="N670" s="62"/>
      <c r="O670" s="62"/>
      <c r="P670" s="62"/>
      <c r="Q670" s="62"/>
      <c r="R670" s="62"/>
      <c r="S670" s="62"/>
      <c r="T670" s="62"/>
      <c r="U670" s="80"/>
      <c r="V670" s="62"/>
      <c r="W670" s="62"/>
      <c r="X670" s="62"/>
      <c r="Y670" s="62"/>
      <c r="Z670" s="62"/>
      <c r="AA670" s="79"/>
      <c r="AB670"/>
      <c r="AC670" s="56"/>
      <c r="AD670" s="70"/>
      <c r="AE670" s="71"/>
      <c r="AF670" s="72"/>
      <c r="AG670" s="72"/>
      <c r="AH670" s="128"/>
      <c r="AI670"/>
      <c r="AJ670" s="62"/>
      <c r="AK670" s="62"/>
      <c r="AL670" s="62"/>
      <c r="AM670" s="62"/>
      <c r="AN670" s="62"/>
      <c r="AO670" s="79"/>
    </row>
    <row r="671" spans="1:41" x14ac:dyDescent="0.25">
      <c r="A671" s="24" t="s">
        <v>9</v>
      </c>
      <c r="B671" s="25">
        <v>3</v>
      </c>
      <c r="C671" s="26">
        <v>0</v>
      </c>
      <c r="D671" s="27">
        <v>0</v>
      </c>
      <c r="E671" s="27">
        <v>0</v>
      </c>
      <c r="F671" s="27">
        <v>0</v>
      </c>
      <c r="G671" s="28"/>
      <c r="H671" s="28"/>
      <c r="I671" s="28"/>
      <c r="J671" s="26">
        <f t="array" ref="J671">SUM($G$668:$I$668*DecCours*DecPasse^(B671-$B$668-1))</f>
        <v>1142.698537364133</v>
      </c>
      <c r="K671" s="27"/>
      <c r="L671" s="30"/>
      <c r="M671" s="6"/>
      <c r="N671" s="62"/>
      <c r="O671" s="62"/>
      <c r="P671" s="62"/>
      <c r="Q671" s="62"/>
      <c r="R671" s="62"/>
      <c r="S671" s="62"/>
      <c r="T671" s="62"/>
      <c r="U671" s="80"/>
      <c r="V671" s="62"/>
      <c r="W671" s="62"/>
      <c r="X671" s="62"/>
      <c r="Y671" s="62"/>
      <c r="Z671" s="62"/>
      <c r="AA671" s="79"/>
      <c r="AB671"/>
      <c r="AC671" s="56"/>
      <c r="AD671" s="70"/>
      <c r="AE671" s="71"/>
      <c r="AF671" s="72"/>
      <c r="AG671" s="72"/>
      <c r="AH671" s="128"/>
      <c r="AI671"/>
      <c r="AJ671" s="62"/>
      <c r="AK671" s="62"/>
      <c r="AL671" s="62"/>
      <c r="AM671" s="62"/>
      <c r="AN671" s="62"/>
      <c r="AO671" s="79"/>
    </row>
    <row r="672" spans="1:41" x14ac:dyDescent="0.25">
      <c r="A672" s="24" t="s">
        <v>9</v>
      </c>
      <c r="B672" s="25">
        <v>4</v>
      </c>
      <c r="C672" s="26">
        <v>0</v>
      </c>
      <c r="D672" s="27">
        <v>0</v>
      </c>
      <c r="E672" s="27">
        <v>0</v>
      </c>
      <c r="F672" s="27">
        <v>0</v>
      </c>
      <c r="G672" s="28"/>
      <c r="H672" s="28"/>
      <c r="I672" s="28"/>
      <c r="J672" s="26">
        <f t="array" ref="J672">SUM($G$668:$I$668*DecCours*DecPasse^(B672-$B$668-1))</f>
        <v>1092.7942492108473</v>
      </c>
      <c r="K672" s="27"/>
      <c r="L672" s="30"/>
      <c r="M672" s="6"/>
      <c r="N672" s="62"/>
      <c r="O672" s="62"/>
      <c r="P672" s="62"/>
      <c r="Q672" s="62"/>
      <c r="R672" s="62"/>
      <c r="S672" s="62"/>
      <c r="T672" s="62"/>
      <c r="U672" s="80"/>
      <c r="V672" s="62"/>
      <c r="W672" s="62"/>
      <c r="X672" s="62"/>
      <c r="Y672" s="62"/>
      <c r="Z672" s="62"/>
      <c r="AA672" s="79"/>
      <c r="AB672"/>
      <c r="AC672" s="56"/>
      <c r="AD672" s="70"/>
      <c r="AE672" s="71"/>
      <c r="AF672" s="72"/>
      <c r="AG672" s="72"/>
      <c r="AH672" s="128"/>
      <c r="AI672"/>
      <c r="AJ672" s="62"/>
      <c r="AK672" s="62"/>
      <c r="AL672" s="62"/>
      <c r="AM672" s="62"/>
      <c r="AN672" s="62"/>
      <c r="AO672" s="79"/>
    </row>
    <row r="673" spans="1:41" x14ac:dyDescent="0.25">
      <c r="A673" s="24" t="s">
        <v>9</v>
      </c>
      <c r="B673" s="25">
        <v>5</v>
      </c>
      <c r="C673" s="26">
        <v>0</v>
      </c>
      <c r="D673" s="27">
        <v>0</v>
      </c>
      <c r="E673" s="27">
        <v>0</v>
      </c>
      <c r="F673" s="27">
        <v>0</v>
      </c>
      <c r="G673" s="28"/>
      <c r="H673" s="28"/>
      <c r="I673" s="28"/>
      <c r="J673" s="26">
        <f t="array" ref="J673">SUM($G$668:$I$668*DecCours*DecPasse^(B673-$B$668-1))</f>
        <v>1051.7008625148123</v>
      </c>
      <c r="K673" s="27"/>
      <c r="L673" s="30"/>
      <c r="M673" s="6"/>
      <c r="N673" s="62"/>
      <c r="O673" s="62"/>
      <c r="P673" s="62"/>
      <c r="Q673" s="62"/>
      <c r="R673" s="62"/>
      <c r="S673" s="62"/>
      <c r="T673" s="62"/>
      <c r="U673" s="80"/>
      <c r="V673" s="62"/>
      <c r="W673" s="62"/>
      <c r="X673" s="62"/>
      <c r="Y673" s="62"/>
      <c r="Z673" s="62"/>
      <c r="AA673" s="79"/>
      <c r="AB673"/>
      <c r="AC673" s="56"/>
      <c r="AD673" s="70"/>
      <c r="AE673" s="71"/>
      <c r="AF673" s="72"/>
      <c r="AG673" s="72"/>
      <c r="AH673" s="128"/>
      <c r="AI673"/>
      <c r="AJ673" s="62"/>
      <c r="AK673" s="62"/>
      <c r="AL673" s="62"/>
      <c r="AM673" s="62"/>
      <c r="AN673" s="62"/>
      <c r="AO673" s="79"/>
    </row>
    <row r="674" spans="1:41" x14ac:dyDescent="0.25">
      <c r="A674" s="24" t="s">
        <v>9</v>
      </c>
      <c r="B674" s="25">
        <v>6</v>
      </c>
      <c r="C674" s="26">
        <v>0</v>
      </c>
      <c r="D674" s="27">
        <v>0</v>
      </c>
      <c r="E674" s="27">
        <v>0</v>
      </c>
      <c r="F674" s="27">
        <v>0</v>
      </c>
      <c r="G674" s="28"/>
      <c r="H674" s="28"/>
      <c r="I674" s="28"/>
      <c r="J674" s="26">
        <f t="array" ref="J674">SUM($G$668:$I$668*DecCours*DecPasse^(B674-$B$668-1))</f>
        <v>1016.957621606577</v>
      </c>
      <c r="K674" s="27"/>
      <c r="L674" s="30"/>
      <c r="M674" s="6"/>
      <c r="N674" s="62"/>
      <c r="O674" s="62"/>
      <c r="P674" s="62"/>
      <c r="Q674" s="62"/>
      <c r="R674" s="62"/>
      <c r="S674" s="62"/>
      <c r="T674" s="62"/>
      <c r="U674" s="80"/>
      <c r="V674" s="62"/>
      <c r="W674" s="62"/>
      <c r="X674" s="62"/>
      <c r="Y674" s="62"/>
      <c r="Z674" s="62"/>
      <c r="AA674" s="79"/>
      <c r="AB674"/>
      <c r="AC674" s="56"/>
      <c r="AD674" s="70"/>
      <c r="AE674" s="71"/>
      <c r="AF674" s="72"/>
      <c r="AG674" s="72"/>
      <c r="AH674" s="128"/>
      <c r="AI674"/>
      <c r="AJ674" s="62"/>
      <c r="AK674" s="62"/>
      <c r="AL674" s="62"/>
      <c r="AM674" s="62"/>
      <c r="AN674" s="62"/>
      <c r="AO674" s="79"/>
    </row>
    <row r="675" spans="1:41" x14ac:dyDescent="0.25">
      <c r="A675" s="24" t="s">
        <v>9</v>
      </c>
      <c r="B675" s="25">
        <v>7</v>
      </c>
      <c r="C675" s="26">
        <v>0</v>
      </c>
      <c r="D675" s="27">
        <v>0</v>
      </c>
      <c r="E675" s="27">
        <v>0</v>
      </c>
      <c r="F675" s="27">
        <v>0</v>
      </c>
      <c r="G675" s="28"/>
      <c r="H675" s="28"/>
      <c r="I675" s="28"/>
      <c r="J675" s="26">
        <f t="array" ref="J675">SUM($G$668:$I$668*DecCours*DecPasse^(B675-$B$668-1))</f>
        <v>986.82199288487436</v>
      </c>
      <c r="K675" s="27"/>
      <c r="L675" s="30"/>
      <c r="M675" s="6"/>
      <c r="N675" s="62"/>
      <c r="O675" s="62"/>
      <c r="P675" s="62"/>
      <c r="Q675" s="62"/>
      <c r="R675" s="62"/>
      <c r="S675" s="62"/>
      <c r="T675" s="62"/>
      <c r="U675" s="80"/>
      <c r="V675" s="62"/>
      <c r="W675" s="62"/>
      <c r="X675" s="62"/>
      <c r="Y675" s="62"/>
      <c r="Z675" s="62"/>
      <c r="AA675" s="79"/>
      <c r="AB675"/>
      <c r="AC675" s="56"/>
      <c r="AD675" s="70"/>
      <c r="AE675" s="71"/>
      <c r="AF675" s="72"/>
      <c r="AG675" s="72"/>
      <c r="AH675" s="128"/>
      <c r="AI675"/>
      <c r="AJ675" s="62"/>
      <c r="AK675" s="62"/>
      <c r="AL675" s="62"/>
      <c r="AM675" s="62"/>
      <c r="AN675" s="62"/>
      <c r="AO675" s="79"/>
    </row>
    <row r="676" spans="1:41" x14ac:dyDescent="0.25">
      <c r="A676" s="24" t="s">
        <v>9</v>
      </c>
      <c r="B676" s="25">
        <v>8</v>
      </c>
      <c r="C676" s="26">
        <v>0</v>
      </c>
      <c r="D676" s="27">
        <v>0</v>
      </c>
      <c r="E676" s="27">
        <v>0</v>
      </c>
      <c r="F676" s="27">
        <v>0</v>
      </c>
      <c r="G676" s="28"/>
      <c r="H676" s="28"/>
      <c r="I676" s="28"/>
      <c r="J676" s="26">
        <f t="array" ref="J676">SUM($G$668:$I$668*DecCours*DecPasse^(B676-$B$668-1))</f>
        <v>960.05935631640602</v>
      </c>
      <c r="K676" s="27"/>
      <c r="L676" s="30"/>
      <c r="M676" s="6"/>
      <c r="N676" s="62"/>
      <c r="O676" s="62"/>
      <c r="P676" s="62"/>
      <c r="Q676" s="62"/>
      <c r="R676" s="62"/>
      <c r="S676" s="62"/>
      <c r="T676" s="62"/>
      <c r="U676" s="80"/>
      <c r="V676" s="62"/>
      <c r="W676" s="62"/>
      <c r="X676" s="62"/>
      <c r="Y676" s="62"/>
      <c r="Z676" s="62"/>
      <c r="AA676" s="79"/>
      <c r="AB676"/>
      <c r="AC676" s="56"/>
      <c r="AD676" s="70"/>
      <c r="AE676" s="71"/>
      <c r="AF676" s="72"/>
      <c r="AG676" s="72"/>
      <c r="AH676" s="128"/>
      <c r="AI676"/>
      <c r="AJ676" s="62"/>
      <c r="AK676" s="62"/>
      <c r="AL676" s="62"/>
      <c r="AM676" s="62"/>
      <c r="AN676" s="62"/>
      <c r="AO676" s="79"/>
    </row>
    <row r="677" spans="1:41" x14ac:dyDescent="0.25">
      <c r="A677" s="24" t="s">
        <v>9</v>
      </c>
      <c r="B677" s="25">
        <v>9</v>
      </c>
      <c r="C677" s="26">
        <v>0</v>
      </c>
      <c r="D677" s="27">
        <v>0</v>
      </c>
      <c r="E677" s="27">
        <v>0</v>
      </c>
      <c r="F677" s="27">
        <v>0</v>
      </c>
      <c r="G677" s="28"/>
      <c r="H677" s="28"/>
      <c r="I677" s="28"/>
      <c r="J677" s="26">
        <f t="array" ref="J677">SUM($G$668:$I$668*DecCours*DecPasse^(B677-$B$668-1))</f>
        <v>935.79429368905892</v>
      </c>
      <c r="K677" s="27"/>
      <c r="L677" s="30"/>
      <c r="M677" s="6"/>
      <c r="N677" s="62"/>
      <c r="O677" s="62"/>
      <c r="P677" s="62"/>
      <c r="Q677" s="62"/>
      <c r="R677" s="62"/>
      <c r="S677" s="62"/>
      <c r="T677" s="62"/>
      <c r="U677" s="80"/>
      <c r="V677" s="62"/>
      <c r="W677" s="62"/>
      <c r="X677" s="62"/>
      <c r="Y677" s="62"/>
      <c r="Z677" s="62"/>
      <c r="AA677" s="79"/>
      <c r="AB677"/>
      <c r="AC677" s="56"/>
      <c r="AD677" s="70"/>
      <c r="AE677" s="71"/>
      <c r="AF677" s="72"/>
      <c r="AG677" s="72"/>
      <c r="AH677" s="128"/>
      <c r="AI677"/>
      <c r="AJ677" s="62"/>
      <c r="AK677" s="62"/>
      <c r="AL677" s="62"/>
      <c r="AM677" s="62"/>
      <c r="AN677" s="62"/>
      <c r="AO677" s="79"/>
    </row>
    <row r="678" spans="1:41" x14ac:dyDescent="0.25">
      <c r="A678" s="24" t="s">
        <v>9</v>
      </c>
      <c r="B678" s="25">
        <v>10</v>
      </c>
      <c r="C678" s="26">
        <v>0</v>
      </c>
      <c r="D678" s="27">
        <v>0</v>
      </c>
      <c r="E678" s="27">
        <v>0</v>
      </c>
      <c r="F678" s="27">
        <v>0</v>
      </c>
      <c r="G678" s="28"/>
      <c r="H678" s="28"/>
      <c r="I678" s="28"/>
      <c r="J678" s="26">
        <f t="array" ref="J678">SUM($G$668:$I$668*DecCours*DecPasse^(B678-$B$668-1))</f>
        <v>913.40543237368991</v>
      </c>
      <c r="K678" s="27"/>
      <c r="L678" s="30"/>
      <c r="M678" s="6"/>
      <c r="N678" s="62"/>
      <c r="O678" s="62"/>
      <c r="P678" s="62"/>
      <c r="Q678" s="62"/>
      <c r="R678" s="62"/>
      <c r="S678" s="62"/>
      <c r="T678" s="62"/>
      <c r="U678" s="80"/>
      <c r="V678" s="62"/>
      <c r="W678" s="62"/>
      <c r="X678" s="62"/>
      <c r="Y678" s="62"/>
      <c r="Z678" s="62"/>
      <c r="AA678" s="79"/>
      <c r="AB678"/>
      <c r="AC678" s="56"/>
      <c r="AD678" s="70"/>
      <c r="AE678" s="71"/>
      <c r="AF678" s="72"/>
      <c r="AG678" s="72"/>
      <c r="AH678" s="128"/>
      <c r="AI678"/>
      <c r="AJ678" s="62"/>
      <c r="AK678" s="62"/>
      <c r="AL678" s="62"/>
      <c r="AM678" s="62"/>
      <c r="AN678" s="62"/>
      <c r="AO678" s="79"/>
    </row>
    <row r="679" spans="1:41" x14ac:dyDescent="0.25">
      <c r="A679" s="24" t="s">
        <v>9</v>
      </c>
      <c r="B679" s="25">
        <v>11</v>
      </c>
      <c r="C679" s="26">
        <v>0</v>
      </c>
      <c r="D679" s="27">
        <v>0</v>
      </c>
      <c r="E679" s="27">
        <v>0</v>
      </c>
      <c r="F679" s="27">
        <v>0</v>
      </c>
      <c r="G679" s="28"/>
      <c r="H679" s="28"/>
      <c r="I679" s="28"/>
      <c r="J679" s="26">
        <f t="array" ref="J679">SUM($G$668:$I$668*DecCours*DecPasse^(B679-$B$668-1))</f>
        <v>892.45108750729651</v>
      </c>
      <c r="K679" s="27"/>
      <c r="L679" s="30"/>
      <c r="M679" s="6"/>
      <c r="N679" s="62"/>
      <c r="O679" s="62"/>
      <c r="P679" s="62"/>
      <c r="Q679" s="62"/>
      <c r="R679" s="62"/>
      <c r="S679" s="62"/>
      <c r="T679" s="62"/>
      <c r="U679" s="80"/>
      <c r="V679" s="62"/>
      <c r="W679" s="62"/>
      <c r="X679" s="62"/>
      <c r="Y679" s="62"/>
      <c r="Z679" s="62"/>
      <c r="AA679" s="79"/>
      <c r="AB679"/>
      <c r="AC679" s="56"/>
      <c r="AD679" s="70"/>
      <c r="AE679" s="71"/>
      <c r="AF679" s="72"/>
      <c r="AG679" s="72"/>
      <c r="AH679" s="128"/>
      <c r="AI679"/>
      <c r="AJ679" s="62"/>
      <c r="AK679" s="62"/>
      <c r="AL679" s="62"/>
      <c r="AM679" s="62"/>
      <c r="AN679" s="62"/>
      <c r="AO679" s="79"/>
    </row>
    <row r="680" spans="1:41" x14ac:dyDescent="0.25">
      <c r="A680" s="24" t="s">
        <v>9</v>
      </c>
      <c r="B680" s="25">
        <v>12</v>
      </c>
      <c r="C680" s="26">
        <v>0</v>
      </c>
      <c r="D680" s="27">
        <v>0</v>
      </c>
      <c r="E680" s="27">
        <v>0</v>
      </c>
      <c r="F680" s="27">
        <v>0</v>
      </c>
      <c r="G680" s="28"/>
      <c r="H680" s="28"/>
      <c r="I680" s="28"/>
      <c r="J680" s="26">
        <f t="array" ref="J680">SUM($G$668:$I$668*DecCours*DecPasse^(B680-$B$668-1))</f>
        <v>872.61668197410961</v>
      </c>
      <c r="K680" s="27"/>
      <c r="L680" s="30"/>
      <c r="M680" s="6"/>
      <c r="N680" s="62"/>
      <c r="O680" s="62"/>
      <c r="P680" s="62"/>
      <c r="Q680" s="62"/>
      <c r="R680" s="62"/>
      <c r="S680" s="62"/>
      <c r="T680" s="62"/>
      <c r="U680" s="80"/>
      <c r="V680" s="62"/>
      <c r="W680" s="62"/>
      <c r="X680" s="62"/>
      <c r="Y680" s="62"/>
      <c r="Z680" s="62"/>
      <c r="AA680" s="79"/>
      <c r="AB680"/>
      <c r="AC680" s="56"/>
      <c r="AD680" s="70"/>
      <c r="AE680" s="71"/>
      <c r="AF680" s="72"/>
      <c r="AG680" s="72"/>
      <c r="AH680" s="128"/>
      <c r="AI680"/>
      <c r="AJ680" s="62"/>
      <c r="AK680" s="62"/>
      <c r="AL680" s="62"/>
      <c r="AM680" s="62"/>
      <c r="AN680" s="62"/>
      <c r="AO680" s="79"/>
    </row>
    <row r="681" spans="1:41" x14ac:dyDescent="0.25">
      <c r="A681" s="24" t="s">
        <v>9</v>
      </c>
      <c r="B681" s="25">
        <v>13</v>
      </c>
      <c r="C681" s="26">
        <v>0</v>
      </c>
      <c r="D681" s="27">
        <v>0</v>
      </c>
      <c r="E681" s="27">
        <v>0</v>
      </c>
      <c r="F681" s="27">
        <v>0</v>
      </c>
      <c r="G681" s="28"/>
      <c r="H681" s="28"/>
      <c r="I681" s="28"/>
      <c r="J681" s="26">
        <f t="array" ref="J681">SUM($G$668:$I$668*DecCours*DecPasse^(B681-$B$668-1))</f>
        <v>853.67756564000751</v>
      </c>
      <c r="K681" s="27"/>
      <c r="L681" s="30"/>
      <c r="M681" s="6"/>
      <c r="N681" s="62"/>
      <c r="O681" s="62"/>
      <c r="P681" s="62"/>
      <c r="Q681" s="62"/>
      <c r="R681" s="62"/>
      <c r="S681" s="62"/>
      <c r="T681" s="62"/>
      <c r="U681" s="80"/>
      <c r="V681" s="62"/>
      <c r="W681" s="62"/>
      <c r="X681" s="62"/>
      <c r="Y681" s="62"/>
      <c r="Z681" s="62"/>
      <c r="AA681" s="79"/>
      <c r="AB681"/>
      <c r="AC681" s="56"/>
      <c r="AD681" s="70"/>
      <c r="AE681" s="71"/>
      <c r="AF681" s="72"/>
      <c r="AG681" s="72"/>
      <c r="AH681" s="128"/>
      <c r="AI681"/>
      <c r="AJ681" s="62"/>
      <c r="AK681" s="62"/>
      <c r="AL681" s="62"/>
      <c r="AM681" s="62"/>
      <c r="AN681" s="62"/>
      <c r="AO681" s="79"/>
    </row>
    <row r="682" spans="1:41" x14ac:dyDescent="0.25">
      <c r="A682" s="24" t="s">
        <v>9</v>
      </c>
      <c r="B682" s="25">
        <v>14</v>
      </c>
      <c r="C682" s="26">
        <v>0</v>
      </c>
      <c r="D682" s="27">
        <v>0</v>
      </c>
      <c r="E682" s="27">
        <v>0</v>
      </c>
      <c r="F682" s="27">
        <v>0</v>
      </c>
      <c r="G682" s="28"/>
      <c r="H682" s="28"/>
      <c r="I682" s="28"/>
      <c r="J682" s="26">
        <f t="array" ref="J682">SUM($G$668:$I$668*DecCours*DecPasse^(B682-$B$668-1))</f>
        <v>835.47272352753964</v>
      </c>
      <c r="K682" s="27"/>
      <c r="L682" s="30"/>
      <c r="M682" s="6"/>
      <c r="N682" s="62"/>
      <c r="O682" s="62"/>
      <c r="P682" s="62"/>
      <c r="Q682" s="62"/>
      <c r="R682" s="62"/>
      <c r="S682" s="62"/>
      <c r="T682" s="62"/>
      <c r="U682" s="80"/>
      <c r="V682" s="62"/>
      <c r="W682" s="62"/>
      <c r="X682" s="62"/>
      <c r="Y682" s="62"/>
      <c r="Z682" s="62"/>
      <c r="AA682" s="79"/>
      <c r="AB682"/>
      <c r="AC682" s="56"/>
      <c r="AD682" s="70"/>
      <c r="AE682" s="71"/>
      <c r="AF682" s="72"/>
      <c r="AG682" s="72"/>
      <c r="AH682" s="128"/>
      <c r="AI682"/>
      <c r="AJ682" s="62"/>
      <c r="AK682" s="62"/>
      <c r="AL682" s="62"/>
      <c r="AM682" s="62"/>
      <c r="AN682" s="62"/>
      <c r="AO682" s="79"/>
    </row>
    <row r="683" spans="1:41" x14ac:dyDescent="0.25">
      <c r="A683" s="24" t="s">
        <v>9</v>
      </c>
      <c r="B683" s="25">
        <v>15</v>
      </c>
      <c r="C683" s="26">
        <v>0</v>
      </c>
      <c r="D683" s="27">
        <v>0</v>
      </c>
      <c r="E683" s="27">
        <v>0</v>
      </c>
      <c r="F683" s="27">
        <v>0</v>
      </c>
      <c r="G683" s="28"/>
      <c r="H683" s="28"/>
      <c r="I683" s="28"/>
      <c r="J683" s="26">
        <f t="array" ref="J683">SUM($G$668:$I$668*DecCours*DecPasse^(B683-$B$668-1))</f>
        <v>817.88618365829973</v>
      </c>
      <c r="K683" s="27"/>
      <c r="L683" s="30"/>
      <c r="M683" s="6"/>
      <c r="N683" s="62"/>
      <c r="O683" s="62"/>
      <c r="P683" s="62"/>
      <c r="Q683" s="62"/>
      <c r="R683" s="62"/>
      <c r="S683" s="62"/>
      <c r="T683" s="62"/>
      <c r="U683" s="80"/>
      <c r="V683" s="62"/>
      <c r="W683" s="62"/>
      <c r="X683" s="62"/>
      <c r="Y683" s="62"/>
      <c r="Z683" s="62"/>
      <c r="AA683" s="79"/>
      <c r="AB683"/>
      <c r="AC683" s="56"/>
      <c r="AD683" s="70"/>
      <c r="AE683" s="71"/>
      <c r="AF683" s="72"/>
      <c r="AG683" s="72"/>
      <c r="AH683" s="128"/>
      <c r="AI683"/>
      <c r="AJ683" s="62"/>
      <c r="AK683" s="62"/>
      <c r="AL683" s="62"/>
      <c r="AM683" s="62"/>
      <c r="AN683" s="62"/>
      <c r="AO683" s="79"/>
    </row>
    <row r="684" spans="1:41" x14ac:dyDescent="0.25">
      <c r="A684" s="24" t="s">
        <v>9</v>
      </c>
      <c r="B684" s="25">
        <v>16</v>
      </c>
      <c r="C684" s="26">
        <v>0</v>
      </c>
      <c r="D684" s="27">
        <v>0</v>
      </c>
      <c r="E684" s="27">
        <v>0</v>
      </c>
      <c r="F684" s="27">
        <v>0</v>
      </c>
      <c r="G684" s="28"/>
      <c r="H684" s="28"/>
      <c r="I684" s="28"/>
      <c r="J684" s="26">
        <f t="array" ref="J684">SUM($G$668:$I$668*DecCours*DecPasse^(B684-$B$668-1))</f>
        <v>800.83386940535161</v>
      </c>
      <c r="K684" s="27"/>
      <c r="L684" s="30"/>
      <c r="M684" s="6"/>
      <c r="N684" s="62"/>
      <c r="O684" s="62"/>
      <c r="P684" s="62"/>
      <c r="Q684" s="62"/>
      <c r="R684" s="62"/>
      <c r="S684" s="62"/>
      <c r="T684" s="62"/>
      <c r="U684" s="80"/>
      <c r="V684" s="62"/>
      <c r="W684" s="62"/>
      <c r="X684" s="62"/>
      <c r="Y684" s="62"/>
      <c r="Z684" s="62"/>
      <c r="AA684" s="79"/>
      <c r="AB684"/>
      <c r="AC684" s="56"/>
      <c r="AD684" s="70"/>
      <c r="AE684" s="71"/>
      <c r="AF684" s="72"/>
      <c r="AG684" s="72"/>
      <c r="AH684" s="128"/>
      <c r="AI684"/>
      <c r="AJ684" s="62"/>
      <c r="AK684" s="62"/>
      <c r="AL684" s="62"/>
      <c r="AM684" s="62"/>
      <c r="AN684" s="62"/>
      <c r="AO684" s="79"/>
    </row>
    <row r="685" spans="1:41" x14ac:dyDescent="0.25">
      <c r="A685" s="24" t="s">
        <v>9</v>
      </c>
      <c r="B685" s="25">
        <v>17</v>
      </c>
      <c r="C685" s="26">
        <v>0</v>
      </c>
      <c r="D685" s="27">
        <v>0</v>
      </c>
      <c r="E685" s="27">
        <v>0</v>
      </c>
      <c r="F685" s="27">
        <v>0</v>
      </c>
      <c r="G685" s="28"/>
      <c r="H685" s="28"/>
      <c r="I685" s="28"/>
      <c r="J685" s="26">
        <f t="array" ref="J685">SUM($G$668:$I$668*DecCours*DecPasse^(B685-$B$668-1))</f>
        <v>784.25430171816936</v>
      </c>
      <c r="K685" s="27"/>
      <c r="L685" s="30"/>
      <c r="M685" s="6"/>
      <c r="N685" s="62"/>
      <c r="O685" s="62"/>
      <c r="P685" s="62"/>
      <c r="Q685" s="62"/>
      <c r="R685" s="62"/>
      <c r="S685" s="62"/>
      <c r="T685" s="62"/>
      <c r="U685" s="80"/>
      <c r="V685" s="62"/>
      <c r="W685" s="62"/>
      <c r="X685" s="62"/>
      <c r="Y685" s="62"/>
      <c r="Z685" s="62"/>
      <c r="AA685" s="79"/>
      <c r="AB685"/>
      <c r="AC685" s="56"/>
      <c r="AD685" s="70"/>
      <c r="AE685" s="71"/>
      <c r="AF685" s="72"/>
      <c r="AG685" s="72"/>
      <c r="AH685" s="128"/>
      <c r="AI685"/>
      <c r="AJ685" s="62"/>
      <c r="AK685" s="62"/>
      <c r="AL685" s="62"/>
      <c r="AM685" s="62"/>
      <c r="AN685" s="62"/>
      <c r="AO685" s="79"/>
    </row>
    <row r="686" spans="1:41" x14ac:dyDescent="0.25">
      <c r="A686" s="24" t="s">
        <v>9</v>
      </c>
      <c r="B686" s="25">
        <v>18</v>
      </c>
      <c r="C686" s="26">
        <v>0</v>
      </c>
      <c r="D686" s="27">
        <v>0</v>
      </c>
      <c r="E686" s="27">
        <v>0</v>
      </c>
      <c r="F686" s="27">
        <v>0</v>
      </c>
      <c r="G686" s="28"/>
      <c r="H686" s="28"/>
      <c r="I686" s="28"/>
      <c r="J686" s="26">
        <f t="array" ref="J686">SUM($G$668:$I$668*DecCours*DecPasse^(B686-$B$668-1))</f>
        <v>768.1020236405443</v>
      </c>
      <c r="K686" s="27"/>
      <c r="L686" s="30"/>
      <c r="M686" s="6"/>
      <c r="N686" s="62"/>
      <c r="O686" s="62"/>
      <c r="P686" s="62"/>
      <c r="Q686" s="62"/>
      <c r="R686" s="62"/>
      <c r="S686" s="62"/>
      <c r="T686" s="62"/>
      <c r="U686" s="80"/>
      <c r="V686" s="62"/>
      <c r="W686" s="62"/>
      <c r="X686" s="62"/>
      <c r="Y686" s="62"/>
      <c r="Z686" s="62"/>
      <c r="AA686" s="79"/>
      <c r="AB686"/>
      <c r="AC686" s="56"/>
      <c r="AD686" s="70"/>
      <c r="AE686" s="71"/>
      <c r="AF686" s="72"/>
      <c r="AG686" s="72"/>
      <c r="AH686" s="128"/>
      <c r="AI686"/>
      <c r="AJ686" s="62"/>
      <c r="AK686" s="62"/>
      <c r="AL686" s="62"/>
      <c r="AM686" s="62"/>
      <c r="AN686" s="62"/>
      <c r="AO686" s="79"/>
    </row>
    <row r="687" spans="1:41" x14ac:dyDescent="0.25">
      <c r="A687" s="24" t="s">
        <v>9</v>
      </c>
      <c r="B687" s="25">
        <v>19</v>
      </c>
      <c r="C687" s="26">
        <v>0</v>
      </c>
      <c r="D687" s="27">
        <v>0</v>
      </c>
      <c r="E687" s="27">
        <v>0</v>
      </c>
      <c r="F687" s="27">
        <v>0</v>
      </c>
      <c r="G687" s="28"/>
      <c r="H687" s="28"/>
      <c r="I687" s="28"/>
      <c r="J687" s="26">
        <f t="array" ref="J687">SUM($G$668:$I$668*DecCours*DecPasse^(B687-$B$668-1))</f>
        <v>752.34294980182028</v>
      </c>
      <c r="K687" s="27"/>
      <c r="L687" s="30"/>
      <c r="M687" s="6"/>
      <c r="N687" s="62"/>
      <c r="O687" s="62"/>
      <c r="P687" s="62"/>
      <c r="Q687" s="62"/>
      <c r="R687" s="62"/>
      <c r="S687" s="62"/>
      <c r="T687" s="62"/>
      <c r="U687" s="80"/>
      <c r="V687" s="62"/>
      <c r="W687" s="62"/>
      <c r="X687" s="62"/>
      <c r="Y687" s="62"/>
      <c r="Z687" s="62"/>
      <c r="AA687" s="79"/>
      <c r="AB687"/>
      <c r="AC687" s="56"/>
      <c r="AD687" s="70"/>
      <c r="AE687" s="71"/>
      <c r="AF687" s="72"/>
      <c r="AG687" s="72"/>
      <c r="AH687" s="128"/>
      <c r="AI687"/>
      <c r="AJ687" s="62"/>
      <c r="AK687" s="62"/>
      <c r="AL687" s="62"/>
      <c r="AM687" s="62"/>
      <c r="AN687" s="62"/>
      <c r="AO687" s="79"/>
    </row>
    <row r="688" spans="1:41" x14ac:dyDescent="0.25">
      <c r="A688" s="24" t="s">
        <v>9</v>
      </c>
      <c r="B688" s="25">
        <v>20</v>
      </c>
      <c r="C688" s="26">
        <v>0</v>
      </c>
      <c r="D688" s="27">
        <v>0</v>
      </c>
      <c r="E688" s="27">
        <v>0</v>
      </c>
      <c r="F688" s="27">
        <v>0</v>
      </c>
      <c r="G688" s="28"/>
      <c r="H688" s="28"/>
      <c r="I688" s="28"/>
      <c r="J688" s="26">
        <f t="array" ref="J688">SUM($G$668:$I$668*DecCours*DecPasse^(B688-$B$668-1))</f>
        <v>736.95107709083277</v>
      </c>
      <c r="K688" s="27"/>
      <c r="L688" s="30"/>
      <c r="M688" s="6"/>
      <c r="N688" s="62"/>
      <c r="O688" s="62"/>
      <c r="P688" s="62"/>
      <c r="Q688" s="62"/>
      <c r="R688" s="62"/>
      <c r="S688" s="62"/>
      <c r="T688" s="62"/>
      <c r="U688" s="80"/>
      <c r="V688" s="62"/>
      <c r="W688" s="62"/>
      <c r="X688" s="62"/>
      <c r="Y688" s="62"/>
      <c r="Z688" s="62"/>
      <c r="AA688" s="79"/>
      <c r="AB688"/>
      <c r="AC688" s="56"/>
      <c r="AD688" s="70"/>
      <c r="AE688" s="71"/>
      <c r="AF688" s="72"/>
      <c r="AG688" s="72"/>
      <c r="AH688" s="128"/>
      <c r="AI688"/>
      <c r="AJ688" s="62"/>
      <c r="AK688" s="62"/>
      <c r="AL688" s="62"/>
      <c r="AM688" s="62"/>
      <c r="AN688" s="62"/>
      <c r="AO688" s="79"/>
    </row>
    <row r="689" spans="1:41" x14ac:dyDescent="0.25">
      <c r="A689" s="24" t="s">
        <v>9</v>
      </c>
      <c r="B689" s="25">
        <v>21</v>
      </c>
      <c r="C689" s="26">
        <v>0</v>
      </c>
      <c r="D689" s="27">
        <v>0</v>
      </c>
      <c r="E689" s="27">
        <v>0</v>
      </c>
      <c r="F689" s="27">
        <v>0</v>
      </c>
      <c r="G689" s="28"/>
      <c r="H689" s="28"/>
      <c r="I689" s="28"/>
      <c r="J689" s="26">
        <f t="array" ref="J689">SUM($G$668:$I$668*DecCours*DecPasse^(B689-$B$668-1))</f>
        <v>721.90615785189982</v>
      </c>
      <c r="K689" s="27"/>
      <c r="L689" s="30"/>
      <c r="M689" s="6"/>
      <c r="N689" s="62"/>
      <c r="O689" s="62"/>
      <c r="P689" s="62"/>
      <c r="Q689" s="62"/>
      <c r="R689" s="62"/>
      <c r="S689" s="62"/>
      <c r="T689" s="62"/>
      <c r="U689" s="80"/>
      <c r="V689" s="62"/>
      <c r="W689" s="62"/>
      <c r="X689" s="62"/>
      <c r="Y689" s="62"/>
      <c r="Z689" s="62"/>
      <c r="AA689" s="79"/>
      <c r="AB689"/>
      <c r="AC689" s="56"/>
      <c r="AD689" s="70"/>
      <c r="AE689" s="71"/>
      <c r="AF689" s="72"/>
      <c r="AG689" s="72"/>
      <c r="AH689" s="128"/>
      <c r="AI689"/>
      <c r="AJ689" s="62"/>
      <c r="AK689" s="62"/>
      <c r="AL689" s="62"/>
      <c r="AM689" s="62"/>
      <c r="AN689" s="62"/>
      <c r="AO689" s="79"/>
    </row>
    <row r="690" spans="1:41" x14ac:dyDescent="0.25">
      <c r="A690" s="24" t="s">
        <v>9</v>
      </c>
      <c r="B690" s="25">
        <v>22</v>
      </c>
      <c r="C690" s="26">
        <v>0</v>
      </c>
      <c r="D690" s="27">
        <v>0</v>
      </c>
      <c r="E690" s="27">
        <v>0</v>
      </c>
      <c r="F690" s="27">
        <v>0</v>
      </c>
      <c r="G690" s="28"/>
      <c r="H690" s="28"/>
      <c r="I690" s="28"/>
      <c r="J690" s="26">
        <f t="array" ref="J690">SUM($G$668:$I$668*DecCours*DecPasse^(B690-$B$668-1))</f>
        <v>707.19205370674013</v>
      </c>
      <c r="K690" s="27"/>
      <c r="L690" s="30"/>
      <c r="M690" s="6"/>
      <c r="N690" s="62"/>
      <c r="O690" s="62"/>
      <c r="P690" s="62"/>
      <c r="Q690" s="62"/>
      <c r="R690" s="62"/>
      <c r="S690" s="62"/>
      <c r="T690" s="62"/>
      <c r="U690" s="80"/>
      <c r="V690" s="62"/>
      <c r="W690" s="62"/>
      <c r="X690" s="62"/>
      <c r="Y690" s="62"/>
      <c r="Z690" s="62"/>
      <c r="AA690" s="79"/>
      <c r="AB690"/>
      <c r="AC690" s="56"/>
      <c r="AD690" s="70"/>
      <c r="AE690" s="71"/>
      <c r="AF690" s="72"/>
      <c r="AG690" s="72"/>
      <c r="AH690" s="128"/>
      <c r="AI690"/>
      <c r="AJ690" s="62"/>
      <c r="AK690" s="62"/>
      <c r="AL690" s="62"/>
      <c r="AM690" s="62"/>
      <c r="AN690" s="62"/>
      <c r="AO690" s="79"/>
    </row>
    <row r="691" spans="1:41" x14ac:dyDescent="0.25">
      <c r="A691" s="24" t="s">
        <v>9</v>
      </c>
      <c r="B691" s="25">
        <v>23</v>
      </c>
      <c r="C691" s="26">
        <v>0</v>
      </c>
      <c r="D691" s="27">
        <v>0</v>
      </c>
      <c r="E691" s="27">
        <v>0</v>
      </c>
      <c r="F691" s="27">
        <v>0</v>
      </c>
      <c r="G691" s="28"/>
      <c r="H691" s="28"/>
      <c r="I691" s="28"/>
      <c r="J691" s="26">
        <f t="array" ref="J691">SUM($G$668:$I$668*DecCours*DecPasse^(B691-$B$668-1))</f>
        <v>692.79557067120265</v>
      </c>
      <c r="K691" s="27"/>
      <c r="L691" s="30"/>
      <c r="M691" s="6"/>
      <c r="N691" s="62"/>
      <c r="O691" s="62"/>
      <c r="P691" s="62"/>
      <c r="Q691" s="62"/>
      <c r="R691" s="62"/>
      <c r="S691" s="62"/>
      <c r="T691" s="62"/>
      <c r="U691" s="80"/>
      <c r="V691" s="62"/>
      <c r="W691" s="62"/>
      <c r="X691" s="62"/>
      <c r="Y691" s="62"/>
      <c r="Z691" s="62"/>
      <c r="AA691" s="79"/>
      <c r="AB691"/>
      <c r="AC691" s="56"/>
      <c r="AD691" s="70"/>
      <c r="AE691" s="71"/>
      <c r="AF691" s="72"/>
      <c r="AG691" s="72"/>
      <c r="AH691" s="128"/>
      <c r="AI691"/>
      <c r="AJ691" s="62"/>
      <c r="AK691" s="62"/>
      <c r="AL691" s="62"/>
      <c r="AM691" s="62"/>
      <c r="AN691" s="62"/>
      <c r="AO691" s="79"/>
    </row>
    <row r="692" spans="1:41" x14ac:dyDescent="0.25">
      <c r="A692" s="24" t="s">
        <v>9</v>
      </c>
      <c r="B692" s="25">
        <v>24</v>
      </c>
      <c r="C692" s="26">
        <v>0</v>
      </c>
      <c r="D692" s="27">
        <v>0</v>
      </c>
      <c r="E692" s="27">
        <v>0</v>
      </c>
      <c r="F692" s="27">
        <v>0</v>
      </c>
      <c r="G692" s="28"/>
      <c r="H692" s="28"/>
      <c r="I692" s="28"/>
      <c r="J692" s="26">
        <f t="array" ref="J692">SUM($G$668:$I$668*DecCours*DecPasse^(B692-$B$668-1))</f>
        <v>678.70563461796974</v>
      </c>
      <c r="K692" s="27"/>
      <c r="L692" s="30"/>
      <c r="M692" s="6"/>
      <c r="N692" s="62"/>
      <c r="O692" s="62"/>
      <c r="P692" s="62"/>
      <c r="Q692" s="62"/>
      <c r="R692" s="62"/>
      <c r="S692" s="62"/>
      <c r="T692" s="62"/>
      <c r="U692" s="80"/>
      <c r="V692" s="62"/>
      <c r="W692" s="62"/>
      <c r="X692" s="62"/>
      <c r="Y692" s="62"/>
      <c r="Z692" s="62"/>
      <c r="AA692" s="79"/>
      <c r="AB692"/>
      <c r="AC692" s="56"/>
      <c r="AD692" s="70"/>
      <c r="AE692" s="71"/>
      <c r="AF692" s="72"/>
      <c r="AG692" s="72"/>
      <c r="AH692" s="128"/>
      <c r="AI692"/>
      <c r="AJ692" s="62"/>
      <c r="AK692" s="62"/>
      <c r="AL692" s="62"/>
      <c r="AM692" s="62"/>
      <c r="AN692" s="62"/>
      <c r="AO692" s="79"/>
    </row>
    <row r="693" spans="1:41" x14ac:dyDescent="0.25">
      <c r="A693" s="24" t="s">
        <v>9</v>
      </c>
      <c r="B693" s="25">
        <v>25</v>
      </c>
      <c r="C693" s="26">
        <v>0</v>
      </c>
      <c r="D693" s="27">
        <v>0</v>
      </c>
      <c r="E693" s="27">
        <v>0</v>
      </c>
      <c r="F693" s="27">
        <v>0</v>
      </c>
      <c r="G693" s="28"/>
      <c r="H693" s="28"/>
      <c r="I693" s="28"/>
      <c r="J693" s="26">
        <f t="array" ref="J693">SUM($G$668:$I$668*DecCours*DecPasse^(B693-$B$668-1))</f>
        <v>664.91270741891788</v>
      </c>
      <c r="K693" s="27"/>
      <c r="L693" s="30"/>
      <c r="M693" s="6"/>
      <c r="N693" s="62"/>
      <c r="O693" s="62"/>
      <c r="P693" s="62"/>
      <c r="Q693" s="62"/>
      <c r="R693" s="62"/>
      <c r="S693" s="62"/>
      <c r="T693" s="62"/>
      <c r="U693" s="80"/>
      <c r="V693" s="62"/>
      <c r="W693" s="62"/>
      <c r="X693" s="62"/>
      <c r="Y693" s="62"/>
      <c r="Z693" s="62"/>
      <c r="AA693" s="79"/>
      <c r="AB693"/>
      <c r="AC693" s="56"/>
      <c r="AD693" s="70"/>
      <c r="AE693" s="71"/>
      <c r="AF693" s="72"/>
      <c r="AG693" s="72"/>
      <c r="AH693" s="128"/>
      <c r="AI693"/>
      <c r="AJ693" s="62"/>
      <c r="AK693" s="62"/>
      <c r="AL693" s="62"/>
      <c r="AM693" s="62"/>
      <c r="AN693" s="62"/>
      <c r="AO693" s="79"/>
    </row>
    <row r="694" spans="1:41" x14ac:dyDescent="0.25">
      <c r="A694" s="24" t="s">
        <v>9</v>
      </c>
      <c r="B694" s="25">
        <v>26</v>
      </c>
      <c r="C694" s="26">
        <v>0</v>
      </c>
      <c r="D694" s="27">
        <v>0</v>
      </c>
      <c r="E694" s="27">
        <v>0</v>
      </c>
      <c r="F694" s="27">
        <v>0</v>
      </c>
      <c r="G694" s="28"/>
      <c r="H694" s="28"/>
      <c r="I694" s="28"/>
      <c r="J694" s="26">
        <f t="array" ref="J694">SUM($G$668:$I$668*DecCours*DecPasse^(B694-$B$668-1))</f>
        <v>651.40837329198428</v>
      </c>
      <c r="K694" s="27"/>
      <c r="L694" s="30"/>
      <c r="M694" s="6"/>
      <c r="N694" s="62"/>
      <c r="O694" s="62"/>
      <c r="P694" s="62"/>
      <c r="Q694" s="62"/>
      <c r="R694" s="62"/>
      <c r="S694" s="62"/>
      <c r="T694" s="62"/>
      <c r="U694" s="80"/>
      <c r="V694" s="62"/>
      <c r="W694" s="62"/>
      <c r="X694" s="62"/>
      <c r="Y694" s="62"/>
      <c r="Z694" s="62"/>
      <c r="AA694" s="79"/>
      <c r="AB694"/>
      <c r="AC694" s="56"/>
      <c r="AD694" s="70"/>
      <c r="AE694" s="71"/>
      <c r="AF694" s="72"/>
      <c r="AG694" s="72"/>
      <c r="AH694" s="128"/>
      <c r="AI694"/>
      <c r="AJ694" s="62"/>
      <c r="AK694" s="62"/>
      <c r="AL694" s="62"/>
      <c r="AM694" s="62"/>
      <c r="AN694" s="62"/>
      <c r="AO694" s="79"/>
    </row>
    <row r="695" spans="1:41" x14ac:dyDescent="0.25">
      <c r="A695" s="24" t="s">
        <v>9</v>
      </c>
      <c r="B695" s="25">
        <v>27</v>
      </c>
      <c r="C695" s="26">
        <v>0</v>
      </c>
      <c r="D695" s="27">
        <v>0</v>
      </c>
      <c r="E695" s="27">
        <v>0</v>
      </c>
      <c r="F695" s="27">
        <v>0</v>
      </c>
      <c r="G695" s="28"/>
      <c r="H695" s="28"/>
      <c r="I695" s="28"/>
      <c r="J695" s="26">
        <f t="array" ref="J695">SUM($G$668:$I$668*DecCours*DecPasse^(B695-$B$668-1))</f>
        <v>638.18504551865647</v>
      </c>
      <c r="K695" s="27"/>
      <c r="L695" s="30"/>
      <c r="M695" s="6"/>
      <c r="N695" s="62"/>
      <c r="O695" s="62"/>
      <c r="P695" s="62"/>
      <c r="Q695" s="62"/>
      <c r="R695" s="62"/>
      <c r="S695" s="62"/>
      <c r="T695" s="62"/>
      <c r="U695" s="80"/>
      <c r="V695" s="62"/>
      <c r="W695" s="62"/>
      <c r="X695" s="62"/>
      <c r="Y695" s="62"/>
      <c r="Z695" s="62"/>
      <c r="AA695" s="79"/>
      <c r="AB695"/>
      <c r="AC695" s="56"/>
      <c r="AD695" s="70"/>
      <c r="AE695" s="71"/>
      <c r="AF695" s="72"/>
      <c r="AG695" s="72"/>
      <c r="AH695" s="128"/>
      <c r="AI695"/>
      <c r="AJ695" s="62"/>
      <c r="AK695" s="62"/>
      <c r="AL695" s="62"/>
      <c r="AM695" s="62"/>
      <c r="AN695" s="62"/>
      <c r="AO695" s="79"/>
    </row>
    <row r="696" spans="1:41" x14ac:dyDescent="0.25">
      <c r="A696" s="24" t="s">
        <v>9</v>
      </c>
      <c r="B696" s="25">
        <v>28</v>
      </c>
      <c r="C696" s="26">
        <v>0</v>
      </c>
      <c r="D696" s="27">
        <v>0</v>
      </c>
      <c r="E696" s="27">
        <v>0</v>
      </c>
      <c r="F696" s="27">
        <v>0</v>
      </c>
      <c r="G696" s="28"/>
      <c r="H696" s="28"/>
      <c r="I696" s="28"/>
      <c r="J696" s="26">
        <f t="array" ref="J696">SUM($G$668:$I$668*DecCours*DecPasse^(B696-$B$668-1))</f>
        <v>625.23575829380775</v>
      </c>
      <c r="K696" s="27"/>
      <c r="L696" s="30"/>
      <c r="M696" s="6"/>
      <c r="N696" s="62"/>
      <c r="O696" s="62"/>
      <c r="P696" s="62"/>
      <c r="Q696" s="62"/>
      <c r="R696" s="62"/>
      <c r="S696" s="62"/>
      <c r="T696" s="62"/>
      <c r="U696" s="80"/>
      <c r="V696" s="62"/>
      <c r="W696" s="62"/>
      <c r="X696" s="62"/>
      <c r="Y696" s="62"/>
      <c r="Z696" s="62"/>
      <c r="AA696" s="79"/>
      <c r="AB696"/>
      <c r="AC696" s="56"/>
      <c r="AD696" s="70"/>
      <c r="AE696" s="71"/>
      <c r="AF696" s="72"/>
      <c r="AG696" s="72"/>
      <c r="AH696" s="128"/>
      <c r="AI696"/>
      <c r="AJ696" s="62"/>
      <c r="AK696" s="62"/>
      <c r="AL696" s="62"/>
      <c r="AM696" s="62"/>
      <c r="AN696" s="62"/>
      <c r="AO696" s="79"/>
    </row>
    <row r="697" spans="1:41" x14ac:dyDescent="0.25">
      <c r="A697" s="24" t="s">
        <v>9</v>
      </c>
      <c r="B697" s="25">
        <v>29</v>
      </c>
      <c r="C697" s="26">
        <v>0</v>
      </c>
      <c r="D697" s="27">
        <v>0</v>
      </c>
      <c r="E697" s="27">
        <v>0</v>
      </c>
      <c r="F697" s="27">
        <v>0</v>
      </c>
      <c r="G697" s="28"/>
      <c r="H697" s="28"/>
      <c r="I697" s="28"/>
      <c r="J697" s="26">
        <f t="array" ref="J697">SUM($G$668:$I$668*DecCours*DecPasse^(B697-$B$668-1))</f>
        <v>612.55401879024896</v>
      </c>
      <c r="K697" s="27"/>
      <c r="L697" s="30"/>
      <c r="M697" s="6"/>
      <c r="N697" s="62"/>
      <c r="O697" s="62"/>
      <c r="P697" s="62"/>
      <c r="Q697" s="62"/>
      <c r="R697" s="62"/>
      <c r="S697" s="62"/>
      <c r="T697" s="62"/>
      <c r="U697" s="80"/>
      <c r="V697" s="62"/>
      <c r="W697" s="62"/>
      <c r="X697" s="62"/>
      <c r="Y697" s="62"/>
      <c r="Z697" s="62"/>
      <c r="AA697" s="79"/>
      <c r="AB697"/>
      <c r="AC697" s="56"/>
      <c r="AD697" s="70"/>
      <c r="AE697" s="71"/>
      <c r="AF697" s="72"/>
      <c r="AG697" s="72"/>
      <c r="AH697" s="128"/>
      <c r="AI697"/>
      <c r="AJ697" s="62"/>
      <c r="AK697" s="62"/>
      <c r="AL697" s="62"/>
      <c r="AM697" s="62"/>
      <c r="AN697" s="62"/>
      <c r="AO697" s="79"/>
    </row>
    <row r="698" spans="1:41" x14ac:dyDescent="0.25">
      <c r="A698" s="24" t="s">
        <v>9</v>
      </c>
      <c r="B698" s="25">
        <v>30</v>
      </c>
      <c r="C698" s="26">
        <v>0</v>
      </c>
      <c r="D698" s="27">
        <v>0</v>
      </c>
      <c r="E698" s="27">
        <v>0</v>
      </c>
      <c r="F698" s="27">
        <v>0</v>
      </c>
      <c r="G698" s="28"/>
      <c r="H698" s="28"/>
      <c r="I698" s="28"/>
      <c r="J698" s="26">
        <f t="array" ref="J698">SUM($G$668:$I$668*DecCours*DecPasse^(B698-$B$668-1))</f>
        <v>600.13370181818721</v>
      </c>
      <c r="K698" s="27"/>
      <c r="L698" s="30"/>
      <c r="M698" s="6"/>
      <c r="N698" s="62"/>
      <c r="O698" s="62"/>
      <c r="P698" s="62"/>
      <c r="Q698" s="62"/>
      <c r="R698" s="62"/>
      <c r="S698" s="62"/>
      <c r="T698" s="62"/>
      <c r="U698" s="80"/>
      <c r="V698" s="62"/>
      <c r="W698" s="62"/>
      <c r="X698" s="62"/>
      <c r="Y698" s="62"/>
      <c r="Z698" s="62"/>
      <c r="AA698" s="79"/>
      <c r="AB698"/>
      <c r="AC698" s="56"/>
      <c r="AD698" s="70"/>
      <c r="AE698" s="71"/>
      <c r="AF698" s="72"/>
      <c r="AG698" s="72"/>
      <c r="AH698" s="128"/>
      <c r="AI698"/>
      <c r="AJ698" s="62"/>
      <c r="AK698" s="62"/>
      <c r="AL698" s="62"/>
      <c r="AM698" s="62"/>
      <c r="AN698" s="62"/>
      <c r="AO698" s="79"/>
    </row>
    <row r="699" spans="1:41" x14ac:dyDescent="0.25">
      <c r="A699" s="24" t="s">
        <v>9</v>
      </c>
      <c r="B699" s="25">
        <v>31</v>
      </c>
      <c r="C699" s="26">
        <v>0</v>
      </c>
      <c r="D699" s="27">
        <v>0</v>
      </c>
      <c r="E699" s="27">
        <v>0</v>
      </c>
      <c r="F699" s="27">
        <v>0</v>
      </c>
      <c r="G699" s="28"/>
      <c r="H699" s="28"/>
      <c r="I699" s="28"/>
      <c r="J699" s="26">
        <f t="array" ref="J699">SUM($G$668:$I$668*DecCours*DecPasse^(B699-$B$668-1))</f>
        <v>587.96897462012259</v>
      </c>
      <c r="K699" s="27"/>
      <c r="L699" s="30"/>
      <c r="M699" s="6"/>
      <c r="N699" s="62"/>
      <c r="O699" s="62"/>
      <c r="P699" s="62"/>
      <c r="Q699" s="62"/>
      <c r="R699" s="62"/>
      <c r="S699" s="62"/>
      <c r="T699" s="62"/>
      <c r="U699" s="80"/>
      <c r="V699" s="62"/>
      <c r="W699" s="62"/>
      <c r="X699" s="62"/>
      <c r="Y699" s="62"/>
      <c r="Z699" s="62"/>
      <c r="AA699" s="79"/>
      <c r="AB699"/>
      <c r="AC699" s="56"/>
      <c r="AD699" s="70"/>
      <c r="AE699" s="71"/>
      <c r="AF699" s="72"/>
      <c r="AG699" s="72"/>
      <c r="AH699" s="128"/>
      <c r="AI699"/>
      <c r="AJ699" s="62"/>
      <c r="AK699" s="62"/>
      <c r="AL699" s="62"/>
      <c r="AM699" s="62"/>
      <c r="AN699" s="62"/>
      <c r="AO699" s="79"/>
    </row>
    <row r="700" spans="1:41" x14ac:dyDescent="0.25">
      <c r="A700" s="24" t="s">
        <v>9</v>
      </c>
      <c r="B700" s="25">
        <v>32</v>
      </c>
      <c r="C700" s="26">
        <v>0</v>
      </c>
      <c r="D700" s="27">
        <v>0</v>
      </c>
      <c r="E700" s="27">
        <v>0</v>
      </c>
      <c r="F700" s="27">
        <v>0</v>
      </c>
      <c r="G700" s="28"/>
      <c r="H700" s="28"/>
      <c r="I700" s="28"/>
      <c r="J700" s="26">
        <f t="array" ref="J700">SUM($G$668:$I$668*DecCours*DecPasse^(B700-$B$668-1))</f>
        <v>576.0542429906352</v>
      </c>
      <c r="K700" s="27"/>
      <c r="L700" s="30"/>
      <c r="M700" s="6"/>
      <c r="N700" s="62"/>
      <c r="O700" s="62"/>
      <c r="P700" s="62"/>
      <c r="Q700" s="62"/>
      <c r="R700" s="62"/>
      <c r="S700" s="62"/>
      <c r="T700" s="62"/>
      <c r="U700" s="80"/>
      <c r="V700" s="62"/>
      <c r="W700" s="62"/>
      <c r="X700" s="62"/>
      <c r="Y700" s="62"/>
      <c r="Z700" s="62"/>
      <c r="AA700" s="79"/>
      <c r="AB700"/>
      <c r="AC700" s="56"/>
      <c r="AD700" s="70"/>
      <c r="AE700" s="71"/>
      <c r="AF700" s="72"/>
      <c r="AG700" s="72"/>
      <c r="AH700" s="128"/>
      <c r="AI700"/>
      <c r="AJ700" s="62"/>
      <c r="AK700" s="62"/>
      <c r="AL700" s="62"/>
      <c r="AM700" s="62"/>
      <c r="AN700" s="62"/>
      <c r="AO700" s="79"/>
    </row>
    <row r="701" spans="1:41" x14ac:dyDescent="0.25">
      <c r="A701" s="24" t="s">
        <v>9</v>
      </c>
      <c r="B701" s="25">
        <v>33</v>
      </c>
      <c r="C701" s="26">
        <v>0</v>
      </c>
      <c r="D701" s="27">
        <v>0</v>
      </c>
      <c r="E701" s="27">
        <v>0</v>
      </c>
      <c r="F701" s="27">
        <v>0</v>
      </c>
      <c r="G701" s="28"/>
      <c r="H701" s="28"/>
      <c r="I701" s="28"/>
      <c r="J701" s="26">
        <f t="array" ref="J701">SUM($G$668:$I$668*DecCours*DecPasse^(B701-$B$668-1))</f>
        <v>564.38411249070828</v>
      </c>
      <c r="K701" s="27"/>
      <c r="L701" s="30"/>
      <c r="M701" s="6"/>
      <c r="N701" s="62"/>
      <c r="O701" s="62"/>
      <c r="P701" s="62"/>
      <c r="Q701" s="62"/>
      <c r="R701" s="62"/>
      <c r="S701" s="62"/>
      <c r="T701" s="62"/>
      <c r="U701" s="80"/>
      <c r="V701" s="62"/>
      <c r="W701" s="62"/>
      <c r="X701" s="62"/>
      <c r="Y701" s="62"/>
      <c r="Z701" s="62"/>
      <c r="AA701" s="79"/>
      <c r="AB701"/>
      <c r="AC701" s="56"/>
      <c r="AD701" s="70"/>
      <c r="AE701" s="71"/>
      <c r="AF701" s="72"/>
      <c r="AG701" s="72"/>
      <c r="AH701" s="128"/>
      <c r="AI701"/>
      <c r="AJ701" s="62"/>
      <c r="AK701" s="62"/>
      <c r="AL701" s="62"/>
      <c r="AM701" s="62"/>
      <c r="AN701" s="62"/>
      <c r="AO701" s="79"/>
    </row>
    <row r="702" spans="1:41" x14ac:dyDescent="0.25">
      <c r="A702" s="24" t="s">
        <v>9</v>
      </c>
      <c r="B702" s="25">
        <v>34</v>
      </c>
      <c r="C702" s="26">
        <v>0</v>
      </c>
      <c r="D702" s="27">
        <v>0</v>
      </c>
      <c r="E702" s="27">
        <v>0</v>
      </c>
      <c r="F702" s="27">
        <v>0</v>
      </c>
      <c r="G702" s="28"/>
      <c r="H702" s="28"/>
      <c r="I702" s="28"/>
      <c r="J702" s="26">
        <f t="array" ref="J702">SUM($G$668:$I$668*DecCours*DecPasse^(B702-$B$668-1))</f>
        <v>552.95336035069863</v>
      </c>
      <c r="K702" s="27"/>
      <c r="L702" s="30"/>
      <c r="M702" s="6"/>
      <c r="N702" s="62"/>
      <c r="O702" s="62"/>
      <c r="P702" s="62"/>
      <c r="Q702" s="62"/>
      <c r="R702" s="62"/>
      <c r="S702" s="62"/>
      <c r="T702" s="62"/>
      <c r="U702" s="80"/>
      <c r="V702" s="62"/>
      <c r="W702" s="62"/>
      <c r="X702" s="62"/>
      <c r="Y702" s="62"/>
      <c r="Z702" s="62"/>
      <c r="AA702" s="79"/>
      <c r="AB702"/>
      <c r="AC702" s="56"/>
      <c r="AD702" s="70"/>
      <c r="AE702" s="71"/>
      <c r="AF702" s="72"/>
      <c r="AG702" s="72"/>
      <c r="AH702" s="128"/>
      <c r="AI702"/>
      <c r="AJ702" s="62"/>
      <c r="AK702" s="62"/>
      <c r="AL702" s="62"/>
      <c r="AM702" s="62"/>
      <c r="AN702" s="62"/>
      <c r="AO702" s="79"/>
    </row>
    <row r="703" spans="1:41" x14ac:dyDescent="0.25">
      <c r="A703" s="24" t="s">
        <v>9</v>
      </c>
      <c r="B703" s="25">
        <v>35</v>
      </c>
      <c r="C703" s="26">
        <v>0</v>
      </c>
      <c r="D703" s="27">
        <v>0</v>
      </c>
      <c r="E703" s="27">
        <v>0</v>
      </c>
      <c r="F703" s="27">
        <v>0</v>
      </c>
      <c r="G703" s="28"/>
      <c r="H703" s="28"/>
      <c r="I703" s="28"/>
      <c r="J703" s="26">
        <f t="array" ref="J703">SUM($G$668:$I$668*DecCours*DecPasse^(B703-$B$668-1))</f>
        <v>541.75691494618275</v>
      </c>
      <c r="K703" s="27"/>
      <c r="L703" s="30"/>
      <c r="M703" s="6"/>
      <c r="N703" s="62"/>
      <c r="O703" s="62"/>
      <c r="P703" s="62"/>
      <c r="Q703" s="62"/>
      <c r="R703" s="62"/>
      <c r="S703" s="62"/>
      <c r="T703" s="62"/>
      <c r="U703" s="80"/>
      <c r="V703" s="62"/>
      <c r="W703" s="62"/>
      <c r="X703" s="62"/>
      <c r="Y703" s="62"/>
      <c r="Z703" s="62"/>
      <c r="AA703" s="79"/>
      <c r="AB703"/>
      <c r="AC703" s="56"/>
      <c r="AD703" s="70"/>
      <c r="AE703" s="71"/>
      <c r="AF703" s="72"/>
      <c r="AG703" s="72"/>
      <c r="AH703" s="128"/>
      <c r="AI703"/>
      <c r="AJ703" s="62"/>
      <c r="AK703" s="62"/>
      <c r="AL703" s="62"/>
      <c r="AM703" s="62"/>
      <c r="AN703" s="62"/>
      <c r="AO703" s="79"/>
    </row>
    <row r="704" spans="1:41" x14ac:dyDescent="0.25">
      <c r="A704" s="24" t="s">
        <v>9</v>
      </c>
      <c r="B704" s="25">
        <v>36</v>
      </c>
      <c r="C704" s="26">
        <v>0</v>
      </c>
      <c r="D704" s="27">
        <v>0</v>
      </c>
      <c r="E704" s="27">
        <v>0</v>
      </c>
      <c r="F704" s="27">
        <v>0</v>
      </c>
      <c r="G704" s="28"/>
      <c r="H704" s="28"/>
      <c r="I704" s="28"/>
      <c r="J704" s="26">
        <f t="array" ref="J704">SUM($G$668:$I$668*DecCours*DecPasse^(B704-$B$668-1))</f>
        <v>530.78984064315421</v>
      </c>
      <c r="K704" s="27"/>
      <c r="L704" s="30"/>
      <c r="M704" s="6"/>
      <c r="N704" s="62"/>
      <c r="O704" s="62"/>
      <c r="P704" s="62"/>
      <c r="Q704" s="62"/>
      <c r="R704" s="62"/>
      <c r="S704" s="62"/>
      <c r="T704" s="62"/>
      <c r="U704" s="80"/>
      <c r="V704" s="62"/>
      <c r="W704" s="62"/>
      <c r="X704" s="62"/>
      <c r="Y704" s="62"/>
      <c r="Z704" s="62"/>
      <c r="AA704" s="79"/>
      <c r="AB704"/>
      <c r="AC704" s="56"/>
      <c r="AD704" s="70"/>
      <c r="AE704" s="71"/>
      <c r="AF704" s="72"/>
      <c r="AG704" s="72"/>
      <c r="AH704" s="128"/>
      <c r="AI704"/>
      <c r="AJ704" s="62"/>
      <c r="AK704" s="62"/>
      <c r="AL704" s="62"/>
      <c r="AM704" s="62"/>
      <c r="AN704" s="62"/>
      <c r="AO704" s="79"/>
    </row>
    <row r="705" spans="1:41" x14ac:dyDescent="0.25">
      <c r="A705" s="24" t="s">
        <v>9</v>
      </c>
      <c r="B705" s="25">
        <v>37</v>
      </c>
      <c r="C705" s="26">
        <v>0</v>
      </c>
      <c r="D705" s="27">
        <v>0</v>
      </c>
      <c r="E705" s="27">
        <v>0</v>
      </c>
      <c r="F705" s="27">
        <v>0</v>
      </c>
      <c r="G705" s="28"/>
      <c r="H705" s="28"/>
      <c r="I705" s="28"/>
      <c r="J705" s="26">
        <f t="array" ref="J705">SUM($G$668:$I$668*DecCours*DecPasse^(B705-$B$668-1))</f>
        <v>520.04732645411411</v>
      </c>
      <c r="K705" s="27"/>
      <c r="L705" s="30"/>
      <c r="M705" s="6"/>
      <c r="N705" s="62"/>
      <c r="O705" s="62"/>
      <c r="P705" s="62"/>
      <c r="Q705" s="62"/>
      <c r="R705" s="62"/>
      <c r="S705" s="62"/>
      <c r="T705" s="62"/>
      <c r="U705" s="80"/>
      <c r="V705" s="62"/>
      <c r="W705" s="62"/>
      <c r="X705" s="62"/>
      <c r="Y705" s="62"/>
      <c r="Z705" s="62"/>
      <c r="AA705" s="79"/>
      <c r="AB705"/>
      <c r="AC705" s="56"/>
      <c r="AD705" s="70"/>
      <c r="AE705" s="71"/>
      <c r="AF705" s="72"/>
      <c r="AG705" s="72"/>
      <c r="AH705" s="128"/>
      <c r="AI705"/>
      <c r="AJ705" s="62"/>
      <c r="AK705" s="62"/>
      <c r="AL705" s="62"/>
      <c r="AM705" s="62"/>
      <c r="AN705" s="62"/>
      <c r="AO705" s="79"/>
    </row>
    <row r="706" spans="1:41" x14ac:dyDescent="0.25">
      <c r="A706" s="24" t="s">
        <v>9</v>
      </c>
      <c r="B706" s="25">
        <v>38</v>
      </c>
      <c r="C706" s="26">
        <v>0</v>
      </c>
      <c r="D706" s="27">
        <v>0</v>
      </c>
      <c r="E706" s="27">
        <v>0</v>
      </c>
      <c r="F706" s="27">
        <v>0</v>
      </c>
      <c r="G706" s="28"/>
      <c r="H706" s="28"/>
      <c r="I706" s="28"/>
      <c r="J706" s="26">
        <f t="array" ref="J706">SUM($G$668:$I$668*DecCours*DecPasse^(B706-$B$668-1))</f>
        <v>509.52467740274187</v>
      </c>
      <c r="K706" s="27"/>
      <c r="L706" s="30"/>
      <c r="M706" s="6"/>
      <c r="N706" s="62"/>
      <c r="O706" s="62"/>
      <c r="P706" s="62"/>
      <c r="Q706" s="62"/>
      <c r="R706" s="62"/>
      <c r="S706" s="62"/>
      <c r="T706" s="62"/>
      <c r="U706" s="80"/>
      <c r="V706" s="62"/>
      <c r="W706" s="62"/>
      <c r="X706" s="62"/>
      <c r="Y706" s="62"/>
      <c r="Z706" s="62"/>
      <c r="AA706" s="79"/>
      <c r="AB706"/>
      <c r="AC706" s="56"/>
      <c r="AD706" s="70"/>
      <c r="AE706" s="71"/>
      <c r="AF706" s="72"/>
      <c r="AG706" s="72"/>
      <c r="AH706" s="128"/>
      <c r="AI706"/>
      <c r="AJ706" s="62"/>
      <c r="AK706" s="62"/>
      <c r="AL706" s="62"/>
      <c r="AM706" s="62"/>
      <c r="AN706" s="62"/>
      <c r="AO706" s="79"/>
    </row>
    <row r="707" spans="1:41" x14ac:dyDescent="0.25">
      <c r="A707" s="24" t="s">
        <v>9</v>
      </c>
      <c r="B707" s="25">
        <v>39</v>
      </c>
      <c r="C707" s="26">
        <v>0</v>
      </c>
      <c r="D707" s="27">
        <v>0</v>
      </c>
      <c r="E707" s="27">
        <v>0</v>
      </c>
      <c r="F707" s="27">
        <v>0</v>
      </c>
      <c r="G707" s="28"/>
      <c r="H707" s="28"/>
      <c r="I707" s="28"/>
      <c r="J707" s="26">
        <f t="array" ref="J707">SUM($G$668:$I$668*DecCours*DecPasse^(B707-$B$668-1))</f>
        <v>499.21730781737062</v>
      </c>
      <c r="K707" s="27"/>
      <c r="L707" s="30"/>
      <c r="M707" s="6"/>
      <c r="N707" s="62"/>
      <c r="O707" s="62"/>
      <c r="P707" s="62"/>
      <c r="Q707" s="62"/>
      <c r="R707" s="62"/>
      <c r="S707" s="62"/>
      <c r="T707" s="62"/>
      <c r="U707" s="80"/>
      <c r="V707" s="62"/>
      <c r="W707" s="62"/>
      <c r="X707" s="62"/>
      <c r="Y707" s="62"/>
      <c r="Z707" s="62"/>
      <c r="AA707" s="79"/>
      <c r="AB707"/>
      <c r="AC707" s="56"/>
      <c r="AD707" s="70"/>
      <c r="AE707" s="71"/>
      <c r="AF707" s="72"/>
      <c r="AG707" s="72"/>
      <c r="AH707" s="128"/>
      <c r="AI707"/>
      <c r="AJ707" s="62"/>
      <c r="AK707" s="62"/>
      <c r="AL707" s="62"/>
      <c r="AM707" s="62"/>
      <c r="AN707" s="62"/>
      <c r="AO707" s="79"/>
    </row>
    <row r="708" spans="1:41" x14ac:dyDescent="0.25">
      <c r="A708" s="24" t="s">
        <v>9</v>
      </c>
      <c r="B708" s="25">
        <v>40</v>
      </c>
      <c r="C708" s="26">
        <v>0</v>
      </c>
      <c r="D708" s="27">
        <v>0</v>
      </c>
      <c r="E708" s="27">
        <v>0</v>
      </c>
      <c r="F708" s="27">
        <v>0</v>
      </c>
      <c r="G708" s="28"/>
      <c r="H708" s="28"/>
      <c r="I708" s="28"/>
      <c r="J708" s="26">
        <f t="array" ref="J708">SUM($G$668:$I$668*DecCours*DecPasse^(B708-$B$668-1))</f>
        <v>489.12073600158408</v>
      </c>
      <c r="K708" s="27"/>
      <c r="L708" s="30"/>
      <c r="M708" s="6"/>
      <c r="N708" s="62"/>
      <c r="O708" s="62"/>
      <c r="P708" s="62"/>
      <c r="Q708" s="62"/>
      <c r="R708" s="62"/>
      <c r="S708" s="62"/>
      <c r="T708" s="62"/>
      <c r="U708" s="80"/>
      <c r="V708" s="62"/>
      <c r="W708" s="62"/>
      <c r="X708" s="62"/>
      <c r="Y708" s="62"/>
      <c r="Z708" s="62"/>
      <c r="AA708" s="79"/>
      <c r="AB708"/>
      <c r="AC708" s="56"/>
      <c r="AD708" s="70"/>
      <c r="AE708" s="71"/>
      <c r="AF708" s="72"/>
      <c r="AG708" s="72"/>
      <c r="AH708" s="128"/>
      <c r="AI708"/>
      <c r="AJ708" s="62"/>
      <c r="AK708" s="62"/>
      <c r="AL708" s="62"/>
      <c r="AM708" s="62"/>
      <c r="AN708" s="62"/>
      <c r="AO708" s="79"/>
    </row>
    <row r="709" spans="1:41" x14ac:dyDescent="0.25">
      <c r="A709" s="24" t="s">
        <v>9</v>
      </c>
      <c r="B709" s="25">
        <v>41</v>
      </c>
      <c r="C709" s="26">
        <v>0</v>
      </c>
      <c r="D709" s="27">
        <v>0</v>
      </c>
      <c r="E709" s="27">
        <v>0</v>
      </c>
      <c r="F709" s="27">
        <v>0</v>
      </c>
      <c r="G709" s="28"/>
      <c r="H709" s="28"/>
      <c r="I709" s="28"/>
      <c r="J709" s="26">
        <f t="array" ref="J709">SUM($G$668:$I$668*DecCours*DecPasse^(B709-$B$668-1))</f>
        <v>479.23057989152989</v>
      </c>
      <c r="K709" s="27"/>
      <c r="L709" s="30"/>
      <c r="M709" s="6"/>
      <c r="N709" s="62"/>
      <c r="O709" s="62"/>
      <c r="P709" s="62"/>
      <c r="Q709" s="62"/>
      <c r="R709" s="62"/>
      <c r="S709" s="62"/>
      <c r="T709" s="62"/>
      <c r="U709" s="80"/>
      <c r="V709" s="62"/>
      <c r="W709" s="62"/>
      <c r="X709" s="62"/>
      <c r="Y709" s="62"/>
      <c r="Z709" s="62"/>
      <c r="AA709" s="79"/>
      <c r="AB709"/>
      <c r="AC709" s="56"/>
      <c r="AD709" s="70"/>
      <c r="AE709" s="71"/>
      <c r="AF709" s="72"/>
      <c r="AG709" s="72"/>
      <c r="AH709" s="128"/>
      <c r="AI709"/>
      <c r="AJ709" s="62"/>
      <c r="AK709" s="62"/>
      <c r="AL709" s="62"/>
      <c r="AM709" s="62"/>
      <c r="AN709" s="62"/>
      <c r="AO709" s="79"/>
    </row>
    <row r="710" spans="1:41" x14ac:dyDescent="0.25">
      <c r="A710" s="24" t="s">
        <v>9</v>
      </c>
      <c r="B710" s="25">
        <v>42</v>
      </c>
      <c r="C710" s="26">
        <v>0</v>
      </c>
      <c r="D710" s="27">
        <v>0</v>
      </c>
      <c r="E710" s="27">
        <v>0</v>
      </c>
      <c r="F710" s="27">
        <v>0</v>
      </c>
      <c r="G710" s="28"/>
      <c r="H710" s="28"/>
      <c r="I710" s="28"/>
      <c r="J710" s="26">
        <f t="array" ref="J710">SUM($G$668:$I$668*DecCours*DecPasse^(B710-$B$668-1))</f>
        <v>469.54255342359977</v>
      </c>
      <c r="K710" s="27"/>
      <c r="L710" s="30"/>
      <c r="M710" s="6"/>
      <c r="N710" s="62"/>
      <c r="O710" s="62"/>
      <c r="P710" s="62"/>
      <c r="Q710" s="62"/>
      <c r="R710" s="62"/>
      <c r="S710" s="62"/>
      <c r="T710" s="62"/>
      <c r="U710" s="80"/>
      <c r="V710" s="62"/>
      <c r="W710" s="62"/>
      <c r="X710" s="62"/>
      <c r="Y710" s="62"/>
      <c r="Z710" s="62"/>
      <c r="AA710" s="79"/>
      <c r="AB710"/>
      <c r="AC710" s="56"/>
      <c r="AD710" s="70"/>
      <c r="AE710" s="71"/>
      <c r="AF710" s="72"/>
      <c r="AG710" s="72"/>
      <c r="AH710" s="128"/>
      <c r="AI710"/>
      <c r="AJ710" s="62"/>
      <c r="AK710" s="62"/>
      <c r="AL710" s="62"/>
      <c r="AM710" s="62"/>
      <c r="AN710" s="62"/>
      <c r="AO710" s="79"/>
    </row>
    <row r="711" spans="1:41" x14ac:dyDescent="0.25">
      <c r="A711" s="24" t="s">
        <v>9</v>
      </c>
      <c r="B711" s="25">
        <v>43</v>
      </c>
      <c r="C711" s="26">
        <v>0</v>
      </c>
      <c r="D711" s="27">
        <v>0</v>
      </c>
      <c r="E711" s="27">
        <v>0</v>
      </c>
      <c r="F711" s="27">
        <v>0</v>
      </c>
      <c r="G711" s="28"/>
      <c r="H711" s="28"/>
      <c r="I711" s="28"/>
      <c r="J711" s="26">
        <f t="array" ref="J711">SUM($G$668:$I$668*DecCours*DecPasse^(B711-$B$668-1))</f>
        <v>460.05246341678378</v>
      </c>
      <c r="K711" s="27"/>
      <c r="L711" s="30"/>
      <c r="M711" s="6"/>
      <c r="N711" s="62"/>
      <c r="O711" s="62"/>
      <c r="P711" s="62"/>
      <c r="Q711" s="62"/>
      <c r="R711" s="62"/>
      <c r="S711" s="62"/>
      <c r="T711" s="62"/>
      <c r="U711" s="80"/>
      <c r="V711" s="62"/>
      <c r="W711" s="62"/>
      <c r="X711" s="62"/>
      <c r="Y711" s="62"/>
      <c r="Z711" s="62"/>
      <c r="AA711" s="79"/>
      <c r="AB711"/>
      <c r="AC711" s="56"/>
      <c r="AD711" s="70"/>
      <c r="AE711" s="71"/>
      <c r="AF711" s="72"/>
      <c r="AG711" s="72"/>
      <c r="AH711" s="128"/>
      <c r="AI711"/>
      <c r="AJ711" s="62"/>
      <c r="AK711" s="62"/>
      <c r="AL711" s="62"/>
      <c r="AM711" s="62"/>
      <c r="AN711" s="62"/>
      <c r="AO711" s="79"/>
    </row>
    <row r="712" spans="1:41" x14ac:dyDescent="0.25">
      <c r="A712" s="24" t="s">
        <v>9</v>
      </c>
      <c r="B712" s="25">
        <v>44</v>
      </c>
      <c r="C712" s="26">
        <v>0</v>
      </c>
      <c r="D712" s="27">
        <v>0</v>
      </c>
      <c r="E712" s="27">
        <v>0</v>
      </c>
      <c r="F712" s="27">
        <v>0</v>
      </c>
      <c r="G712" s="28"/>
      <c r="H712" s="28"/>
      <c r="I712" s="28"/>
      <c r="J712" s="26">
        <f t="array" ref="J712">SUM($G$668:$I$668*DecCours*DecPasse^(B712-$B$668-1))</f>
        <v>450.75620683104103</v>
      </c>
      <c r="K712" s="27"/>
      <c r="L712" s="30"/>
      <c r="M712" s="6"/>
      <c r="N712" s="62"/>
      <c r="O712" s="62"/>
      <c r="P712" s="62"/>
      <c r="Q712" s="62"/>
      <c r="R712" s="62"/>
      <c r="S712" s="62"/>
      <c r="T712" s="62"/>
      <c r="U712" s="80"/>
      <c r="V712" s="62"/>
      <c r="W712" s="62"/>
      <c r="X712" s="62"/>
      <c r="Y712" s="62"/>
      <c r="Z712" s="62"/>
      <c r="AA712" s="79"/>
      <c r="AB712"/>
      <c r="AC712" s="56"/>
      <c r="AD712" s="70"/>
      <c r="AE712" s="71"/>
      <c r="AF712" s="72"/>
      <c r="AG712" s="72"/>
      <c r="AH712" s="128"/>
      <c r="AI712"/>
      <c r="AJ712" s="62"/>
      <c r="AK712" s="62"/>
      <c r="AL712" s="62"/>
      <c r="AM712" s="62"/>
      <c r="AN712" s="62"/>
      <c r="AO712" s="79"/>
    </row>
    <row r="713" spans="1:41" x14ac:dyDescent="0.25">
      <c r="A713" s="24" t="s">
        <v>9</v>
      </c>
      <c r="B713" s="25">
        <v>45</v>
      </c>
      <c r="C713" s="26">
        <v>0</v>
      </c>
      <c r="D713" s="27">
        <v>0</v>
      </c>
      <c r="E713" s="27">
        <v>0</v>
      </c>
      <c r="F713" s="27">
        <v>0</v>
      </c>
      <c r="G713" s="28"/>
      <c r="H713" s="28"/>
      <c r="I713" s="28"/>
      <c r="J713" s="26">
        <f t="array" ref="J713">SUM($G$668:$I$668*DecCours*DecPasse^(B713-$B$668-1))</f>
        <v>441.64976830336877</v>
      </c>
      <c r="K713" s="27"/>
      <c r="L713" s="30"/>
      <c r="M713" s="6"/>
      <c r="N713" s="62"/>
      <c r="O713" s="62"/>
      <c r="P713" s="62"/>
      <c r="Q713" s="62"/>
      <c r="R713" s="62"/>
      <c r="S713" s="62"/>
      <c r="T713" s="62"/>
      <c r="U713" s="80"/>
      <c r="V713" s="62"/>
      <c r="W713" s="62"/>
      <c r="X713" s="62"/>
      <c r="Y713" s="62"/>
      <c r="Z713" s="62"/>
      <c r="AA713" s="79"/>
      <c r="AB713"/>
      <c r="AC713" s="56"/>
      <c r="AD713" s="70"/>
      <c r="AE713" s="71"/>
      <c r="AF713" s="72"/>
      <c r="AG713" s="72"/>
      <c r="AH713" s="128"/>
      <c r="AI713"/>
      <c r="AJ713" s="62"/>
      <c r="AK713" s="62"/>
      <c r="AL713" s="62"/>
      <c r="AM713" s="62"/>
      <c r="AN713" s="62"/>
      <c r="AO713" s="79"/>
    </row>
    <row r="714" spans="1:41" x14ac:dyDescent="0.25">
      <c r="A714" s="24" t="s">
        <v>9</v>
      </c>
      <c r="B714" s="25">
        <v>46</v>
      </c>
      <c r="C714" s="26">
        <v>0</v>
      </c>
      <c r="D714" s="27">
        <v>0</v>
      </c>
      <c r="E714" s="27">
        <v>0</v>
      </c>
      <c r="F714" s="27">
        <v>0</v>
      </c>
      <c r="G714" s="28"/>
      <c r="H714" s="28"/>
      <c r="I714" s="28"/>
      <c r="J714" s="26">
        <f t="array" ref="J714">SUM($G$668:$I$668*DecCours*DecPasse^(B714-$B$668-1))</f>
        <v>432.72921789178133</v>
      </c>
      <c r="K714" s="27"/>
      <c r="L714" s="30"/>
      <c r="M714" s="6"/>
      <c r="N714" s="62"/>
      <c r="O714" s="62"/>
      <c r="P714" s="62"/>
      <c r="Q714" s="62"/>
      <c r="R714" s="62"/>
      <c r="S714" s="62"/>
      <c r="T714" s="62"/>
      <c r="U714" s="80"/>
      <c r="V714" s="62"/>
      <c r="W714" s="62"/>
      <c r="X714" s="62"/>
      <c r="Y714" s="62"/>
      <c r="Z714" s="62"/>
      <c r="AA714" s="79"/>
      <c r="AB714"/>
      <c r="AC714" s="56"/>
      <c r="AD714" s="70"/>
      <c r="AE714" s="71"/>
      <c r="AF714" s="72"/>
      <c r="AG714" s="72"/>
      <c r="AH714" s="128"/>
      <c r="AI714"/>
      <c r="AJ714" s="62"/>
      <c r="AK714" s="62"/>
      <c r="AL714" s="62"/>
      <c r="AM714" s="62"/>
      <c r="AN714" s="62"/>
      <c r="AO714" s="79"/>
    </row>
    <row r="715" spans="1:41" x14ac:dyDescent="0.25">
      <c r="A715" s="24" t="s">
        <v>9</v>
      </c>
      <c r="B715" s="25">
        <v>47</v>
      </c>
      <c r="C715" s="26">
        <v>0</v>
      </c>
      <c r="D715" s="27">
        <v>0</v>
      </c>
      <c r="E715" s="27">
        <v>0</v>
      </c>
      <c r="F715" s="27">
        <v>0</v>
      </c>
      <c r="G715" s="28"/>
      <c r="H715" s="28"/>
      <c r="I715" s="28"/>
      <c r="J715" s="26">
        <f t="array" ref="J715">SUM($G$668:$I$668*DecCours*DecPasse^(B715-$B$668-1))</f>
        <v>423.99070897759191</v>
      </c>
      <c r="K715" s="27"/>
      <c r="L715" s="30"/>
      <c r="M715" s="6"/>
      <c r="N715" s="62"/>
      <c r="O715" s="62"/>
      <c r="P715" s="62"/>
      <c r="Q715" s="62"/>
      <c r="R715" s="62"/>
      <c r="S715" s="62"/>
      <c r="T715" s="62"/>
      <c r="U715" s="80"/>
      <c r="V715" s="62"/>
      <c r="W715" s="62"/>
      <c r="X715" s="62"/>
      <c r="Y715" s="62"/>
      <c r="Z715" s="62"/>
      <c r="AA715" s="79"/>
      <c r="AB715"/>
      <c r="AC715" s="56"/>
      <c r="AD715" s="70"/>
      <c r="AE715" s="71"/>
      <c r="AF715" s="72"/>
      <c r="AG715" s="72"/>
      <c r="AH715" s="128"/>
      <c r="AI715"/>
      <c r="AJ715" s="62"/>
      <c r="AK715" s="62"/>
      <c r="AL715" s="62"/>
      <c r="AM715" s="62"/>
      <c r="AN715" s="62"/>
      <c r="AO715" s="79"/>
    </row>
    <row r="716" spans="1:41" x14ac:dyDescent="0.25">
      <c r="A716" s="24" t="s">
        <v>9</v>
      </c>
      <c r="B716" s="25">
        <v>48</v>
      </c>
      <c r="C716" s="26">
        <v>0</v>
      </c>
      <c r="D716" s="27">
        <v>0</v>
      </c>
      <c r="E716" s="27">
        <v>0</v>
      </c>
      <c r="F716" s="27">
        <v>0</v>
      </c>
      <c r="G716" s="28"/>
      <c r="H716" s="28"/>
      <c r="I716" s="28"/>
      <c r="J716" s="26">
        <f t="array" ref="J716">SUM($G$668:$I$668*DecCours*DecPasse^(B716-$B$668-1))</f>
        <v>415.43047629066331</v>
      </c>
      <c r="K716" s="27"/>
      <c r="L716" s="30"/>
      <c r="M716" s="6"/>
      <c r="N716" s="62"/>
      <c r="O716" s="62"/>
      <c r="P716" s="62"/>
      <c r="Q716" s="62"/>
      <c r="R716" s="62"/>
      <c r="S716" s="62"/>
      <c r="T716" s="62"/>
      <c r="U716" s="80"/>
      <c r="V716" s="62"/>
      <c r="W716" s="62"/>
      <c r="X716" s="62"/>
      <c r="Y716" s="62"/>
      <c r="Z716" s="62"/>
      <c r="AA716" s="79"/>
      <c r="AB716"/>
      <c r="AC716" s="56"/>
      <c r="AD716" s="70"/>
      <c r="AE716" s="71"/>
      <c r="AF716" s="72"/>
      <c r="AG716" s="72"/>
      <c r="AH716" s="128"/>
      <c r="AI716"/>
      <c r="AJ716" s="62"/>
      <c r="AK716" s="62"/>
      <c r="AL716" s="62"/>
      <c r="AM716" s="62"/>
      <c r="AN716" s="62"/>
      <c r="AO716" s="79"/>
    </row>
    <row r="717" spans="1:41" x14ac:dyDescent="0.25">
      <c r="A717" s="24" t="s">
        <v>9</v>
      </c>
      <c r="B717" s="25">
        <v>49</v>
      </c>
      <c r="C717" s="26">
        <v>0</v>
      </c>
      <c r="D717" s="27">
        <v>0</v>
      </c>
      <c r="E717" s="27">
        <v>0</v>
      </c>
      <c r="F717" s="27">
        <v>0</v>
      </c>
      <c r="G717" s="28"/>
      <c r="H717" s="28"/>
      <c r="I717" s="28"/>
      <c r="J717" s="26">
        <f t="array" ref="J717">SUM($G$668:$I$668*DecCours*DecPasse^(B717-$B$668-1))</f>
        <v>407.04483403239612</v>
      </c>
      <c r="K717" s="27"/>
      <c r="L717" s="30"/>
      <c r="M717" s="6"/>
      <c r="N717" s="62"/>
      <c r="O717" s="62"/>
      <c r="P717" s="62"/>
      <c r="Q717" s="62"/>
      <c r="R717" s="62"/>
      <c r="S717" s="62"/>
      <c r="T717" s="62"/>
      <c r="U717" s="80"/>
      <c r="V717" s="62"/>
      <c r="W717" s="62"/>
      <c r="X717" s="62"/>
      <c r="Y717" s="62"/>
      <c r="Z717" s="62"/>
      <c r="AA717" s="79"/>
      <c r="AB717"/>
      <c r="AC717" s="56"/>
      <c r="AD717" s="70"/>
      <c r="AE717" s="71"/>
      <c r="AF717" s="72"/>
      <c r="AG717" s="72"/>
      <c r="AH717" s="128"/>
      <c r="AI717"/>
      <c r="AJ717" s="62"/>
      <c r="AK717" s="62"/>
      <c r="AL717" s="62"/>
      <c r="AM717" s="62"/>
      <c r="AN717" s="62"/>
      <c r="AO717" s="79"/>
    </row>
    <row r="718" spans="1:41" x14ac:dyDescent="0.25">
      <c r="A718" s="24" t="s">
        <v>9</v>
      </c>
      <c r="B718" s="25">
        <v>50</v>
      </c>
      <c r="C718" s="26">
        <v>0</v>
      </c>
      <c r="D718" s="27">
        <v>0</v>
      </c>
      <c r="E718" s="27">
        <v>0</v>
      </c>
      <c r="F718" s="27">
        <v>0</v>
      </c>
      <c r="G718" s="28"/>
      <c r="H718" s="28"/>
      <c r="I718" s="28"/>
      <c r="J718" s="26">
        <f t="array" ref="J718">SUM($G$668:$I$668*DecCours*DecPasse^(B718-$B$668-1))</f>
        <v>398.83017407836729</v>
      </c>
      <c r="K718" s="27"/>
      <c r="L718" s="30"/>
      <c r="M718" s="6"/>
      <c r="N718" s="62"/>
      <c r="O718" s="62"/>
      <c r="P718" s="62"/>
      <c r="Q718" s="62"/>
      <c r="R718" s="62"/>
      <c r="S718" s="62"/>
      <c r="T718" s="62"/>
      <c r="U718" s="80"/>
      <c r="V718" s="62"/>
      <c r="W718" s="62"/>
      <c r="X718" s="62"/>
      <c r="Y718" s="62"/>
      <c r="Z718" s="62"/>
      <c r="AA718" s="79"/>
      <c r="AB718"/>
      <c r="AC718" s="56"/>
      <c r="AD718" s="70"/>
      <c r="AE718" s="71"/>
      <c r="AF718" s="72"/>
      <c r="AG718" s="72"/>
      <c r="AH718" s="128"/>
      <c r="AI718"/>
      <c r="AJ718" s="62"/>
      <c r="AK718" s="62"/>
      <c r="AL718" s="62"/>
      <c r="AM718" s="62"/>
      <c r="AN718" s="62"/>
      <c r="AO718" s="79"/>
    </row>
    <row r="719" spans="1:41" x14ac:dyDescent="0.25">
      <c r="A719" s="24" t="s">
        <v>9</v>
      </c>
      <c r="B719" s="25">
        <v>51</v>
      </c>
      <c r="C719" s="26">
        <v>0</v>
      </c>
      <c r="D719" s="27">
        <v>0</v>
      </c>
      <c r="E719" s="27">
        <v>0</v>
      </c>
      <c r="F719" s="27">
        <v>0</v>
      </c>
      <c r="G719" s="28"/>
      <c r="H719" s="28"/>
      <c r="I719" s="28"/>
      <c r="J719" s="26">
        <f t="array" ref="J719">SUM($G$668:$I$668*DecCours*DecPasse^(B719-$B$668-1))</f>
        <v>390.78296424759628</v>
      </c>
      <c r="K719" s="27"/>
      <c r="L719" s="30"/>
      <c r="M719" s="6"/>
      <c r="N719" s="62"/>
      <c r="O719" s="62"/>
      <c r="P719" s="62"/>
      <c r="Q719" s="62"/>
      <c r="R719" s="62"/>
      <c r="S719" s="62"/>
      <c r="T719" s="62"/>
      <c r="U719" s="80"/>
      <c r="V719" s="62"/>
      <c r="W719" s="62"/>
      <c r="X719" s="62"/>
      <c r="Y719" s="62"/>
      <c r="Z719" s="62"/>
      <c r="AA719" s="79"/>
      <c r="AB719"/>
      <c r="AC719" s="56"/>
      <c r="AD719" s="70"/>
      <c r="AE719" s="71"/>
      <c r="AF719" s="72"/>
      <c r="AG719" s="72"/>
      <c r="AH719" s="128"/>
      <c r="AI719"/>
      <c r="AJ719" s="62"/>
      <c r="AK719" s="62"/>
      <c r="AL719" s="62"/>
      <c r="AM719" s="62"/>
      <c r="AN719" s="62"/>
      <c r="AO719" s="79"/>
    </row>
    <row r="720" spans="1:41" x14ac:dyDescent="0.25">
      <c r="A720" s="24" t="s">
        <v>9</v>
      </c>
      <c r="B720" s="25">
        <v>52</v>
      </c>
      <c r="C720" s="26">
        <v>0</v>
      </c>
      <c r="D720" s="27">
        <v>0</v>
      </c>
      <c r="E720" s="27">
        <v>0</v>
      </c>
      <c r="F720" s="27">
        <v>0</v>
      </c>
      <c r="G720" s="28"/>
      <c r="H720" s="28"/>
      <c r="I720" s="28"/>
      <c r="J720" s="26">
        <f t="array" ref="J720">SUM($G$668:$I$668*DecCours*DecPasse^(B720-$B$668-1))</f>
        <v>382.89974662899465</v>
      </c>
      <c r="K720" s="27"/>
      <c r="L720" s="30"/>
      <c r="M720" s="6"/>
      <c r="N720" s="62"/>
      <c r="O720" s="62"/>
      <c r="P720" s="62"/>
      <c r="Q720" s="62"/>
      <c r="R720" s="62"/>
      <c r="S720" s="62"/>
      <c r="T720" s="62"/>
      <c r="U720" s="80"/>
      <c r="V720" s="62"/>
      <c r="W720" s="62"/>
      <c r="X720" s="62"/>
      <c r="Y720" s="62"/>
      <c r="Z720" s="62"/>
      <c r="AA720" s="79"/>
      <c r="AB720"/>
      <c r="AC720" s="56"/>
      <c r="AD720" s="70"/>
      <c r="AE720" s="71"/>
      <c r="AF720" s="72"/>
      <c r="AG720" s="72"/>
      <c r="AH720" s="128"/>
      <c r="AI720"/>
      <c r="AJ720" s="62"/>
      <c r="AK720" s="62"/>
      <c r="AL720" s="62"/>
      <c r="AM720" s="62"/>
      <c r="AN720" s="62"/>
      <c r="AO720" s="79"/>
    </row>
    <row r="721" spans="1:41" x14ac:dyDescent="0.25">
      <c r="A721" s="24" t="s">
        <v>9</v>
      </c>
      <c r="B721" s="25">
        <v>53</v>
      </c>
      <c r="C721" s="26">
        <v>0</v>
      </c>
      <c r="D721" s="27">
        <v>0</v>
      </c>
      <c r="E721" s="27">
        <v>0</v>
      </c>
      <c r="F721" s="27">
        <v>0</v>
      </c>
      <c r="G721" s="28"/>
      <c r="H721" s="28"/>
      <c r="I721" s="28"/>
      <c r="J721" s="26">
        <f t="array" ref="J721">SUM($G$668:$I$668*DecCours*DecPasse^(B721-$B$668-1))</f>
        <v>375.17713595809835</v>
      </c>
      <c r="K721" s="27"/>
      <c r="L721" s="30"/>
      <c r="M721" s="6"/>
      <c r="N721" s="62"/>
      <c r="O721" s="62"/>
      <c r="P721" s="62"/>
      <c r="Q721" s="62"/>
      <c r="R721" s="62"/>
      <c r="S721" s="62"/>
      <c r="T721" s="62"/>
      <c r="U721" s="80"/>
      <c r="V721" s="62"/>
      <c r="W721" s="62"/>
      <c r="X721" s="62"/>
      <c r="Y721" s="62"/>
      <c r="Z721" s="62"/>
      <c r="AA721" s="79"/>
      <c r="AB721"/>
      <c r="AC721" s="56"/>
      <c r="AD721" s="70"/>
      <c r="AE721" s="71"/>
      <c r="AF721" s="72"/>
      <c r="AG721" s="72"/>
      <c r="AH721" s="128"/>
      <c r="AI721"/>
      <c r="AJ721" s="62"/>
      <c r="AK721" s="62"/>
      <c r="AL721" s="62"/>
      <c r="AM721" s="62"/>
      <c r="AN721" s="62"/>
      <c r="AO721" s="79"/>
    </row>
    <row r="722" spans="1:41" x14ac:dyDescent="0.25">
      <c r="A722" s="24" t="s">
        <v>9</v>
      </c>
      <c r="B722" s="25">
        <v>54</v>
      </c>
      <c r="C722" s="26">
        <v>0</v>
      </c>
      <c r="D722" s="27">
        <v>0</v>
      </c>
      <c r="E722" s="27">
        <v>0</v>
      </c>
      <c r="F722" s="27">
        <v>0</v>
      </c>
      <c r="G722" s="28"/>
      <c r="H722" s="28"/>
      <c r="I722" s="28"/>
      <c r="J722" s="26">
        <f t="array" ref="J722">SUM($G$668:$I$668*DecCours*DecPasse^(B722-$B$668-1))</f>
        <v>367.61181803897779</v>
      </c>
      <c r="K722" s="27"/>
      <c r="L722" s="30"/>
      <c r="M722" s="6"/>
      <c r="N722" s="62"/>
      <c r="O722" s="62"/>
      <c r="P722" s="62"/>
      <c r="Q722" s="62"/>
      <c r="R722" s="62"/>
      <c r="S722" s="62"/>
      <c r="T722" s="62"/>
      <c r="U722" s="80"/>
      <c r="V722" s="62"/>
      <c r="W722" s="62"/>
      <c r="X722" s="62"/>
      <c r="Y722" s="62"/>
      <c r="Z722" s="62"/>
      <c r="AA722" s="79"/>
      <c r="AB722"/>
      <c r="AC722" s="56"/>
      <c r="AD722" s="70"/>
      <c r="AE722" s="71"/>
      <c r="AF722" s="72"/>
      <c r="AG722" s="72"/>
      <c r="AH722" s="128"/>
      <c r="AI722"/>
      <c r="AJ722" s="62"/>
      <c r="AK722" s="62"/>
      <c r="AL722" s="62"/>
      <c r="AM722" s="62"/>
      <c r="AN722" s="62"/>
      <c r="AO722" s="79"/>
    </row>
    <row r="723" spans="1:41" x14ac:dyDescent="0.25">
      <c r="A723" s="24" t="s">
        <v>9</v>
      </c>
      <c r="B723" s="25">
        <v>55</v>
      </c>
      <c r="C723" s="26">
        <v>0</v>
      </c>
      <c r="D723" s="27">
        <v>0</v>
      </c>
      <c r="E723" s="27">
        <v>0</v>
      </c>
      <c r="F723" s="27">
        <v>0</v>
      </c>
      <c r="G723" s="28"/>
      <c r="H723" s="28"/>
      <c r="I723" s="28"/>
      <c r="J723" s="26">
        <f t="array" ref="J723">SUM($G$668:$I$668*DecCours*DecPasse^(B723-$B$668-1))</f>
        <v>360.2005482075046</v>
      </c>
      <c r="K723" s="27"/>
      <c r="L723" s="30"/>
      <c r="M723" s="6"/>
      <c r="N723" s="62"/>
      <c r="O723" s="62"/>
      <c r="P723" s="62"/>
      <c r="Q723" s="62"/>
      <c r="R723" s="62"/>
      <c r="S723" s="62"/>
      <c r="T723" s="62"/>
      <c r="U723" s="80"/>
      <c r="V723" s="62"/>
      <c r="W723" s="62"/>
      <c r="X723" s="62"/>
      <c r="Y723" s="62"/>
      <c r="Z723" s="62"/>
      <c r="AA723" s="79"/>
      <c r="AB723"/>
      <c r="AC723" s="56"/>
      <c r="AD723" s="70"/>
      <c r="AE723" s="71"/>
      <c r="AF723" s="72"/>
      <c r="AG723" s="72"/>
      <c r="AH723" s="128"/>
      <c r="AI723"/>
      <c r="AJ723" s="62"/>
      <c r="AK723" s="62"/>
      <c r="AL723" s="62"/>
      <c r="AM723" s="62"/>
      <c r="AN723" s="62"/>
      <c r="AO723" s="79"/>
    </row>
    <row r="724" spans="1:41" x14ac:dyDescent="0.25">
      <c r="A724" s="24" t="s">
        <v>9</v>
      </c>
      <c r="B724" s="25">
        <v>56</v>
      </c>
      <c r="C724" s="26">
        <v>0</v>
      </c>
      <c r="D724" s="27">
        <v>0</v>
      </c>
      <c r="E724" s="27">
        <v>0</v>
      </c>
      <c r="F724" s="27">
        <v>0</v>
      </c>
      <c r="G724" s="28"/>
      <c r="H724" s="28"/>
      <c r="I724" s="28"/>
      <c r="J724" s="26">
        <f t="array" ref="J724">SUM($G$668:$I$668*DecCours*DecPasse^(B724-$B$668-1))</f>
        <v>352.94014983305777</v>
      </c>
      <c r="K724" s="27"/>
      <c r="L724" s="30"/>
      <c r="M724" s="6"/>
      <c r="N724" s="62"/>
      <c r="O724" s="62"/>
      <c r="P724" s="62"/>
      <c r="Q724" s="62"/>
      <c r="R724" s="62"/>
      <c r="S724" s="62"/>
      <c r="T724" s="62"/>
      <c r="U724" s="80"/>
      <c r="V724" s="62"/>
      <c r="W724" s="62"/>
      <c r="X724" s="62"/>
      <c r="Y724" s="62"/>
      <c r="Z724" s="62"/>
      <c r="AA724" s="79"/>
      <c r="AB724"/>
      <c r="AC724" s="56"/>
      <c r="AD724" s="70"/>
      <c r="AE724" s="71"/>
      <c r="AF724" s="72"/>
      <c r="AG724" s="72"/>
      <c r="AH724" s="128"/>
      <c r="AI724"/>
      <c r="AJ724" s="62"/>
      <c r="AK724" s="62"/>
      <c r="AL724" s="62"/>
      <c r="AM724" s="62"/>
      <c r="AN724" s="62"/>
      <c r="AO724" s="79"/>
    </row>
    <row r="725" spans="1:41" x14ac:dyDescent="0.25">
      <c r="A725" s="24" t="s">
        <v>9</v>
      </c>
      <c r="B725" s="25">
        <v>57</v>
      </c>
      <c r="C725" s="26">
        <v>0</v>
      </c>
      <c r="D725" s="27">
        <v>0</v>
      </c>
      <c r="E725" s="27">
        <v>0</v>
      </c>
      <c r="F725" s="27">
        <v>0</v>
      </c>
      <c r="G725" s="28"/>
      <c r="H725" s="28"/>
      <c r="I725" s="28"/>
      <c r="J725" s="26">
        <f t="array" ref="J725">SUM($G$668:$I$668*DecCours*DecPasse^(B725-$B$668-1))</f>
        <v>345.8275128564037</v>
      </c>
      <c r="K725" s="27"/>
      <c r="L725" s="30"/>
      <c r="M725" s="6"/>
      <c r="N725" s="62"/>
      <c r="O725" s="62"/>
      <c r="P725" s="62"/>
      <c r="Q725" s="62"/>
      <c r="R725" s="62"/>
      <c r="S725" s="62"/>
      <c r="T725" s="62"/>
      <c r="U725" s="80"/>
      <c r="V725" s="62"/>
      <c r="W725" s="62"/>
      <c r="X725" s="62"/>
      <c r="Y725" s="62"/>
      <c r="Z725" s="62"/>
      <c r="AA725" s="79"/>
      <c r="AB725"/>
      <c r="AC725" s="56"/>
      <c r="AD725" s="70"/>
      <c r="AE725" s="71"/>
      <c r="AF725" s="72"/>
      <c r="AG725" s="72"/>
      <c r="AH725" s="128"/>
      <c r="AI725"/>
      <c r="AJ725" s="62"/>
      <c r="AK725" s="62"/>
      <c r="AL725" s="62"/>
      <c r="AM725" s="62"/>
      <c r="AN725" s="62"/>
      <c r="AO725" s="79"/>
    </row>
    <row r="726" spans="1:41" x14ac:dyDescent="0.25">
      <c r="A726" s="24" t="s">
        <v>9</v>
      </c>
      <c r="B726" s="25">
        <v>58</v>
      </c>
      <c r="C726" s="26">
        <v>0</v>
      </c>
      <c r="D726" s="27">
        <v>0</v>
      </c>
      <c r="E726" s="27">
        <v>0</v>
      </c>
      <c r="F726" s="27">
        <v>0</v>
      </c>
      <c r="G726" s="28"/>
      <c r="H726" s="28"/>
      <c r="I726" s="28"/>
      <c r="J726" s="26">
        <f t="array" ref="J726">SUM($G$668:$I$668*DecCours*DecPasse^(B726-$B$668-1))</f>
        <v>338.85959236194384</v>
      </c>
      <c r="K726" s="27"/>
      <c r="L726" s="30"/>
      <c r="M726" s="6"/>
      <c r="N726" s="62"/>
      <c r="O726" s="62"/>
      <c r="P726" s="62"/>
      <c r="Q726" s="62"/>
      <c r="R726" s="62"/>
      <c r="S726" s="62"/>
      <c r="T726" s="62"/>
      <c r="U726" s="80"/>
      <c r="V726" s="62"/>
      <c r="W726" s="62"/>
      <c r="X726" s="62"/>
      <c r="Y726" s="62"/>
      <c r="Z726" s="62"/>
      <c r="AA726" s="79"/>
      <c r="AB726"/>
      <c r="AC726" s="56"/>
      <c r="AD726" s="70"/>
      <c r="AE726" s="71"/>
      <c r="AF726" s="72"/>
      <c r="AG726" s="72"/>
      <c r="AH726" s="128"/>
      <c r="AI726"/>
      <c r="AJ726" s="62"/>
      <c r="AK726" s="62"/>
      <c r="AL726" s="62"/>
      <c r="AM726" s="62"/>
      <c r="AN726" s="62"/>
      <c r="AO726" s="79"/>
    </row>
    <row r="727" spans="1:41" x14ac:dyDescent="0.25">
      <c r="A727" s="24" t="s">
        <v>9</v>
      </c>
      <c r="B727" s="25">
        <v>59</v>
      </c>
      <c r="C727" s="26">
        <v>0</v>
      </c>
      <c r="D727" s="27">
        <v>0</v>
      </c>
      <c r="E727" s="27">
        <v>0</v>
      </c>
      <c r="F727" s="27">
        <v>0</v>
      </c>
      <c r="G727" s="28"/>
      <c r="H727" s="28"/>
      <c r="I727" s="28"/>
      <c r="J727" s="26">
        <f t="array" ref="J727">SUM($G$668:$I$668*DecCours*DecPasse^(B727-$B$668-1))</f>
        <v>332.03340718285801</v>
      </c>
      <c r="K727" s="27"/>
      <c r="L727" s="30"/>
      <c r="M727" s="6"/>
      <c r="N727" s="62"/>
      <c r="O727" s="62"/>
      <c r="P727" s="62"/>
      <c r="Q727" s="62"/>
      <c r="R727" s="62"/>
      <c r="S727" s="62"/>
      <c r="T727" s="62"/>
      <c r="U727" s="80"/>
      <c r="V727" s="62"/>
      <c r="W727" s="62"/>
      <c r="X727" s="62"/>
      <c r="Y727" s="62"/>
      <c r="Z727" s="62"/>
      <c r="AA727" s="79"/>
      <c r="AB727"/>
      <c r="AC727" s="56"/>
      <c r="AD727" s="70"/>
      <c r="AE727" s="71"/>
      <c r="AF727" s="72"/>
      <c r="AG727" s="72"/>
      <c r="AH727" s="128"/>
      <c r="AI727"/>
      <c r="AJ727" s="62"/>
      <c r="AK727" s="62"/>
      <c r="AL727" s="62"/>
      <c r="AM727" s="62"/>
      <c r="AN727" s="62"/>
      <c r="AO727" s="79"/>
    </row>
    <row r="728" spans="1:41" x14ac:dyDescent="0.25">
      <c r="A728" s="24" t="s">
        <v>9</v>
      </c>
      <c r="B728" s="25">
        <v>60</v>
      </c>
      <c r="C728" s="26">
        <v>0</v>
      </c>
      <c r="D728" s="27">
        <v>0</v>
      </c>
      <c r="E728" s="27">
        <v>0</v>
      </c>
      <c r="F728" s="27">
        <v>0</v>
      </c>
      <c r="G728" s="28"/>
      <c r="H728" s="28"/>
      <c r="I728" s="28"/>
      <c r="J728" s="26">
        <f t="array" ref="J728">SUM($G$668:$I$668*DecCours*DecPasse^(B728-$B$668-1))</f>
        <v>325.34603853790873</v>
      </c>
      <c r="K728" s="27"/>
      <c r="L728" s="30"/>
      <c r="M728" s="6"/>
      <c r="N728" s="62"/>
      <c r="O728" s="62"/>
      <c r="P728" s="62"/>
      <c r="Q728" s="62"/>
      <c r="R728" s="62"/>
      <c r="S728" s="62"/>
      <c r="T728" s="62"/>
      <c r="U728" s="80"/>
      <c r="V728" s="62"/>
      <c r="W728" s="62"/>
      <c r="X728" s="62"/>
      <c r="Y728" s="62"/>
      <c r="Z728" s="62"/>
      <c r="AA728" s="79"/>
      <c r="AB728"/>
      <c r="AC728" s="56"/>
      <c r="AD728" s="70"/>
      <c r="AE728" s="71"/>
      <c r="AF728" s="72"/>
      <c r="AG728" s="72"/>
      <c r="AH728" s="128"/>
      <c r="AI728"/>
      <c r="AJ728" s="62"/>
      <c r="AK728" s="62"/>
      <c r="AL728" s="62"/>
      <c r="AM728" s="62"/>
      <c r="AN728" s="62"/>
      <c r="AO728" s="79"/>
    </row>
    <row r="729" spans="1:41" ht="17.100000000000001" customHeight="1" x14ac:dyDescent="0.25">
      <c r="A729" s="24" t="s">
        <v>9</v>
      </c>
      <c r="B729" s="25">
        <v>61</v>
      </c>
      <c r="C729" s="26">
        <v>0</v>
      </c>
      <c r="D729" s="27">
        <v>0</v>
      </c>
      <c r="E729" s="27">
        <v>0</v>
      </c>
      <c r="F729" s="27">
        <v>0</v>
      </c>
      <c r="G729" s="28"/>
      <c r="H729" s="28"/>
      <c r="I729" s="28"/>
      <c r="J729" s="26">
        <f t="array" ref="J729">SUM($G$668:$I$668*DecCours*DecPasse^(B729-$B$668-1))</f>
        <v>318.79462869884799</v>
      </c>
      <c r="K729" s="27"/>
      <c r="L729" s="30"/>
      <c r="M729" s="6"/>
      <c r="N729" s="62"/>
      <c r="O729" s="62"/>
      <c r="P729" s="62"/>
      <c r="Q729" s="62"/>
      <c r="R729" s="62"/>
      <c r="S729" s="62"/>
      <c r="T729" s="62"/>
      <c r="U729" s="80"/>
      <c r="V729" s="62"/>
      <c r="W729" s="62"/>
      <c r="X729" s="62"/>
      <c r="Y729" s="62"/>
      <c r="Z729" s="62"/>
      <c r="AA729" s="79"/>
      <c r="AB729"/>
      <c r="AC729" s="56"/>
      <c r="AD729" s="70"/>
      <c r="AE729" s="71"/>
      <c r="AF729" s="72"/>
      <c r="AG729" s="72"/>
      <c r="AH729" s="128"/>
      <c r="AI729"/>
      <c r="AJ729" s="62"/>
      <c r="AK729" s="62"/>
      <c r="AL729" s="62"/>
      <c r="AM729" s="62"/>
      <c r="AN729" s="62"/>
      <c r="AO729" s="79"/>
    </row>
    <row r="730" spans="1:41" x14ac:dyDescent="0.25">
      <c r="A730" s="24" t="s">
        <v>9</v>
      </c>
      <c r="B730" s="25">
        <v>62</v>
      </c>
      <c r="C730" s="26">
        <v>0</v>
      </c>
      <c r="D730" s="27">
        <v>0</v>
      </c>
      <c r="E730" s="27">
        <v>0</v>
      </c>
      <c r="F730" s="27">
        <v>0</v>
      </c>
      <c r="G730" s="28"/>
      <c r="H730" s="28"/>
      <c r="I730" s="28"/>
      <c r="J730" s="26">
        <f t="array" ref="J730">SUM($G$668:$I$668*DecCours*DecPasse^(B730-$B$668-1))</f>
        <v>312.37637968748987</v>
      </c>
      <c r="K730" s="27"/>
      <c r="L730" s="30"/>
      <c r="M730" s="6"/>
      <c r="N730" s="62"/>
      <c r="O730" s="62"/>
      <c r="P730" s="62"/>
      <c r="Q730" s="62"/>
      <c r="R730" s="62"/>
      <c r="S730" s="62"/>
      <c r="T730" s="62"/>
      <c r="U730" s="80"/>
      <c r="V730" s="62"/>
      <c r="W730" s="62"/>
      <c r="X730" s="62"/>
      <c r="Y730" s="62"/>
      <c r="Z730" s="62"/>
      <c r="AA730" s="79"/>
      <c r="AB730"/>
      <c r="AC730" s="56"/>
      <c r="AD730" s="70"/>
      <c r="AE730" s="71"/>
      <c r="AF730" s="72"/>
      <c r="AG730" s="72"/>
      <c r="AH730" s="128"/>
      <c r="AI730"/>
      <c r="AJ730" s="62"/>
      <c r="AK730" s="62"/>
      <c r="AL730" s="62"/>
      <c r="AM730" s="62"/>
      <c r="AN730" s="62"/>
      <c r="AO730" s="79"/>
    </row>
    <row r="731" spans="1:41" x14ac:dyDescent="0.25">
      <c r="A731" s="24" t="s">
        <v>9</v>
      </c>
      <c r="B731" s="25">
        <v>63</v>
      </c>
      <c r="C731" s="26">
        <v>0</v>
      </c>
      <c r="D731" s="27">
        <v>0</v>
      </c>
      <c r="E731" s="27">
        <v>0</v>
      </c>
      <c r="F731" s="27">
        <v>0</v>
      </c>
      <c r="G731" s="28"/>
      <c r="H731" s="28"/>
      <c r="I731" s="28"/>
      <c r="J731" s="26">
        <f t="array" ref="J731">SUM($G$668:$I$668*DecCours*DecPasse^(B731-$B$668-1))</f>
        <v>306.08855200161395</v>
      </c>
      <c r="K731" s="27"/>
      <c r="L731" s="30"/>
      <c r="M731" s="6"/>
      <c r="N731" s="62"/>
      <c r="O731" s="62"/>
      <c r="P731" s="62"/>
      <c r="Q731" s="62"/>
      <c r="R731" s="62"/>
      <c r="S731" s="62"/>
      <c r="T731" s="62"/>
      <c r="U731" s="80"/>
      <c r="V731" s="62"/>
      <c r="W731" s="62"/>
      <c r="X731" s="62"/>
      <c r="Y731" s="62"/>
      <c r="Z731" s="62"/>
      <c r="AA731" s="79"/>
      <c r="AB731"/>
      <c r="AC731" s="56"/>
      <c r="AD731" s="70"/>
      <c r="AE731" s="71"/>
      <c r="AF731" s="72"/>
      <c r="AG731" s="72"/>
      <c r="AH731" s="128"/>
      <c r="AI731"/>
      <c r="AJ731" s="62"/>
      <c r="AK731" s="62"/>
      <c r="AL731" s="62"/>
      <c r="AM731" s="62"/>
      <c r="AN731" s="62"/>
      <c r="AO731" s="79"/>
    </row>
    <row r="732" spans="1:41" x14ac:dyDescent="0.25">
      <c r="A732" s="24" t="s">
        <v>9</v>
      </c>
      <c r="B732" s="25">
        <v>64</v>
      </c>
      <c r="C732" s="26">
        <v>0</v>
      </c>
      <c r="D732" s="27">
        <v>0</v>
      </c>
      <c r="E732" s="27">
        <v>0</v>
      </c>
      <c r="F732" s="27">
        <v>0</v>
      </c>
      <c r="G732" s="28"/>
      <c r="H732" s="28"/>
      <c r="I732" s="28"/>
      <c r="J732" s="26">
        <f t="array" ref="J732">SUM($G$668:$I$668*DecCours*DecPasse^(B732-$B$668-1))</f>
        <v>299.92846336892654</v>
      </c>
      <c r="K732" s="27"/>
      <c r="L732" s="30"/>
      <c r="M732" s="6"/>
      <c r="N732" s="62"/>
      <c r="O732" s="62"/>
      <c r="P732" s="62"/>
      <c r="Q732" s="62"/>
      <c r="R732" s="62"/>
      <c r="S732" s="62"/>
      <c r="T732" s="62"/>
      <c r="U732" s="80"/>
      <c r="V732" s="62"/>
      <c r="W732" s="62"/>
      <c r="X732" s="62"/>
      <c r="Y732" s="62"/>
      <c r="Z732" s="62"/>
      <c r="AA732" s="79"/>
      <c r="AB732"/>
      <c r="AC732" s="56"/>
      <c r="AD732" s="70"/>
      <c r="AE732" s="71"/>
      <c r="AF732" s="72"/>
      <c r="AG732" s="72"/>
      <c r="AH732" s="128"/>
      <c r="AI732"/>
      <c r="AJ732" s="62"/>
      <c r="AK732" s="62"/>
      <c r="AL732" s="62"/>
      <c r="AM732" s="62"/>
      <c r="AN732" s="62"/>
      <c r="AO732" s="79"/>
    </row>
    <row r="733" spans="1:41" ht="16.5" thickBot="1" x14ac:dyDescent="0.3">
      <c r="A733" s="24" t="s">
        <v>9</v>
      </c>
      <c r="B733" s="25">
        <v>65</v>
      </c>
      <c r="C733" s="26">
        <f>66*C661</f>
        <v>361.68</v>
      </c>
      <c r="D733" s="27">
        <v>0.1</v>
      </c>
      <c r="E733" s="27">
        <v>0</v>
      </c>
      <c r="F733" s="27">
        <v>0</v>
      </c>
      <c r="G733" s="28">
        <f>$C$733*D733*InfraBoul*TauxC*MasseMol</f>
        <v>32.756152</v>
      </c>
      <c r="H733" s="28">
        <f>$C$733*E733*InfraBoul*TauxC*MasseMol</f>
        <v>0</v>
      </c>
      <c r="I733" s="28">
        <f>$C$733*F733*InfraBoul*TauxC*MasseMol</f>
        <v>0</v>
      </c>
      <c r="J733" s="26">
        <f t="array" ref="J733">SUM($G$668:$I$668*DecCours*DecPasse^(B733-$B$668-1))</f>
        <v>293.89348752836884</v>
      </c>
      <c r="K733" s="29"/>
      <c r="L733" s="36"/>
      <c r="M733" s="6"/>
    </row>
    <row r="734" spans="1:41" x14ac:dyDescent="0.25">
      <c r="A734" s="12" t="s">
        <v>10</v>
      </c>
      <c r="B734" s="13">
        <v>0</v>
      </c>
      <c r="C734" s="14">
        <v>2192</v>
      </c>
      <c r="D734" s="15">
        <f>60%*0.9</f>
        <v>0.54</v>
      </c>
      <c r="E734" s="15">
        <f>16%*0.9</f>
        <v>0.14400000000000002</v>
      </c>
      <c r="F734" s="15">
        <f>8%*0.9</f>
        <v>7.2000000000000008E-2</v>
      </c>
      <c r="G734" s="16">
        <f>(0.56*InfraRx + 0.04*InfraFs)*C734*TauxC*MasseMol</f>
        <v>984.97520000000009</v>
      </c>
      <c r="H734" s="16">
        <f>E734*C734*InfraRx*TauxC*MasseMol</f>
        <v>230.89651199999997</v>
      </c>
      <c r="I734" s="16">
        <f>F734*C734*InfraRx*TauxC*MasseMol</f>
        <v>115.44825599999999</v>
      </c>
      <c r="J734" s="14">
        <v>0</v>
      </c>
      <c r="K734" s="15">
        <f>0.16</f>
        <v>0.16</v>
      </c>
      <c r="L734" s="17">
        <f>C734*(D734*CoefSubSciage+E734*CoefSubEmballage+F734*CoefSubPanneaux+K734*CoefSubEnergie)</f>
        <v>2008.3980800000004</v>
      </c>
      <c r="M734" s="6"/>
    </row>
    <row r="735" spans="1:41" x14ac:dyDescent="0.25">
      <c r="A735" s="24"/>
      <c r="B735" s="25">
        <v>1</v>
      </c>
      <c r="C735" s="26">
        <v>0</v>
      </c>
      <c r="D735" s="27">
        <v>0</v>
      </c>
      <c r="E735" s="27">
        <v>0</v>
      </c>
      <c r="F735" s="27">
        <v>0</v>
      </c>
      <c r="G735" s="28"/>
      <c r="H735" s="28"/>
      <c r="I735" s="28"/>
      <c r="J735" s="26">
        <f t="array" ref="J735">SUM($G$734:$I$734*DecCours)</f>
        <v>1284.2816610298648</v>
      </c>
      <c r="K735" s="27"/>
      <c r="L735" s="30"/>
      <c r="M735" s="6"/>
    </row>
    <row r="736" spans="1:41" x14ac:dyDescent="0.25">
      <c r="A736" s="24"/>
      <c r="B736" s="25">
        <v>2</v>
      </c>
      <c r="C736" s="26">
        <v>0</v>
      </c>
      <c r="D736" s="27">
        <v>0</v>
      </c>
      <c r="E736" s="27">
        <v>0</v>
      </c>
      <c r="F736" s="27">
        <v>0</v>
      </c>
      <c r="G736" s="28"/>
      <c r="H736" s="28"/>
      <c r="I736" s="28"/>
      <c r="J736" s="26">
        <f t="array" ref="J736">SUM($G$734:$I$734*DecCours*DecPasse^(B736-$B$734-1))</f>
        <v>1204.8901241382111</v>
      </c>
      <c r="K736" s="27"/>
      <c r="L736" s="30"/>
      <c r="M736" s="6"/>
    </row>
    <row r="737" spans="1:13" x14ac:dyDescent="0.25">
      <c r="A737" s="24"/>
      <c r="B737" s="25">
        <v>3</v>
      </c>
      <c r="C737" s="26">
        <v>0</v>
      </c>
      <c r="D737" s="27">
        <v>0</v>
      </c>
      <c r="E737" s="27">
        <v>0</v>
      </c>
      <c r="F737" s="27">
        <v>0</v>
      </c>
      <c r="G737" s="28"/>
      <c r="H737" s="28"/>
      <c r="I737" s="28"/>
      <c r="J737" s="26">
        <f t="array" ref="J737">SUM($G$734:$I$734*DecCours*DecPasse^(B737-$B$734-1))</f>
        <v>1142.698537364133</v>
      </c>
      <c r="K737" s="27"/>
      <c r="L737" s="30"/>
      <c r="M737" s="6"/>
    </row>
    <row r="738" spans="1:13" x14ac:dyDescent="0.25">
      <c r="A738" s="24"/>
      <c r="B738" s="25">
        <v>4</v>
      </c>
      <c r="C738" s="26">
        <v>0</v>
      </c>
      <c r="D738" s="27">
        <v>0</v>
      </c>
      <c r="E738" s="27">
        <v>0</v>
      </c>
      <c r="F738" s="27">
        <v>0</v>
      </c>
      <c r="G738" s="28"/>
      <c r="H738" s="28"/>
      <c r="I738" s="28"/>
      <c r="J738" s="26">
        <f t="array" ref="J738">SUM($G$734:$I$734*DecCours*DecPasse^(B738-$B$734-1))</f>
        <v>1092.7942492108473</v>
      </c>
      <c r="K738" s="27"/>
      <c r="L738" s="30"/>
      <c r="M738" s="6"/>
    </row>
    <row r="739" spans="1:13" x14ac:dyDescent="0.25">
      <c r="A739" s="24"/>
      <c r="B739" s="25">
        <v>5</v>
      </c>
      <c r="C739" s="26">
        <v>0</v>
      </c>
      <c r="D739" s="27">
        <v>0</v>
      </c>
      <c r="E739" s="27">
        <v>0</v>
      </c>
      <c r="F739" s="27">
        <v>0</v>
      </c>
      <c r="G739" s="28"/>
      <c r="H739" s="28"/>
      <c r="I739" s="28"/>
      <c r="J739" s="26">
        <f t="array" ref="J739">SUM($G$734:$I$734*DecCours*DecPasse^(B739-$B$734-1))</f>
        <v>1051.7008625148123</v>
      </c>
      <c r="K739" s="27"/>
      <c r="L739" s="30"/>
      <c r="M739" s="6"/>
    </row>
    <row r="740" spans="1:13" x14ac:dyDescent="0.25">
      <c r="A740" s="24"/>
      <c r="B740" s="25">
        <v>6</v>
      </c>
      <c r="C740" s="26">
        <v>0</v>
      </c>
      <c r="D740" s="27">
        <v>0</v>
      </c>
      <c r="E740" s="27">
        <v>0</v>
      </c>
      <c r="F740" s="27">
        <v>0</v>
      </c>
      <c r="G740" s="28"/>
      <c r="H740" s="28"/>
      <c r="I740" s="28"/>
      <c r="J740" s="26">
        <f t="array" ref="J740">SUM($G$734:$I$734*DecCours*DecPasse^(B740-$B$734-1))</f>
        <v>1016.957621606577</v>
      </c>
      <c r="K740" s="27"/>
      <c r="L740" s="30"/>
      <c r="M740" s="6"/>
    </row>
    <row r="741" spans="1:13" x14ac:dyDescent="0.25">
      <c r="A741" s="24"/>
      <c r="B741" s="25">
        <v>7</v>
      </c>
      <c r="C741" s="26">
        <v>0</v>
      </c>
      <c r="D741" s="27">
        <v>0</v>
      </c>
      <c r="E741" s="27">
        <v>0</v>
      </c>
      <c r="F741" s="27">
        <v>0</v>
      </c>
      <c r="G741" s="28"/>
      <c r="H741" s="28"/>
      <c r="I741" s="28"/>
      <c r="J741" s="26">
        <f t="array" ref="J741">SUM($G$734:$I$734*DecCours*DecPasse^(B741-$B$734-1))</f>
        <v>986.82199288487436</v>
      </c>
      <c r="K741" s="27"/>
      <c r="L741" s="30"/>
      <c r="M741" s="6"/>
    </row>
    <row r="742" spans="1:13" x14ac:dyDescent="0.25">
      <c r="A742" s="24"/>
      <c r="B742" s="25">
        <v>8</v>
      </c>
      <c r="C742" s="26">
        <v>0</v>
      </c>
      <c r="D742" s="27">
        <v>0</v>
      </c>
      <c r="E742" s="27">
        <v>0</v>
      </c>
      <c r="F742" s="27">
        <v>0</v>
      </c>
      <c r="G742" s="28"/>
      <c r="H742" s="28"/>
      <c r="I742" s="28"/>
      <c r="J742" s="26">
        <f t="array" ref="J742">SUM($G$734:$I$734*DecCours*DecPasse^(B742-$B$734-1))</f>
        <v>960.05935631640602</v>
      </c>
      <c r="K742" s="27"/>
      <c r="L742" s="30"/>
      <c r="M742" s="6"/>
    </row>
    <row r="743" spans="1:13" x14ac:dyDescent="0.25">
      <c r="A743" s="24"/>
      <c r="B743" s="25">
        <v>9</v>
      </c>
      <c r="C743" s="26">
        <v>0</v>
      </c>
      <c r="D743" s="27">
        <v>0</v>
      </c>
      <c r="E743" s="27">
        <v>0</v>
      </c>
      <c r="F743" s="27">
        <v>0</v>
      </c>
      <c r="G743" s="28"/>
      <c r="H743" s="28"/>
      <c r="I743" s="28"/>
      <c r="J743" s="26">
        <f t="array" ref="J743">SUM($G$734:$I$734*DecCours*DecPasse^(B743-$B$734-1))</f>
        <v>935.79429368905892</v>
      </c>
      <c r="K743" s="27"/>
      <c r="L743" s="30"/>
      <c r="M743" s="6"/>
    </row>
    <row r="744" spans="1:13" x14ac:dyDescent="0.25">
      <c r="A744" s="24"/>
      <c r="B744" s="25">
        <v>10</v>
      </c>
      <c r="C744" s="26">
        <v>0</v>
      </c>
      <c r="D744" s="27">
        <v>0</v>
      </c>
      <c r="E744" s="27">
        <v>0</v>
      </c>
      <c r="F744" s="27">
        <v>0</v>
      </c>
      <c r="G744" s="28"/>
      <c r="H744" s="28"/>
      <c r="I744" s="28"/>
      <c r="J744" s="26">
        <f t="array" ref="J744">SUM($G$734:$I$734*DecCours*DecPasse^(B744-$B$734-1))</f>
        <v>913.40543237368991</v>
      </c>
      <c r="K744" s="27"/>
      <c r="L744" s="30"/>
      <c r="M744" s="6"/>
    </row>
    <row r="745" spans="1:13" x14ac:dyDescent="0.25">
      <c r="A745" s="24"/>
      <c r="B745" s="25">
        <v>11</v>
      </c>
      <c r="C745" s="26">
        <v>0</v>
      </c>
      <c r="D745" s="27">
        <v>0</v>
      </c>
      <c r="E745" s="27">
        <v>0</v>
      </c>
      <c r="F745" s="27">
        <v>0</v>
      </c>
      <c r="G745" s="28"/>
      <c r="H745" s="28"/>
      <c r="I745" s="28"/>
      <c r="J745" s="26">
        <f t="array" ref="J745">SUM($G$734:$I$734*DecCours*DecPasse^(B745-$B$734-1))</f>
        <v>892.45108750729651</v>
      </c>
      <c r="K745" s="27"/>
      <c r="L745" s="30"/>
      <c r="M745" s="6"/>
    </row>
    <row r="746" spans="1:13" x14ac:dyDescent="0.25">
      <c r="A746" s="24"/>
      <c r="B746" s="25">
        <v>12</v>
      </c>
      <c r="C746" s="26">
        <v>0</v>
      </c>
      <c r="D746" s="27">
        <v>0</v>
      </c>
      <c r="E746" s="27">
        <v>0</v>
      </c>
      <c r="F746" s="27">
        <v>0</v>
      </c>
      <c r="G746" s="28"/>
      <c r="H746" s="28"/>
      <c r="I746" s="28"/>
      <c r="J746" s="26">
        <f t="array" ref="J746">SUM($G$734:$I$734*DecCours*DecPasse^(B746-$B$734-1))</f>
        <v>872.61668197410961</v>
      </c>
      <c r="K746" s="27"/>
      <c r="L746" s="30"/>
      <c r="M746" s="6"/>
    </row>
    <row r="747" spans="1:13" x14ac:dyDescent="0.25">
      <c r="A747" s="24"/>
      <c r="B747" s="25">
        <v>13</v>
      </c>
      <c r="C747" s="26">
        <v>0</v>
      </c>
      <c r="D747" s="27">
        <v>0</v>
      </c>
      <c r="E747" s="27">
        <v>0</v>
      </c>
      <c r="F747" s="27">
        <v>0</v>
      </c>
      <c r="G747" s="28"/>
      <c r="H747" s="28"/>
      <c r="I747" s="28"/>
      <c r="J747" s="26">
        <f t="array" ref="J747">SUM($G$734:$I$734*DecCours*DecPasse^(B747-$B$734-1))</f>
        <v>853.67756564000751</v>
      </c>
      <c r="K747" s="27"/>
      <c r="L747" s="30"/>
      <c r="M747" s="6"/>
    </row>
    <row r="748" spans="1:13" x14ac:dyDescent="0.25">
      <c r="A748" s="24"/>
      <c r="B748" s="25">
        <v>14</v>
      </c>
      <c r="C748" s="26">
        <v>0</v>
      </c>
      <c r="D748" s="27">
        <v>0</v>
      </c>
      <c r="E748" s="27">
        <v>0</v>
      </c>
      <c r="F748" s="27">
        <v>0</v>
      </c>
      <c r="G748" s="28"/>
      <c r="H748" s="28"/>
      <c r="I748" s="28"/>
      <c r="J748" s="26">
        <f t="array" ref="J748">SUM($G$734:$I$734*DecCours*DecPasse^(B748-$B$734-1))</f>
        <v>835.47272352753964</v>
      </c>
      <c r="K748" s="27"/>
      <c r="L748" s="30"/>
      <c r="M748" s="6"/>
    </row>
    <row r="749" spans="1:13" x14ac:dyDescent="0.25">
      <c r="A749" s="24"/>
      <c r="B749" s="25">
        <v>15</v>
      </c>
      <c r="C749" s="26">
        <v>0</v>
      </c>
      <c r="D749" s="27">
        <v>0</v>
      </c>
      <c r="E749" s="27">
        <v>0</v>
      </c>
      <c r="F749" s="27">
        <v>0</v>
      </c>
      <c r="G749" s="28"/>
      <c r="H749" s="28"/>
      <c r="I749" s="28"/>
      <c r="J749" s="26">
        <f t="array" ref="J749">SUM($G$734:$I$734*DecCours*DecPasse^(B749-$B$734-1))</f>
        <v>817.88618365829973</v>
      </c>
      <c r="K749" s="27"/>
      <c r="L749" s="30"/>
      <c r="M749" s="6"/>
    </row>
    <row r="750" spans="1:13" x14ac:dyDescent="0.25">
      <c r="A750" s="24"/>
      <c r="B750" s="25">
        <v>16</v>
      </c>
      <c r="C750" s="26">
        <v>0</v>
      </c>
      <c r="D750" s="27">
        <v>0</v>
      </c>
      <c r="E750" s="27">
        <v>0</v>
      </c>
      <c r="F750" s="27">
        <v>0</v>
      </c>
      <c r="G750" s="28"/>
      <c r="H750" s="28"/>
      <c r="I750" s="28"/>
      <c r="J750" s="26">
        <f t="array" ref="J750">SUM($G$734:$I$734*DecCours*DecPasse^(B750-$B$734-1))</f>
        <v>800.83386940535161</v>
      </c>
      <c r="K750" s="27"/>
      <c r="L750" s="30"/>
      <c r="M750" s="6"/>
    </row>
    <row r="751" spans="1:13" x14ac:dyDescent="0.25">
      <c r="A751" s="24"/>
      <c r="B751" s="25">
        <v>17</v>
      </c>
      <c r="C751" s="26">
        <v>0</v>
      </c>
      <c r="D751" s="27">
        <v>0</v>
      </c>
      <c r="E751" s="27">
        <v>0</v>
      </c>
      <c r="F751" s="27">
        <v>0</v>
      </c>
      <c r="G751" s="28"/>
      <c r="H751" s="28"/>
      <c r="I751" s="28"/>
      <c r="J751" s="26">
        <f t="array" ref="J751">SUM($G$734:$I$734*DecCours*DecPasse^(B751-$B$734-1))</f>
        <v>784.25430171816936</v>
      </c>
      <c r="K751" s="27"/>
      <c r="L751" s="30"/>
      <c r="M751" s="6"/>
    </row>
    <row r="752" spans="1:13" x14ac:dyDescent="0.25">
      <c r="A752" s="24" t="s">
        <v>10</v>
      </c>
      <c r="B752" s="25">
        <v>18</v>
      </c>
      <c r="C752" s="26">
        <f>20*C663</f>
        <v>49.6</v>
      </c>
      <c r="D752" s="27">
        <v>0</v>
      </c>
      <c r="E752" s="27">
        <v>0</v>
      </c>
      <c r="F752" s="27">
        <v>1</v>
      </c>
      <c r="G752" s="28">
        <f>$C$752*D752*InfraMel*TauxC*MasseMol</f>
        <v>0</v>
      </c>
      <c r="H752" s="28">
        <f>$C$752*E752*InfraMel*TauxC*MasseMol</f>
        <v>0</v>
      </c>
      <c r="I752" s="28">
        <f>$C$752*F752*InfraMel*TauxC*MasseMol</f>
        <v>41.465599999999995</v>
      </c>
      <c r="J752" s="26">
        <f t="array" ref="J752">SUM($G$734:$I$734*DecCours*DecPasse^(B752-$B$734-1))</f>
        <v>768.1020236405443</v>
      </c>
      <c r="K752" s="29"/>
      <c r="L752" s="30">
        <f t="array" ref="L752">C752*(SUM(D752:F752*CoefSubst))</f>
        <v>38.192</v>
      </c>
      <c r="M752" s="6"/>
    </row>
    <row r="753" spans="1:13" x14ac:dyDescent="0.25">
      <c r="A753" s="24"/>
      <c r="B753" s="25">
        <v>19</v>
      </c>
      <c r="C753" s="26">
        <v>0</v>
      </c>
      <c r="D753" s="27">
        <v>0</v>
      </c>
      <c r="E753" s="27">
        <v>0</v>
      </c>
      <c r="F753" s="27">
        <v>0</v>
      </c>
      <c r="G753" s="28"/>
      <c r="H753" s="28"/>
      <c r="I753" s="28"/>
      <c r="J753" s="26">
        <f t="array" ref="J753">SUM($G$734:$I$734*DecCours*DecPasse^(B753-$B$734-1))+ SUM($G$752:$I$752*DecCours)</f>
        <v>793.23899051229216</v>
      </c>
      <c r="K753" s="29"/>
      <c r="L753" s="30"/>
      <c r="M753" s="6"/>
    </row>
    <row r="754" spans="1:13" x14ac:dyDescent="0.25">
      <c r="A754" s="24"/>
      <c r="B754" s="25">
        <v>20</v>
      </c>
      <c r="C754" s="26">
        <v>0</v>
      </c>
      <c r="D754" s="27">
        <v>0</v>
      </c>
      <c r="E754" s="27">
        <v>0</v>
      </c>
      <c r="F754" s="27">
        <v>0</v>
      </c>
      <c r="G754" s="28"/>
      <c r="H754" s="28"/>
      <c r="I754" s="28"/>
      <c r="J754" s="26">
        <f t="array" ref="J754">SUM($G$734:$I$734*DecCours*DecPasse^(B754-$B$734-1))+ SUM($G$752:$I$752*DecCours*DecPasse^(B754-$B$752-1))</f>
        <v>776.72881341744744</v>
      </c>
      <c r="K754" s="29"/>
      <c r="L754" s="30"/>
      <c r="M754" s="6"/>
    </row>
    <row r="755" spans="1:13" x14ac:dyDescent="0.25">
      <c r="A755" s="24" t="s">
        <v>10</v>
      </c>
      <c r="B755" s="25">
        <v>21</v>
      </c>
      <c r="C755" s="26">
        <f>26*C663</f>
        <v>64.48</v>
      </c>
      <c r="D755" s="27">
        <v>0</v>
      </c>
      <c r="E755" s="27">
        <v>0</v>
      </c>
      <c r="F755" s="27">
        <v>1</v>
      </c>
      <c r="G755" s="28">
        <f>$C$755*D755*InfraMel*TauxC*MasseMol</f>
        <v>0</v>
      </c>
      <c r="H755" s="28">
        <f>$C$755*E755*InfraMel*TauxC*MasseMol</f>
        <v>0</v>
      </c>
      <c r="I755" s="28">
        <f>$C$755*F755*InfraMel*TauxC*MasseMol</f>
        <v>53.905279999999998</v>
      </c>
      <c r="J755" s="26">
        <f t="array" ref="J755">SUM($G$734:$I$734*DecCours*DecPasse^(B755-$B$734-1))+ SUM($G$752:$I$752*DecCours*DecPasse^(B755-$B$752-1))</f>
        <v>760.59616988684297</v>
      </c>
      <c r="K755" s="29"/>
      <c r="L755" s="30">
        <f t="array" ref="L755">C755*(SUM(D755:F755*CoefSubst))</f>
        <v>49.649600000000007</v>
      </c>
      <c r="M755" s="6"/>
    </row>
    <row r="756" spans="1:13" x14ac:dyDescent="0.25">
      <c r="A756" s="24"/>
      <c r="B756" s="25">
        <v>22</v>
      </c>
      <c r="C756" s="26">
        <v>0</v>
      </c>
      <c r="D756" s="27">
        <v>0</v>
      </c>
      <c r="E756" s="27">
        <v>0</v>
      </c>
      <c r="F756" s="27">
        <v>0</v>
      </c>
      <c r="G756" s="28"/>
      <c r="H756" s="28"/>
      <c r="I756" s="28"/>
      <c r="J756" s="26">
        <f t="array" ref="J756">SUM($G$734:$I$734*DecCours*DecPasse^(B756-$B$734-1))+ SUM($G$752:$I$752*DecCours*DecPasse^(B756-$B$752-1)) + SUM($G$755:$I$755*DecCours)</f>
        <v>797.988938251582</v>
      </c>
      <c r="K756" s="29"/>
      <c r="L756" s="30"/>
      <c r="M756" s="6"/>
    </row>
    <row r="757" spans="1:13" x14ac:dyDescent="0.25">
      <c r="A757" s="24"/>
      <c r="B757" s="25">
        <v>23</v>
      </c>
      <c r="C757" s="26">
        <v>0</v>
      </c>
      <c r="D757" s="27">
        <v>0</v>
      </c>
      <c r="E757" s="27">
        <v>0</v>
      </c>
      <c r="F757" s="27">
        <v>0</v>
      </c>
      <c r="G757" s="28"/>
      <c r="H757" s="28"/>
      <c r="I757" s="28"/>
      <c r="J757" s="26">
        <f t="array" ref="J757">SUM($G$734:$I$734*DecCours*DecPasse^(B757-$B$734-1))+ SUM($G$752:$I$752*DecCours*DecPasse^(B757-$B$752-1)) + SUM($G$755:$I$755*DecCours*DecPasse^(B757-$B$755-1))</f>
        <v>781.10960963336515</v>
      </c>
      <c r="K757" s="29"/>
      <c r="L757" s="30"/>
      <c r="M757" s="6"/>
    </row>
    <row r="758" spans="1:13" x14ac:dyDescent="0.25">
      <c r="A758" s="24" t="s">
        <v>10</v>
      </c>
      <c r="B758" s="25">
        <v>24</v>
      </c>
      <c r="C758" s="26">
        <f>29*C663</f>
        <v>71.92</v>
      </c>
      <c r="D758" s="27">
        <f>40%*0.84</f>
        <v>0.33600000000000002</v>
      </c>
      <c r="E758" s="27">
        <v>0</v>
      </c>
      <c r="F758" s="27">
        <v>0.6</v>
      </c>
      <c r="G758" s="28">
        <f>$C$758*D758*InfraMel*TauxC*MasseMol</f>
        <v>20.202040319999998</v>
      </c>
      <c r="H758" s="28">
        <f>$C$758*E758*InfraMel*TauxC*MasseMol</f>
        <v>0</v>
      </c>
      <c r="I758" s="28">
        <f>$C$758*F758*InfraMel*TauxC*MasseMol</f>
        <v>36.075071999999992</v>
      </c>
      <c r="J758" s="26">
        <f t="array" ref="J758">SUM($G$734:$I$734*DecCours*DecPasse^(B758-$B$734-1))+ SUM($G$752:$I$752*DecCours*DecPasse^(B758-$B$752-1)) + SUM($G$755:$I$755*DecCours*DecPasse^(B758-$B$755-1))</f>
        <v>764.60472154047841</v>
      </c>
      <c r="K758" s="29"/>
      <c r="L758" s="30">
        <f t="array" ref="L758">C758*(SUM(D758:F758*CoefSubst))</f>
        <v>69.958022400000004</v>
      </c>
      <c r="M758" s="6"/>
    </row>
    <row r="759" spans="1:13" x14ac:dyDescent="0.25">
      <c r="A759" s="24" t="s">
        <v>10</v>
      </c>
      <c r="B759" s="35">
        <v>25</v>
      </c>
      <c r="C759" s="43">
        <f>54*C662</f>
        <v>108</v>
      </c>
      <c r="D759" s="27">
        <f>40%*0.84</f>
        <v>0.33600000000000002</v>
      </c>
      <c r="E759" s="27">
        <v>0</v>
      </c>
      <c r="F759" s="27">
        <v>0.6</v>
      </c>
      <c r="G759" s="28">
        <f>$C$759*D759*InfraDg*TauxC*MasseMol</f>
        <v>27.176687999999999</v>
      </c>
      <c r="H759" s="28">
        <f>$C$759*E759*InfraDg*TauxC*MasseMol</f>
        <v>0</v>
      </c>
      <c r="I759" s="28">
        <f>$C$759*F759*InfraDg*TauxC*MasseMol</f>
        <v>48.529799999999994</v>
      </c>
      <c r="J759" s="26">
        <f t="array" ref="J759">SUM($G$734:$I$734*DecCours*DecPasse^(B759-$B$734-1))+ SUM($G$752:$I$752*DecCours*DecPasse^(B759-$B$752-1)) + SUM($G$755:$I$755*DecCours*DecPasse^(B759-$B$755-1))+SUM($G$758:$I$758*DecCours)</f>
        <v>804.04574640454553</v>
      </c>
      <c r="K759" s="29"/>
      <c r="L759" s="30">
        <f t="array" ref="L759">C759*(SUM(D759:F759*CoefSubst))</f>
        <v>105.05376</v>
      </c>
      <c r="M759" s="6"/>
    </row>
    <row r="760" spans="1:13" x14ac:dyDescent="0.25">
      <c r="A760" s="24"/>
      <c r="B760" s="35">
        <v>26</v>
      </c>
      <c r="C760" s="43">
        <v>0</v>
      </c>
      <c r="D760" s="27">
        <v>0</v>
      </c>
      <c r="E760" s="27">
        <v>0</v>
      </c>
      <c r="F760" s="27">
        <v>0</v>
      </c>
      <c r="G760" s="28"/>
      <c r="H760" s="28"/>
      <c r="I760" s="28"/>
      <c r="J760" s="26">
        <f t="array" ref="J760">SUM($G$734:$I$734*DecCours*DecPasse^(B760-$B$734-1))+SUM($G$752:$I$752*DecCours*DecPasse^(B760-$B$752-1))+SUM($G$755:$I$755*DecCours*DecPasse^(B760-$B$755-1))+SUM($G$758:$I$758*DecCours*DecPasse^(B760-$B$758-1)+SUM($G$759:$I$759*DecCours))</f>
        <v>1011.2092257858316</v>
      </c>
      <c r="K760" s="29"/>
      <c r="L760" s="30"/>
      <c r="M760" s="6"/>
    </row>
    <row r="761" spans="1:13" x14ac:dyDescent="0.25">
      <c r="A761" s="24"/>
      <c r="B761" s="35">
        <v>27</v>
      </c>
      <c r="C761" s="43">
        <v>0</v>
      </c>
      <c r="D761" s="27">
        <v>0</v>
      </c>
      <c r="E761" s="27">
        <v>0</v>
      </c>
      <c r="F761" s="27">
        <v>0</v>
      </c>
      <c r="G761" s="28"/>
      <c r="H761" s="28"/>
      <c r="I761" s="28"/>
      <c r="J761" s="26">
        <f t="array" ref="J761">SUM($G$734:$I$734*DecCours*DecPasse^(B761-$B$734-1))+SUM($G$752:$I$752*DecCours*DecPasse^(B761-$B$752-1))+SUM($G$755:$I$755*DecCours*DecPasse^(B761-$B$755-1))+SUM($G$758:$I$758*DecCours*DecPasse^(B761-$B$758-1)+SUM($G$759:$I$759*DecCours*DecPasse^(B761-$B$759-1)))</f>
        <v>988.92331425040993</v>
      </c>
      <c r="K761" s="29"/>
      <c r="L761" s="30"/>
      <c r="M761" s="6"/>
    </row>
    <row r="762" spans="1:13" x14ac:dyDescent="0.25">
      <c r="A762" s="24"/>
      <c r="B762" s="35">
        <v>28</v>
      </c>
      <c r="C762" s="43">
        <v>0</v>
      </c>
      <c r="D762" s="27">
        <v>0</v>
      </c>
      <c r="E762" s="27">
        <v>0</v>
      </c>
      <c r="F762" s="27">
        <v>0</v>
      </c>
      <c r="G762" s="28"/>
      <c r="H762" s="28"/>
      <c r="I762" s="28"/>
      <c r="J762" s="26">
        <f t="array" ref="J762">SUM($G$734:$I$734*DecCours*DecPasse^(B762-$B$734-1))+SUM($G$752:$I$752*DecCours*DecPasse^(B762-$B$752-1))+SUM($G$755:$I$755*DecCours*DecPasse^(B762-$B$755-1))+SUM($G$758:$I$758*DecCours*DecPasse^(B762-$B$758-1)+SUM($G$759:$I$759*DecCours*DecPasse^(B762-$B$759-1)))</f>
        <v>967.1440394909356</v>
      </c>
      <c r="K762" s="29"/>
      <c r="L762" s="30"/>
      <c r="M762" s="6"/>
    </row>
    <row r="763" spans="1:13" x14ac:dyDescent="0.25">
      <c r="A763" s="24"/>
      <c r="B763" s="35">
        <v>29</v>
      </c>
      <c r="C763" s="43">
        <v>0</v>
      </c>
      <c r="D763" s="27">
        <v>0</v>
      </c>
      <c r="E763" s="27">
        <v>0</v>
      </c>
      <c r="F763" s="27">
        <v>0</v>
      </c>
      <c r="G763" s="28"/>
      <c r="H763" s="28"/>
      <c r="I763" s="28"/>
      <c r="J763" s="26">
        <f t="array" ref="J763">SUM($G$734:$I$734*DecCours*DecPasse^(B763-$B$734-1))+SUM($G$752:$I$752*DecCours*DecPasse^(B763-$B$752-1))+SUM($G$755:$I$755*DecCours*DecPasse^(B763-$B$755-1))+SUM($G$758:$I$758*DecCours*DecPasse^(B763-$B$758-1)+SUM($G$759:$I$759*DecCours*DecPasse^(B763-$B$759-1)))</f>
        <v>945.85884679087087</v>
      </c>
      <c r="K763" s="29"/>
      <c r="L763" s="30"/>
      <c r="M763" s="6"/>
    </row>
    <row r="764" spans="1:13" x14ac:dyDescent="0.25">
      <c r="A764" s="24" t="s">
        <v>10</v>
      </c>
      <c r="B764" s="35">
        <v>30</v>
      </c>
      <c r="C764" s="43">
        <f>54*C662+53*C663</f>
        <v>239.44</v>
      </c>
      <c r="D764" s="27">
        <f>60%*0.84</f>
        <v>0.504</v>
      </c>
      <c r="E764" s="27">
        <v>0</v>
      </c>
      <c r="F764" s="27">
        <v>0.4</v>
      </c>
      <c r="G764" s="28">
        <f>$C$764*D764*InfraRx*TauxC*MasseMol</f>
        <v>88.275781439999989</v>
      </c>
      <c r="H764" s="28">
        <f>$C$764*E764*InfraRx*TauxC*MasseMol</f>
        <v>0</v>
      </c>
      <c r="I764" s="28">
        <f>$C$764*F764*InfraRx*TauxC*MasseMol</f>
        <v>70.060143999999994</v>
      </c>
      <c r="J764" s="26">
        <f t="array" ref="J764">SUM($G$734:$I$734*DecCours*DecPasse^(B764-$B$734-1))+SUM($G$752:$I$752*DecCours*DecPasse^(B764-$B$752-1))+SUM($G$755:$I$755*DecCours*DecPasse^(B764-$B$755-1))+SUM($G$758:$I$758*DecCours*DecPasse^(B764-$B$758-1)+SUM($G$759:$I$759*DecCours*DecPasse^(B764-$B$759-1)))</f>
        <v>925.055708981007</v>
      </c>
      <c r="K764" s="29"/>
      <c r="L764" s="30">
        <f t="array" ref="L764">C764*(SUM(D764:F764*CoefSubst))</f>
        <v>257.17771519999997</v>
      </c>
      <c r="M764" s="6"/>
    </row>
    <row r="765" spans="1:13" x14ac:dyDescent="0.25">
      <c r="A765" s="24"/>
      <c r="B765" s="35">
        <v>31</v>
      </c>
      <c r="C765" s="43">
        <v>0</v>
      </c>
      <c r="D765" s="27">
        <v>0</v>
      </c>
      <c r="E765" s="27">
        <v>0</v>
      </c>
      <c r="F765" s="27">
        <v>0</v>
      </c>
      <c r="G765" s="28"/>
      <c r="H765" s="28"/>
      <c r="I765" s="28"/>
      <c r="J765" s="26">
        <f t="array" ref="J765">SUM($G$734:$I$734*DecCours*DecPasse^(B765-$B$734-1))+SUM($G$752:$I$752*DecCours*DecPasse^(B765-$B$752-1))+SUM($G$755:$I$755*DecCours*DecPasse^(B765-$B$755-1))+SUM($G$758:$I$758*DecCours*DecPasse^(B765-$B$758-1)+SUM($G$759:$I$759*DecCours*DecPasse^(B765-$B$759-1)))+SUM($G$764:$I$764*DecCours)</f>
        <v>1061.2282729681081</v>
      </c>
      <c r="K765" s="29"/>
      <c r="L765" s="30"/>
      <c r="M765" s="6"/>
    </row>
    <row r="766" spans="1:13" x14ac:dyDescent="0.25">
      <c r="A766" s="24"/>
      <c r="B766" s="35">
        <v>32</v>
      </c>
      <c r="C766" s="43">
        <v>0</v>
      </c>
      <c r="D766" s="27">
        <v>0</v>
      </c>
      <c r="E766" s="27">
        <v>0</v>
      </c>
      <c r="F766" s="27">
        <v>0</v>
      </c>
      <c r="G766" s="28"/>
      <c r="H766" s="28"/>
      <c r="I766" s="28"/>
      <c r="J766" s="26">
        <f t="array" ref="J766">SUM($G$734:$I$734*DecCours*DecPasse^(B766-$B$734-1))+SUM($G$752:$I$752*DecCours*DecPasse^(B766-$B$752-1))+SUM($G$755:$I$755*DecCours*DecPasse^(B766-$B$755-1))+SUM($G$758:$I$758*DecCours*DecPasse^(B766-$B$758-1)+SUM($G$759:$I$759*DecCours*DecPasse^(B766-$B$759-1)))+SUM($G$764:$I$764*DecCours*DecPasse^(B766-$B$764-1))</f>
        <v>1037.7514083160684</v>
      </c>
      <c r="K766" s="29"/>
      <c r="L766" s="30"/>
      <c r="M766" s="6"/>
    </row>
    <row r="767" spans="1:13" x14ac:dyDescent="0.25">
      <c r="A767" s="24"/>
      <c r="B767" s="35">
        <v>33</v>
      </c>
      <c r="C767" s="43">
        <v>0</v>
      </c>
      <c r="D767" s="27">
        <v>0</v>
      </c>
      <c r="E767" s="27">
        <v>0</v>
      </c>
      <c r="F767" s="27">
        <v>0</v>
      </c>
      <c r="G767" s="28"/>
      <c r="H767" s="28"/>
      <c r="I767" s="28"/>
      <c r="J767" s="26">
        <f t="array" ref="J767">SUM($G$734:$I$734*DecCours*DecPasse^(B767-$B$734-1))+SUM($G$752:$I$752*DecCours*DecPasse^(B767-$B$752-1))+SUM($G$755:$I$755*DecCours*DecPasse^(B767-$B$755-1))+SUM($G$758:$I$758*DecCours*DecPasse^(B767-$B$758-1)+SUM($G$759:$I$759*DecCours*DecPasse^(B767-$B$759-1)))+SUM($G$764:$I$764*DecCours*DecPasse^(B767-$B$764-1))</f>
        <v>1014.8082672980358</v>
      </c>
      <c r="K767" s="29"/>
      <c r="L767" s="30"/>
      <c r="M767" s="6"/>
    </row>
    <row r="768" spans="1:13" x14ac:dyDescent="0.25">
      <c r="A768" s="24"/>
      <c r="B768" s="35">
        <v>34</v>
      </c>
      <c r="C768" s="43">
        <v>0</v>
      </c>
      <c r="D768" s="27">
        <v>0</v>
      </c>
      <c r="E768" s="27">
        <v>0</v>
      </c>
      <c r="F768" s="27">
        <v>0</v>
      </c>
      <c r="G768" s="28"/>
      <c r="H768" s="28"/>
      <c r="I768" s="28"/>
      <c r="J768" s="26">
        <f t="array" ref="J768">SUM($G$734:$I$734*DecCours*DecPasse^(B768-$B$734-1))+SUM($G$752:$I$752*DecCours*DecPasse^(B768-$B$752-1))+SUM($G$755:$I$755*DecCours*DecPasse^(B768-$B$755-1))+SUM($G$758:$I$758*DecCours*DecPasse^(B768-$B$758-1)+SUM($G$759:$I$759*DecCours*DecPasse^(B768-$B$759-1)))+SUM($G$764:$I$764*DecCours*DecPasse^(B768-$B$764-1))</f>
        <v>992.3862514029986</v>
      </c>
      <c r="K768" s="29"/>
      <c r="L768" s="30"/>
      <c r="M768" s="6"/>
    </row>
    <row r="769" spans="1:13" x14ac:dyDescent="0.25">
      <c r="A769" s="24" t="s">
        <v>10</v>
      </c>
      <c r="B769" s="35">
        <v>35</v>
      </c>
      <c r="C769" s="43">
        <f>69*C662</f>
        <v>138</v>
      </c>
      <c r="D769" s="27">
        <f>60%*0.84</f>
        <v>0.504</v>
      </c>
      <c r="E769" s="27">
        <f t="shared" ref="E769:E774" si="50">20%*0.84</f>
        <v>0.16800000000000001</v>
      </c>
      <c r="F769" s="27">
        <v>0.2</v>
      </c>
      <c r="G769" s="28">
        <f>$C$769*D769*InfraDg*TauxC*MasseMol</f>
        <v>52.088652000000003</v>
      </c>
      <c r="H769" s="28">
        <f>$C$769*E769*InfraDg*TauxC*MasseMol</f>
        <v>17.362883999999998</v>
      </c>
      <c r="I769" s="28">
        <f>$C$769*F769*InfraDg*TauxC*MasseMol</f>
        <v>20.670099999999998</v>
      </c>
      <c r="J769" s="26">
        <f t="array" ref="J769">SUM($G$734:$I$734*DecCours*DecPasse^(B769-$B$734-1))+SUM($G$752:$I$752*DecCours*DecPasse^(B769-$B$752-1))+SUM($G$755:$I$755*DecCours*DecPasse^(B769-$B$755-1))+SUM($G$758:$I$758*DecCours*DecPasse^(B769-$B$758-1)+SUM($G$759:$I$759*DecCours*DecPasse^(B769-$B$759-1)))+SUM($G$764:$I$764*DecCours*DecPasse^(B769-$B$764-1))</f>
        <v>970.47310455577758</v>
      </c>
      <c r="K769" s="29"/>
      <c r="L769" s="30"/>
      <c r="M769" s="6"/>
    </row>
    <row r="770" spans="1:13" x14ac:dyDescent="0.25">
      <c r="A770" s="24" t="s">
        <v>10</v>
      </c>
      <c r="B770" s="35">
        <v>36</v>
      </c>
      <c r="C770" s="43">
        <f>62*C663</f>
        <v>153.76</v>
      </c>
      <c r="D770" s="27">
        <f>60%*0.84</f>
        <v>0.504</v>
      </c>
      <c r="E770" s="27">
        <f t="shared" si="50"/>
        <v>0.16800000000000001</v>
      </c>
      <c r="F770" s="27">
        <v>0.2</v>
      </c>
      <c r="G770" s="28">
        <f>$C$770*D770*InfraMel*TauxC*MasseMol</f>
        <v>64.785853439999997</v>
      </c>
      <c r="H770" s="28">
        <f>$C$770*E770*InfraMel*TauxC*MasseMol</f>
        <v>21.595284479999997</v>
      </c>
      <c r="I770" s="28">
        <f>$C$770*F770*InfraMel*TauxC*MasseMol</f>
        <v>25.708671999999996</v>
      </c>
      <c r="J770" s="26">
        <f t="array" ref="J770">SUM($G$734:$I$734*DecCours*DecPasse^(B770-$B$734-1))+SUM($G$752:$I$752*DecCours*DecPasse^(B770-$B$752-1))+SUM($G$755:$I$755*DecCours*DecPasse^(B770-$B$755-1))+SUM($G$758:$I$758*DecCours*DecPasse^(B770-$B$758-1)+SUM($G$759:$I$759*DecCours*DecPasse^(B770-$B$759-1)))+SUM($G$764:$I$764*DecCours*DecPasse^(B770-$B$764-1))+SUM($G$769:$I$769*DecCours)</f>
        <v>1035.6928950054348</v>
      </c>
      <c r="K770" s="29"/>
      <c r="L770" s="30"/>
      <c r="M770" s="6"/>
    </row>
    <row r="771" spans="1:13" x14ac:dyDescent="0.25">
      <c r="A771" s="24"/>
      <c r="B771" s="35">
        <v>37</v>
      </c>
      <c r="C771" s="43">
        <v>0</v>
      </c>
      <c r="D771" s="27">
        <v>0</v>
      </c>
      <c r="E771" s="27">
        <v>0</v>
      </c>
      <c r="F771" s="27">
        <v>0</v>
      </c>
      <c r="G771" s="28"/>
      <c r="H771" s="28"/>
      <c r="I771" s="28"/>
      <c r="J771" s="26">
        <f t="array" ref="J771">SUM($G$734:$I$734*DecCours*DecPasse^(B771-$B$734-1))+SUM($G$752:$I$752*DecCours*DecPasse^(B771-$B$752-1))+SUM($G$755:$I$755*DecCours*DecPasse^(B771-$B$755-1))+SUM($G$758:$I$758*DecCours*DecPasse^(B771-$B$758-1)+SUM($G$759:$I$759*DecCours*DecPasse^(B771-$B$759-1)))+SUM($G$764:$I$764*DecCours*DecPasse^(B771-$B$764-1))+SUM($G$769:$I$769*DecCours*DecPasse^(B771-$B$769-1)+SUM($G$770:$I$770*DecCours))</f>
        <v>1332.1589015218688</v>
      </c>
      <c r="K771" s="29"/>
      <c r="L771" s="30"/>
      <c r="M771" s="6"/>
    </row>
    <row r="772" spans="1:13" x14ac:dyDescent="0.25">
      <c r="A772" s="24"/>
      <c r="B772" s="35">
        <v>38</v>
      </c>
      <c r="C772" s="43">
        <v>0</v>
      </c>
      <c r="D772" s="27">
        <v>0</v>
      </c>
      <c r="E772" s="27">
        <v>0</v>
      </c>
      <c r="F772" s="27">
        <v>0</v>
      </c>
      <c r="G772" s="28"/>
      <c r="H772" s="28"/>
      <c r="I772" s="28"/>
      <c r="J772" s="26">
        <f t="array" ref="J772">SUM($G$734:$I$734*DecCours*DecPasse^(B772-$B$734-1))+SUM($G$752:$I$752*DecCours*DecPasse^(B772-$B$752-1))+SUM($G$755:$I$755*DecCours*DecPasse^(B772-$B$755-1))+SUM($G$758:$I$758*DecCours*DecPasse^(B772-$B$758-1)+SUM($G$759:$I$759*DecCours*DecPasse^(B772-$B$759-1)))+SUM($G$764:$I$764*DecCours*DecPasse^(B772-$B$764-1))+SUM($G$769:$I$769*DecCours*DecPasse^(B772-$B$769-1)+SUM($G$770:$I$770*DecCours*DecPasse^(B772-$B$770-1)))</f>
        <v>1285.2391527012562</v>
      </c>
      <c r="K772" s="29"/>
      <c r="L772" s="30"/>
      <c r="M772" s="6"/>
    </row>
    <row r="773" spans="1:13" x14ac:dyDescent="0.25">
      <c r="A773" s="24"/>
      <c r="B773" s="35">
        <v>39</v>
      </c>
      <c r="C773" s="43">
        <v>0</v>
      </c>
      <c r="D773" s="27">
        <v>0</v>
      </c>
      <c r="E773" s="27">
        <v>0</v>
      </c>
      <c r="F773" s="27">
        <v>0</v>
      </c>
      <c r="G773" s="28"/>
      <c r="H773" s="28"/>
      <c r="I773" s="28"/>
      <c r="J773" s="26">
        <f t="array" ref="J773">SUM($G$734:$I$734*DecCours*DecPasse^(B773-$B$734-1))+SUM($G$752:$I$752*DecCours*DecPasse^(B773-$B$752-1))+SUM($G$755:$I$755*DecCours*DecPasse^(B773-$B$755-1))+SUM($G$758:$I$758*DecCours*DecPasse^(B773-$B$758-1)+SUM($G$759:$I$759*DecCours*DecPasse^(B773-$B$759-1)))+SUM($G$764:$I$764*DecCours*DecPasse^(B773-$B$764-1))+SUM($G$769:$I$769*DecCours*DecPasse^(B773-$B$769-1)+SUM($G$770:$I$770*DecCours*DecPasse^(B773-$B$770-1)))</f>
        <v>1244.5344883211055</v>
      </c>
      <c r="K773" s="29"/>
      <c r="L773" s="30"/>
      <c r="M773" s="6"/>
    </row>
    <row r="774" spans="1:13" x14ac:dyDescent="0.25">
      <c r="A774" s="24" t="s">
        <v>10</v>
      </c>
      <c r="B774" s="35">
        <v>40</v>
      </c>
      <c r="C774" s="43">
        <f>72*C662</f>
        <v>144</v>
      </c>
      <c r="D774" s="27">
        <f>60%*0.84</f>
        <v>0.504</v>
      </c>
      <c r="E774" s="27">
        <f t="shared" si="50"/>
        <v>0.16800000000000001</v>
      </c>
      <c r="F774" s="27">
        <v>0.2</v>
      </c>
      <c r="G774" s="28">
        <f>$C$774*D774*InfraDg*TauxC*MasseMol</f>
        <v>54.353375999999983</v>
      </c>
      <c r="H774" s="28">
        <f>$C$774*E774*InfraDg*TauxC*MasseMol</f>
        <v>18.117791999999998</v>
      </c>
      <c r="I774" s="28">
        <f>$C$774*F774*InfraDg*TauxC*MasseMol</f>
        <v>21.5688</v>
      </c>
      <c r="J774" s="26">
        <f t="array" ref="J774">SUM($G$734:$I$734*DecCours*DecPasse^(B774-$B$734-1))+SUM($G$752:$I$752*DecCours*DecPasse^(B774-$B$752-1))+SUM($G$755:$I$755*DecCours*DecPasse^(B774-$B$755-1))+SUM($G$758:$I$758*DecCours*DecPasse^(B774-$B$758-1)+SUM($G$759:$I$759*DecCours*DecPasse^(B774-$B$759-1)))+SUM($G$764:$I$764*DecCours*DecPasse^(B774-$B$764-1))+SUM($G$769:$I$769*DecCours*DecPasse^(B774-$B$769-1)+SUM($G$770:$I$770*DecCours*DecPasse^(B774-$B$770-1)))</f>
        <v>1208.3939336722767</v>
      </c>
      <c r="K774" s="29"/>
      <c r="L774" s="30"/>
      <c r="M774" s="6"/>
    </row>
    <row r="775" spans="1:13" x14ac:dyDescent="0.25">
      <c r="A775" s="24"/>
      <c r="B775" s="35">
        <v>41</v>
      </c>
      <c r="C775" s="43">
        <v>0</v>
      </c>
      <c r="D775" s="27">
        <v>0</v>
      </c>
      <c r="E775" s="27">
        <v>0</v>
      </c>
      <c r="F775" s="27">
        <v>0</v>
      </c>
      <c r="G775" s="28"/>
      <c r="H775" s="28"/>
      <c r="I775" s="28"/>
      <c r="J775" s="26">
        <f t="array" ref="J775">SUM($G$734:$I$734*DecCours*DecPasse^(B775-$B$734-1))+SUM($G$752:$I$752*DecCours*DecPasse^(B775-$B$752-1))+SUM($G$755:$I$755*DecCours*DecPasse^(B775-$B$755-1))+SUM($G$758:$I$758*DecCours*DecPasse^(B775-$B$758-1)+SUM($G$759:$I$759*DecCours*DecPasse^(B775-$B$759-1)))+SUM($G$764:$I$764*DecCours*DecPasse^(B775-$B$764-1))+SUM($G$769:$I$769*DecCours*DecPasse^(B775-$B$769-1)+SUM($G$770:$I$770*DecCours*DecPasse^(B775-$B$770-1)))+ SUM($G$774:$I$774*DecCours)</f>
        <v>1266.0489412395709</v>
      </c>
      <c r="K775" s="29"/>
      <c r="L775" s="30"/>
      <c r="M775" s="6"/>
    </row>
    <row r="776" spans="1:13" x14ac:dyDescent="0.25">
      <c r="A776" s="24" t="s">
        <v>10</v>
      </c>
      <c r="B776" s="35">
        <v>42</v>
      </c>
      <c r="C776" s="43">
        <f>67*C663</f>
        <v>166.16</v>
      </c>
      <c r="D776" s="27">
        <f>60%*0.84</f>
        <v>0.504</v>
      </c>
      <c r="E776" s="27">
        <f>30%*0.84</f>
        <v>0.252</v>
      </c>
      <c r="F776" s="27">
        <v>0.1</v>
      </c>
      <c r="G776" s="28">
        <f>$C$776*D776*InfraMel*TauxC*MasseMol</f>
        <v>70.010519039999991</v>
      </c>
      <c r="H776" s="28">
        <f>$C$776*E776*InfraMel*TauxC*MasseMol</f>
        <v>35.005259519999996</v>
      </c>
      <c r="I776" s="28">
        <f>$C$776*F776*InfraMel*TauxC*MasseMol</f>
        <v>13.890975999999998</v>
      </c>
      <c r="J776" s="26">
        <f t="array" ref="J776">SUM($G$734:$I$734*DecCours*DecPasse^(B776-$B$734-1))+SUM($G$752:$I$752*DecCours*DecPasse^(B776-$B$752-1))+SUM($G$755:$I$755*DecCours*DecPasse^(B776-$B$755-1))+SUM($G$758:$I$758*DecCours*DecPasse^(B776-$B$758-1)+SUM($G$759:$I$759*DecCours*DecPasse^(B776-$B$759-1)))+SUM($G$764:$I$764*DecCours*DecPasse^(B776-$B$764-1))+SUM($G$769:$I$769*DecCours*DecPasse^(B776-$B$769-1)+SUM($G$770:$I$770*DecCours*DecPasse^(B776-$B$770-1)))+SUM($G$774:$I$774*DecCours*DecPasse^(B776-$B$774-1))</f>
        <v>1229.7401614011987</v>
      </c>
      <c r="K776" s="29"/>
      <c r="L776" s="30"/>
      <c r="M776" s="6"/>
    </row>
    <row r="777" spans="1:13" x14ac:dyDescent="0.25">
      <c r="A777" s="24"/>
      <c r="B777" s="35">
        <v>43</v>
      </c>
      <c r="C777" s="43">
        <v>0</v>
      </c>
      <c r="D777" s="27">
        <v>0</v>
      </c>
      <c r="E777" s="27">
        <v>0</v>
      </c>
      <c r="F777" s="27">
        <v>0</v>
      </c>
      <c r="G777" s="28"/>
      <c r="H777" s="28"/>
      <c r="I777" s="28"/>
      <c r="J777" s="26">
        <f t="array" ref="J777">SUM($G$734:$I$734*DecCours*DecPasse^(B777-$B$734-1))+SUM($G$752:$I$752*DecCours*DecPasse^(B777-$B$752-1))+SUM($G$755:$I$755*DecCours*DecPasse^(B777-$B$755-1))+SUM($G$758:$I$758*DecCours*DecPasse^(B777-$B$758-1)+SUM($G$759:$I$759*DecCours*DecPasse^(B777-$B$759-1)))+SUM($G$764:$I$764*DecCours*DecPasse^(B777-$B$764-1))+SUM($G$769:$I$769*DecCours*DecPasse^(B777-$B$769-1)+SUM($G$770:$I$770*DecCours*DecPasse^(B777-$B$770-1)))+SUM($G$774:$I$774*DecCours*DecPasse^(B777-$B$774-1))+SUM($G$776:$I$776*DecCours)</f>
        <v>1309.3554315820563</v>
      </c>
      <c r="K777" s="29"/>
      <c r="L777" s="30"/>
      <c r="M777" s="6"/>
    </row>
    <row r="778" spans="1:13" x14ac:dyDescent="0.25">
      <c r="A778" s="24"/>
      <c r="B778" s="35">
        <v>44</v>
      </c>
      <c r="C778" s="43">
        <v>0</v>
      </c>
      <c r="D778" s="27">
        <v>0</v>
      </c>
      <c r="E778" s="27">
        <v>0</v>
      </c>
      <c r="F778" s="27">
        <v>0</v>
      </c>
      <c r="G778" s="28"/>
      <c r="H778" s="28"/>
      <c r="I778" s="28"/>
      <c r="J778" s="26">
        <f t="array" ref="J778">SUM($G$734:$I$734*DecCours*DecPasse^(B778-$B$734-1))+SUM($G$752:$I$752*DecCours*DecPasse^(B778-$B$752-1))+SUM($G$755:$I$755*DecCours*DecPasse^(B778-$B$755-1))+SUM($G$758:$I$758*DecCours*DecPasse^(B778-$B$758-1)+SUM($G$759:$I$759*DecCours*DecPasse^(B778-$B$759-1)))+SUM($G$764:$I$764*DecCours*DecPasse^(B778-$B$764-1))+SUM($G$769:$I$769*DecCours*DecPasse^(B778-$B$769-1)+SUM($G$770:$I$770*DecCours*DecPasse^(B778-$B$770-1)))+SUM($G$774:$I$774*DecCours*DecPasse^(B778-$B$774-1))+SUM($G$776:$I$776*DecCours*DecPasse^(B778-$B$776-1))</f>
        <v>1268.4774519939306</v>
      </c>
      <c r="K778" s="29"/>
      <c r="L778" s="30"/>
      <c r="M778" s="6"/>
    </row>
    <row r="779" spans="1:13" x14ac:dyDescent="0.25">
      <c r="A779" s="24" t="s">
        <v>10</v>
      </c>
      <c r="B779" s="35">
        <v>45</v>
      </c>
      <c r="C779" s="43">
        <f>66*C662</f>
        <v>132</v>
      </c>
      <c r="D779" s="27">
        <f>60%*0.84</f>
        <v>0.504</v>
      </c>
      <c r="E779" s="27">
        <f>30%*0.84</f>
        <v>0.252</v>
      </c>
      <c r="F779" s="27">
        <v>0.1</v>
      </c>
      <c r="G779" s="28">
        <f>$C$779*D779*InfraDg*TauxC*MasseMol</f>
        <v>49.823927999999995</v>
      </c>
      <c r="H779" s="28">
        <f>$C$779*E779*InfraDg*TauxC*MasseMol</f>
        <v>24.911963999999998</v>
      </c>
      <c r="I779" s="28">
        <f>$C$779*F779*InfraDg*TauxC*MasseMol</f>
        <v>9.8856999999999999</v>
      </c>
      <c r="J779" s="26">
        <f t="array" ref="J779">SUM($G$734:$I$734*DecCours*DecPasse^(B779-$B$734-1))+SUM($G$752:$I$752*DecCours*DecPasse^(B779-$B$752-1))+SUM($G$755:$I$755*DecCours*DecPasse^(B779-$B$755-1))+SUM($G$758:$I$758*DecCours*DecPasse^(B779-$B$758-1)+SUM($G$759:$I$759*DecCours*DecPasse^(B779-$B$759-1)))+SUM($G$764:$I$764*DecCours*DecPasse^(B779-$B$764-1))+SUM($G$769:$I$769*DecCours*DecPasse^(B779-$B$769-1)+SUM($G$770:$I$770*DecCours*DecPasse^(B779-$B$770-1)))+SUM($G$774:$I$774*DecCours*DecPasse^(B779-$B$774-1))+SUM($G$776:$I$776*DecCours*DecPasse^(B779-$B$776-1))</f>
        <v>1232.1100063175452</v>
      </c>
      <c r="K779" s="29"/>
      <c r="L779" s="30"/>
      <c r="M779" s="6"/>
    </row>
    <row r="780" spans="1:13" x14ac:dyDescent="0.25">
      <c r="A780" s="24" t="s">
        <v>10</v>
      </c>
      <c r="B780" s="35">
        <v>46</v>
      </c>
      <c r="C780" s="43">
        <f>102*C664</f>
        <v>102</v>
      </c>
      <c r="D780" s="27">
        <v>0</v>
      </c>
      <c r="E780" s="27">
        <v>0</v>
      </c>
      <c r="F780" s="27">
        <v>1</v>
      </c>
      <c r="G780" s="28">
        <f>$C$780*D780*InfraCed*TauxC*MasseMol</f>
        <v>0</v>
      </c>
      <c r="H780" s="28">
        <f>$C$780*E780*InfraCed*TauxC*MasseMol</f>
        <v>0</v>
      </c>
      <c r="I780" s="28">
        <f>$C$780*F780*InfraCed*TauxC*MasseMol</f>
        <v>63.954000000000001</v>
      </c>
      <c r="J780" s="26">
        <f t="array" ref="J780">SUM($G$734:$I$734*DecCours*DecPasse^(B780-$B$734-1))+SUM($G$752:$I$752*DecCours*DecPasse^(B780-$B$752-1))+SUM($G$755:$I$755*DecCours*DecPasse^(B780-$B$755-1))+SUM($G$758:$I$758*DecCours*DecPasse^(B780-$B$758-1)+SUM($G$759:$I$759*DecCours*DecPasse^(B780-$B$759-1)))+SUM($G$764:$I$764*DecCours*DecPasse^(B780-$B$764-1))+SUM($G$769:$I$769*DecCours*DecPasse^(B780-$B$769-1)+SUM($G$770:$I$770*DecCours*DecPasse^(B780-$B$770-1)))+SUM($G$774:$I$774*DecCours*DecPasse^(B780-$B$774-1))+SUM($G$776:$I$776*DecCours*DecPasse^(B780-$B$776-1))+ SUM($G$779:$I$779*DecCours)</f>
        <v>1279.235758385169</v>
      </c>
      <c r="K780" s="29"/>
      <c r="L780" s="30"/>
      <c r="M780" s="6"/>
    </row>
    <row r="781" spans="1:13" x14ac:dyDescent="0.25">
      <c r="A781" s="24"/>
      <c r="B781" s="35">
        <v>47</v>
      </c>
      <c r="C781" s="43">
        <v>0</v>
      </c>
      <c r="D781" s="27">
        <v>0</v>
      </c>
      <c r="E781" s="27">
        <v>0</v>
      </c>
      <c r="F781" s="27">
        <v>0</v>
      </c>
      <c r="G781" s="28"/>
      <c r="H781" s="28"/>
      <c r="I781" s="28"/>
      <c r="J781" s="26">
        <f t="array" ref="J781">SUM($G$734:$I$734*DecCours*DecPasse^(B781-$B$734-1))+SUM($G$752:$I$752*DecCours*DecPasse^(B781-$B$752-1))+SUM($G$755:$I$755*DecCours*DecPasse^(B781-$B$755-1))+SUM($G$758:$I$758*DecCours*DecPasse^(B781-$B$758-1)+SUM($G$759:$I$759*DecCours*DecPasse^(B781-$B$759-1)))+SUM($G$764:$I$764*DecCours*DecPasse^(B781-$B$764-1))+SUM($G$769:$I$769*DecCours*DecPasse^(B781-$B$769-1)+SUM($G$770:$I$770*DecCours*DecPasse^(B781-$B$770-1)))+SUM($G$774:$I$774*DecCours*DecPasse^(B781-$B$774-1))+SUM($G$776:$I$776*DecCours*DecPasse^(B781-$B$776-1))+SUM($G$779:$I$779*DecCours*DecPasse^(B781-$B$779-1)+SUM($G$780:$I$780*DecCours))</f>
        <v>1430.5866053627674</v>
      </c>
      <c r="K781" s="29"/>
      <c r="L781" s="30"/>
      <c r="M781" s="6"/>
    </row>
    <row r="782" spans="1:13" x14ac:dyDescent="0.25">
      <c r="A782" s="24" t="s">
        <v>10</v>
      </c>
      <c r="B782" s="35">
        <v>48</v>
      </c>
      <c r="C782" s="43">
        <f>65*C663</f>
        <v>161.19999999999999</v>
      </c>
      <c r="D782" s="27">
        <f>60%*0.84</f>
        <v>0.504</v>
      </c>
      <c r="E782" s="27">
        <f>30%*0.84</f>
        <v>0.252</v>
      </c>
      <c r="F782" s="27">
        <v>0.1</v>
      </c>
      <c r="G782" s="28">
        <f>$C$782*D782*InfraMel*TauxC*MasseMol</f>
        <v>67.920652799999999</v>
      </c>
      <c r="H782" s="28">
        <f>$C$782*E782*InfraMel*TauxC*MasseMol</f>
        <v>33.9603264</v>
      </c>
      <c r="I782" s="28">
        <f>$C$782*F782*InfraMel*TauxC*MasseMol</f>
        <v>13.476319999999999</v>
      </c>
      <c r="J782" s="26">
        <f t="array" ref="J782">SUM($G$734:$I$734*DecCours*DecPasse^(B782-$B$734-1))+SUM($G$752:$I$752*DecCours*DecPasse^(B782-$B$752-1))+SUM($G$755:$I$755*DecCours*DecPasse^(B782-$B$755-1))+SUM($G$758:$I$758*DecCours*DecPasse^(B782-$B$758-1)+SUM($G$759:$I$759*DecCours*DecPasse^(B782-$B$759-1)))+SUM($G$764:$I$764*DecCours*DecPasse^(B782-$B$764-1))+SUM($G$769:$I$769*DecCours*DecPasse^(B782-$B$769-1)+SUM($G$770:$I$770*DecCours*DecPasse^(B782-$B$770-1)))+SUM($G$774:$I$774*DecCours*DecPasse^(B782-$B$774-1))+SUM($G$776:$I$776*DecCours*DecPasse^(B782-$B$776-1))+SUM($G$779:$I$779*DecCours*DecPasse^(B782-$B$779-1)+SUM($G$780:$I$780*DecCours*DecPasse^(B782-$B$780-1)))</f>
        <v>1391.3210631668674</v>
      </c>
      <c r="K782" s="29"/>
      <c r="L782" s="30"/>
      <c r="M782" s="6"/>
    </row>
    <row r="783" spans="1:13" x14ac:dyDescent="0.25">
      <c r="A783" s="24"/>
      <c r="B783" s="35">
        <v>49</v>
      </c>
      <c r="C783" s="43">
        <v>0</v>
      </c>
      <c r="D783" s="27">
        <v>0</v>
      </c>
      <c r="E783" s="27">
        <v>0</v>
      </c>
      <c r="F783" s="27">
        <v>0</v>
      </c>
      <c r="G783" s="28"/>
      <c r="H783" s="28"/>
      <c r="I783" s="28"/>
      <c r="J783" s="26">
        <f t="array" ref="J783">SUM($G$734:$I$734*DecCours*DecPasse^(B783-$B$734-1))+SUM($G$752:$I$752*DecCours*DecPasse^(B783-$B$752-1))+SUM($G$755:$I$755*DecCours*DecPasse^(B783-$B$755-1))+SUM($G$758:$I$758*DecCours*DecPasse^(B783-$B$758-1)+SUM($G$759:$I$759*DecCours*DecPasse^(B783-$B$759-1)))+SUM($G$764:$I$764*DecCours*DecPasse^(B783-$B$764-1))+SUM($G$769:$I$769*DecCours*DecPasse^(B783-$B$769-1)+SUM($G$770:$I$770*DecCours*DecPasse^(B783-$B$770-1)))+SUM($G$774:$I$774*DecCours*DecPasse^(B783-$B$774-1))+SUM($G$776:$I$776*DecCours*DecPasse^(B783-$B$776-1))+SUM($G$779:$I$779*DecCours*DecPasse^(B783-$B$779-1)+SUM($G$780:$I$780*DecCours*DecPasse^(B783-$B$780-1)))+SUM($G$782:$I$782*DecCours)</f>
        <v>1464.2797395840546</v>
      </c>
      <c r="K783" s="29"/>
      <c r="L783" s="30"/>
      <c r="M783" s="6"/>
    </row>
    <row r="784" spans="1:13" x14ac:dyDescent="0.25">
      <c r="A784" s="24" t="s">
        <v>10</v>
      </c>
      <c r="B784" s="35">
        <v>50</v>
      </c>
      <c r="C784" s="43">
        <f>48*C662</f>
        <v>96</v>
      </c>
      <c r="D784" s="27">
        <f>60%*0.84</f>
        <v>0.504</v>
      </c>
      <c r="E784" s="27">
        <f>30%*0.84</f>
        <v>0.252</v>
      </c>
      <c r="F784" s="27">
        <v>0.1</v>
      </c>
      <c r="G784" s="28">
        <f>$C$784*D784*InfraDg*TauxC*MasseMol</f>
        <v>36.235583999999996</v>
      </c>
      <c r="H784" s="28">
        <f>$C$784*E784*InfraDg*TauxC*MasseMol</f>
        <v>18.117791999999998</v>
      </c>
      <c r="I784" s="28">
        <f>$C$784*F784*InfraDg*TauxC*MasseMol</f>
        <v>7.1895999999999995</v>
      </c>
      <c r="J784" s="26">
        <f t="array" ref="J784">SUM($G$734:$I$734*DecCours*DecPasse^(B784-$B$734-1))+SUM($G$752:$I$752*DecCours*DecPasse^(B784-$B$752-1))+SUM($G$755:$I$755*DecCours*DecPasse^(B784-$B$755-1))+SUM($G$758:$I$758*DecCours*DecPasse^(B784-$B$758-1)+SUM($G$759:$I$759*DecCours*DecPasse^(B784-$B$759-1)))+SUM($G$764:$I$764*DecCours*DecPasse^(B784-$B$764-1))+SUM($G$769:$I$769*DecCours*DecPasse^(B784-$B$769-1)+SUM($G$770:$I$770*DecCours*DecPasse^(B784-$B$770-1)))+SUM($G$774:$I$774*DecCours*DecPasse^(B784-$B$774-1))+SUM($G$776:$I$776*DecCours*DecPasse^(B784-$B$776-1))+SUM($G$779:$I$779*DecCours*DecPasse^(B784-$B$779-1)+SUM($G$780:$I$780*DecCours*DecPasse^(B784-$B$780-1)))+SUM($G$782:$I$782*DecCours*DecPasse^(B784-$B$782-1))</f>
        <v>1420.2098899224175</v>
      </c>
      <c r="K784" s="29"/>
      <c r="L784" s="30"/>
      <c r="M784" s="6"/>
    </row>
    <row r="785" spans="1:13" x14ac:dyDescent="0.25">
      <c r="A785" s="24"/>
      <c r="B785" s="35">
        <v>51</v>
      </c>
      <c r="C785" s="43">
        <v>0</v>
      </c>
      <c r="D785" s="27">
        <v>0</v>
      </c>
      <c r="E785" s="27">
        <v>0</v>
      </c>
      <c r="F785" s="27">
        <v>0</v>
      </c>
      <c r="G785" s="28"/>
      <c r="H785" s="28"/>
      <c r="I785" s="28"/>
      <c r="J785" s="26">
        <f t="array" ref="J785">SUM($G$734:$I$734*DecCours*DecPasse^(B785-$B$734-1))+SUM($G$752:$I$752*DecCours*DecPasse^(B785-$B$752-1))+SUM($G$755:$I$755*DecCours*DecPasse^(B785-$B$755-1))+SUM($G$758:$I$758*DecCours*DecPasse^(B785-$B$758-1)+SUM($G$759:$I$759*DecCours*DecPasse^(B785-$B$759-1)))+SUM($G$764:$I$764*DecCours*DecPasse^(B785-$B$764-1))+SUM($G$769:$I$769*DecCours*DecPasse^(B785-$B$769-1)+SUM($G$770:$I$770*DecCours*DecPasse^(B785-$B$770-1)))+SUM($G$774:$I$774*DecCours*DecPasse^(B785-$B$774-1))+SUM($G$776:$I$776*DecCours*DecPasse^(B785-$B$776-1))+SUM($G$779:$I$779*DecCours*DecPasse^(B785-$B$779-1)+SUM($G$780:$I$780*DecCours*DecPasse^(B785-$B$780-1)))+SUM($G$782:$I$782*DecCours*DecPasse^(B785-$B$782-1)) + SUM($G$784:$I$784*DecCours)</f>
        <v>1438.740273188969</v>
      </c>
      <c r="K785" s="29"/>
      <c r="L785" s="30"/>
      <c r="M785" s="6"/>
    </row>
    <row r="786" spans="1:13" x14ac:dyDescent="0.25">
      <c r="A786" s="24"/>
      <c r="B786" s="35">
        <v>52</v>
      </c>
      <c r="C786" s="43">
        <v>0</v>
      </c>
      <c r="D786" s="27">
        <v>0</v>
      </c>
      <c r="E786" s="27">
        <v>0</v>
      </c>
      <c r="F786" s="27">
        <v>0</v>
      </c>
      <c r="G786" s="28"/>
      <c r="H786" s="28"/>
      <c r="I786" s="28"/>
      <c r="J786" s="26">
        <f t="array" ref="J786">SUM($G$734:$I$734*DecCours*DecPasse^(B786-$B$734-1))+SUM($G$752:$I$752*DecCours*DecPasse^(B786-$B$752-1))+SUM($G$755:$I$755*DecCours*DecPasse^(B786-$B$755-1))+SUM($G$758:$I$758*DecCours*DecPasse^(B786-$B$758-1)+SUM($G$759:$I$759*DecCours*DecPasse^(B786-$B$759-1)))+SUM($G$764:$I$764*DecCours*DecPasse^(B786-$B$764-1))+SUM($G$769:$I$769*DecCours*DecPasse^(B786-$B$769-1)+SUM($G$770:$I$770*DecCours*DecPasse^(B786-$B$770-1)))+SUM($G$774:$I$774*DecCours*DecPasse^(B786-$B$774-1))+SUM($G$776:$I$776*DecCours*DecPasse^(B786-$B$776-1))+SUM($G$779:$I$779*DecCours*DecPasse^(B786-$B$779-1)+SUM($G$780:$I$780*DecCours*DecPasse^(B786-$B$780-1)))+SUM($G$782:$I$782*DecCours*DecPasse^(B786-$B$782-1)) + SUM($G$784:$I$784*DecCours*DecPasse^(B786-$B$784-1))</f>
        <v>1396.8577521889115</v>
      </c>
      <c r="K786" s="29"/>
      <c r="L786" s="30"/>
      <c r="M786" s="6"/>
    </row>
    <row r="787" spans="1:13" x14ac:dyDescent="0.25">
      <c r="A787" s="24"/>
      <c r="B787" s="35">
        <v>53</v>
      </c>
      <c r="C787" s="43">
        <v>0</v>
      </c>
      <c r="D787" s="27">
        <v>0</v>
      </c>
      <c r="E787" s="27">
        <v>0</v>
      </c>
      <c r="F787" s="27">
        <v>0</v>
      </c>
      <c r="G787" s="28"/>
      <c r="H787" s="28"/>
      <c r="I787" s="28"/>
      <c r="J787" s="26">
        <f t="array" ref="J787">SUM($G$734:$I$734*DecCours*DecPasse^(B787-$B$734-1))+SUM($G$752:$I$752*DecCours*DecPasse^(B787-$B$752-1))+SUM($G$755:$I$755*DecCours*DecPasse^(B787-$B$755-1))+SUM($G$758:$I$758*DecCours*DecPasse^(B787-$B$758-1)+SUM($G$759:$I$759*DecCours*DecPasse^(B787-$B$759-1)))+SUM($G$764:$I$764*DecCours*DecPasse^(B787-$B$764-1))+SUM($G$769:$I$769*DecCours*DecPasse^(B787-$B$769-1)+SUM($G$770:$I$770*DecCours*DecPasse^(B787-$B$770-1)))+SUM($G$774:$I$774*DecCours*DecPasse^(B787-$B$774-1))+SUM($G$776:$I$776*DecCours*DecPasse^(B787-$B$776-1))+SUM($G$779:$I$779*DecCours*DecPasse^(B787-$B$779-1)+SUM($G$780:$I$780*DecCours*DecPasse^(B787-$B$780-1)))+SUM($G$782:$I$782*DecCours*DecPasse^(B787-$B$782-1)) + SUM($G$784:$I$784*DecCours*DecPasse^(B787-$B$784-1))</f>
        <v>1358.7987832375634</v>
      </c>
      <c r="K787" s="29"/>
      <c r="L787" s="30"/>
      <c r="M787" s="6"/>
    </row>
    <row r="788" spans="1:13" x14ac:dyDescent="0.25">
      <c r="A788" s="24"/>
      <c r="B788" s="35">
        <v>54</v>
      </c>
      <c r="C788" s="43">
        <v>0</v>
      </c>
      <c r="D788" s="27">
        <v>0</v>
      </c>
      <c r="E788" s="27">
        <v>0</v>
      </c>
      <c r="F788" s="27">
        <v>0</v>
      </c>
      <c r="G788" s="28"/>
      <c r="H788" s="28"/>
      <c r="I788" s="28"/>
      <c r="J788" s="26">
        <f t="array" ref="J788">SUM($G$734:$I$734*DecCours*DecPasse^(B788-$B$734-1))+SUM($G$752:$I$752*DecCours*DecPasse^(B788-$B$752-1))+SUM($G$755:$I$755*DecCours*DecPasse^(B788-$B$755-1))+SUM($G$758:$I$758*DecCours*DecPasse^(B788-$B$758-1)+SUM($G$759:$I$759*DecCours*DecPasse^(B788-$B$759-1)))+SUM($G$764:$I$764*DecCours*DecPasse^(B788-$B$764-1))+SUM($G$769:$I$769*DecCours*DecPasse^(B788-$B$769-1)+SUM($G$770:$I$770*DecCours*DecPasse^(B788-$B$770-1)))+SUM($G$774:$I$774*DecCours*DecPasse^(B788-$B$774-1))+SUM($G$776:$I$776*DecCours*DecPasse^(B788-$B$776-1))+SUM($G$779:$I$779*DecCours*DecPasse^(B788-$B$779-1)+SUM($G$780:$I$780*DecCours*DecPasse^(B788-$B$780-1)))+SUM($G$782:$I$782*DecCours*DecPasse^(B788-$B$782-1)) + SUM($G$784:$I$784*DecCours*DecPasse^(B788-$B$784-1))</f>
        <v>1323.6364329324999</v>
      </c>
      <c r="K788" s="29"/>
      <c r="L788" s="30"/>
      <c r="M788" s="6"/>
    </row>
    <row r="789" spans="1:13" x14ac:dyDescent="0.25">
      <c r="A789" s="24" t="s">
        <v>10</v>
      </c>
      <c r="B789" s="35">
        <v>55</v>
      </c>
      <c r="C789" s="43">
        <f>35*C662</f>
        <v>70</v>
      </c>
      <c r="D789" s="27">
        <f>55%*0.84</f>
        <v>0.46200000000000002</v>
      </c>
      <c r="E789" s="27">
        <f>35%*0.84</f>
        <v>0.29399999999999998</v>
      </c>
      <c r="F789" s="27">
        <v>0.1</v>
      </c>
      <c r="G789" s="28">
        <f>$C$789*D789*InfraDg*TauxC*MasseMol</f>
        <v>24.219965000000002</v>
      </c>
      <c r="H789" s="28">
        <f>$C$789*E789*InfraDg*TauxC*MasseMol</f>
        <v>15.412704999999997</v>
      </c>
      <c r="I789" s="28">
        <f>$C$789*F789*InfraDg*TauxC*MasseMol</f>
        <v>5.2424166666666663</v>
      </c>
      <c r="J789" s="26">
        <f t="array" ref="J789">SUM($G$734:$I$734*DecCours*DecPasse^(B789-$B$734-1))+SUM($G$752:$I$752*DecCours*DecPasse^(B789-$B$752-1))+SUM($G$755:$I$755*DecCours*DecPasse^(B789-$B$755-1))+SUM($G$758:$I$758*DecCours*DecPasse^(B789-$B$758-1)+SUM($G$759:$I$759*DecCours*DecPasse^(B789-$B$759-1)))+SUM($G$764:$I$764*DecCours*DecPasse^(B789-$B$764-1))+SUM($G$769:$I$769*DecCours*DecPasse^(B789-$B$769-1)+SUM($G$770:$I$770*DecCours*DecPasse^(B789-$B$770-1)))+SUM($G$774:$I$774*DecCours*DecPasse^(B789-$B$774-1))+SUM($G$776:$I$776*DecCours*DecPasse^(B789-$B$776-1))+SUM($G$779:$I$779*DecCours*DecPasse^(B789-$B$779-1)+SUM($G$780:$I$780*DecCours*DecPasse^(B789-$B$780-1)))+SUM($G$782:$I$782*DecCours*DecPasse^(B789-$B$782-1)) + SUM($G$784:$I$784*DecCours*DecPasse^(B789-$B$784-1))</f>
        <v>1290.7107276948745</v>
      </c>
      <c r="K789" s="29"/>
      <c r="L789" s="30"/>
      <c r="M789" s="6"/>
    </row>
    <row r="790" spans="1:13" x14ac:dyDescent="0.25">
      <c r="A790" s="24" t="s">
        <v>10</v>
      </c>
      <c r="B790" s="35">
        <v>56</v>
      </c>
      <c r="C790" s="43">
        <f>91*C664</f>
        <v>91</v>
      </c>
      <c r="D790" s="27">
        <v>0</v>
      </c>
      <c r="E790" s="27">
        <v>0</v>
      </c>
      <c r="F790" s="27">
        <v>1</v>
      </c>
      <c r="G790" s="28">
        <f>$C$790*D790*InfraCed*TauxC*MasseMol</f>
        <v>0</v>
      </c>
      <c r="H790" s="28">
        <f>$C$790*E790*InfraCed*TauxC*MasseMol</f>
        <v>0</v>
      </c>
      <c r="I790" s="28">
        <f>$C$790*F790*InfraCed*TauxC*MasseMol</f>
        <v>57.056999999999988</v>
      </c>
      <c r="J790" s="26">
        <f t="array" ref="J790">SUM($G$734:$I$734*DecCours*DecPasse^(B790-$B$734-1))+SUM($G$752:$I$752*DecCours*DecPasse^(B790-$B$752-1))+SUM($G$755:$I$755*DecCours*DecPasse^(B790-$B$755-1))+SUM($G$758:$I$758*DecCours*DecPasse^(B790-$B$758-1)+SUM($G$759:$I$759*DecCours*DecPasse^(B790-$B$759-1)))+SUM($G$764:$I$764*DecCours*DecPasse^(B790-$B$764-1))+SUM($G$769:$I$769*DecCours*DecPasse^(B790-$B$769-1)+SUM($G$770:$I$770*DecCours*DecPasse^(B790-$B$770-1)))+SUM($G$774:$I$774*DecCours*DecPasse^(B790-$B$774-1))+SUM($G$776:$I$776*DecCours*DecPasse^(B790-$B$776-1))+SUM($G$779:$I$779*DecCours*DecPasse^(B790-$B$779-1)+SUM($G$780:$I$780*DecCours*DecPasse^(B790-$B$780-1)))+SUM($G$782:$I$782*DecCours*DecPasse^(B790-$B$782-1)) + SUM($G$784:$I$784*DecCours*DecPasse^(B790-$B$784-1)) + SUM($G$789:$I$789*DecCours)</f>
        <v>1301.7281420424958</v>
      </c>
      <c r="K790" s="29"/>
      <c r="L790" s="30"/>
      <c r="M790" s="6"/>
    </row>
    <row r="791" spans="1:13" x14ac:dyDescent="0.25">
      <c r="A791" s="24"/>
      <c r="B791" s="35">
        <v>57</v>
      </c>
      <c r="C791" s="43">
        <v>0</v>
      </c>
      <c r="D791" s="27">
        <v>0</v>
      </c>
      <c r="E791" s="27">
        <v>0</v>
      </c>
      <c r="F791" s="27">
        <v>0</v>
      </c>
      <c r="G791" s="28"/>
      <c r="H791" s="28"/>
      <c r="I791" s="28"/>
      <c r="J791" s="26">
        <f t="array" ref="J791">SUM($G$734:$I$734*DecCours*DecPasse^(B791-$B$734-1))+SUM($G$752:$I$752*DecCours*DecPasse^(B791-$B$752-1))+SUM($G$755:$I$755*DecCours*DecPasse^(B791-$B$755-1))+SUM($G$758:$I$758*DecCours*DecPasse^(B791-$B$758-1)+SUM($G$759:$I$759*DecCours*DecPasse^(B791-$B$759-1)))+SUM($G$764:$I$764*DecCours*DecPasse^(B791-$B$764-1))+SUM($G$769:$I$769*DecCours*DecPasse^(B791-$B$769-1)+SUM($G$770:$I$770*DecCours*DecPasse^(B791-$B$770-1)))+SUM($G$774:$I$774*DecCours*DecPasse^(B791-$B$774-1))+SUM($G$776:$I$776*DecCours*DecPasse^(B791-$B$776-1))+SUM($G$779:$I$779*DecCours*DecPasse^(B791-$B$779-1)+SUM($G$780:$I$780*DecCours*DecPasse^(B791-$B$780-1)))+SUM($G$782:$I$782*DecCours*DecPasse^(B791-$B$782-1))+SUM($G$784:$I$784*DecCours*DecPasse^(B791-$B$784-1))+SUM($G$789:$I$789*DecCours*DecPasse^(B791-$B$789-1)+SUM($G$790:$I$790*DecCours))</f>
        <v>1436.3892333194185</v>
      </c>
      <c r="K791" s="29"/>
      <c r="L791" s="30"/>
      <c r="M791" s="6"/>
    </row>
    <row r="792" spans="1:13" x14ac:dyDescent="0.25">
      <c r="A792" s="24"/>
      <c r="B792" s="35">
        <v>58</v>
      </c>
      <c r="C792" s="43">
        <v>0</v>
      </c>
      <c r="D792" s="27">
        <v>0</v>
      </c>
      <c r="E792" s="27">
        <v>0</v>
      </c>
      <c r="F792" s="27">
        <v>0</v>
      </c>
      <c r="G792" s="28"/>
      <c r="H792" s="28"/>
      <c r="I792" s="28"/>
      <c r="J792" s="26">
        <f t="array" ref="J792">SUM($G$734:$I$734*DecCours*DecPasse^(B792-$B$734-1))+SUM($G$752:$I$752*DecCours*DecPasse^(B792-$B$752-1))+SUM($G$755:$I$755*DecCours*DecPasse^(B792-$B$755-1))+SUM($G$758:$I$758*DecCours*DecPasse^(B792-$B$758-1)+SUM($G$759:$I$759*DecCours*DecPasse^(B792-$B$759-1)))+SUM($G$764:$I$764*DecCours*DecPasse^(B792-$B$764-1))+SUM($G$769:$I$769*DecCours*DecPasse^(B792-$B$769-1)+SUM($G$770:$I$770*DecCours*DecPasse^(B792-$B$770-1)))+SUM($G$774:$I$774*DecCours*DecPasse^(B792-$B$774-1))+SUM($G$776:$I$776*DecCours*DecPasse^(B792-$B$776-1))+SUM($G$779:$I$779*DecCours*DecPasse^(B792-$B$779-1)+SUM($G$780:$I$780*DecCours*DecPasse^(B792-$B$780-1)))+SUM($G$782:$I$782*DecCours*DecPasse^(B792-$B$782-1))+SUM($G$784:$I$784*DecCours*DecPasse^(B792-$B$784-1))+SUM($G$789:$I$789*DecCours*DecPasse^(B792-$B$789-1)+SUM($G$790:$I$790*DecCours*DecPasse^(B792-$B$790-1)))</f>
        <v>1399.9298924894908</v>
      </c>
      <c r="K792" s="29"/>
      <c r="L792" s="30"/>
      <c r="M792" s="6"/>
    </row>
    <row r="793" spans="1:13" x14ac:dyDescent="0.25">
      <c r="A793" s="24"/>
      <c r="B793" s="35">
        <v>59</v>
      </c>
      <c r="C793" s="43">
        <v>0</v>
      </c>
      <c r="D793" s="27">
        <v>0</v>
      </c>
      <c r="E793" s="27">
        <v>0</v>
      </c>
      <c r="F793" s="27">
        <v>0</v>
      </c>
      <c r="G793" s="28"/>
      <c r="H793" s="28"/>
      <c r="I793" s="28"/>
      <c r="J793" s="26">
        <f t="array" ref="J793">SUM($G$734:$I$734*DecCours*DecPasse^(B793-$B$734-1))+SUM($G$752:$I$752*DecCours*DecPasse^(B793-$B$752-1))+SUM($G$755:$I$755*DecCours*DecPasse^(B793-$B$755-1))+SUM($G$758:$I$758*DecCours*DecPasse^(B793-$B$758-1)+SUM($G$759:$I$759*DecCours*DecPasse^(B793-$B$759-1)))+SUM($G$764:$I$764*DecCours*DecPasse^(B793-$B$764-1))+SUM($G$769:$I$769*DecCours*DecPasse^(B793-$B$769-1)+SUM($G$770:$I$770*DecCours*DecPasse^(B793-$B$770-1)))+SUM($G$774:$I$774*DecCours*DecPasse^(B793-$B$774-1))+SUM($G$776:$I$776*DecCours*DecPasse^(B793-$B$776-1))+SUM($G$779:$I$779*DecCours*DecPasse^(B793-$B$779-1)+SUM($G$780:$I$780*DecCours*DecPasse^(B793-$B$780-1)))+SUM($G$782:$I$782*DecCours*DecPasse^(B793-$B$782-1))+SUM($G$784:$I$784*DecCours*DecPasse^(B793-$B$784-1))+SUM($G$789:$I$789*DecCours*DecPasse^(B793-$B$789-1)+SUM($G$790:$I$790*DecCours*DecPasse^(B793-$B$790-1)))</f>
        <v>1365.4092148873929</v>
      </c>
      <c r="K793" s="29"/>
      <c r="L793" s="30"/>
      <c r="M793" s="6"/>
    </row>
    <row r="794" spans="1:13" x14ac:dyDescent="0.25">
      <c r="A794" s="24" t="s">
        <v>10</v>
      </c>
      <c r="B794" s="25">
        <v>60</v>
      </c>
      <c r="C794" s="26">
        <f>29*C662+304*C663</f>
        <v>811.92</v>
      </c>
      <c r="D794" s="27">
        <f>55%*0.84</f>
        <v>0.46200000000000002</v>
      </c>
      <c r="E794" s="27">
        <f>35%*0.84</f>
        <v>0.29399999999999998</v>
      </c>
      <c r="F794" s="27">
        <v>0.1</v>
      </c>
      <c r="G794" s="28">
        <f>$C$794*D794*InfraRx*TauxC*MasseMol</f>
        <v>274.39079975999999</v>
      </c>
      <c r="H794" s="28">
        <f>$C$794*E794*InfraRx*TauxC*MasseMol</f>
        <v>174.61232711999995</v>
      </c>
      <c r="I794" s="28">
        <f>$C$794*F794*InfraRx*TauxC*MasseMol</f>
        <v>59.391947999999992</v>
      </c>
      <c r="J794" s="26">
        <f t="array" ref="J794">SUM($G$734:$I$734*DecCours*DecPasse^(B794-$B$734-1))+SUM($G$752:$I$752*DecCours*DecPasse^(B794-$B$752-1))+SUM($G$755:$I$755*DecCours*DecPasse^(B794-$B$755-1))+SUM($G$758:$I$758*DecCours*DecPasse^(B794-$B$758-1)+SUM($G$759:$I$759*DecCours*DecPasse^(B794-$B$759-1)))+SUM($G$764:$I$764*DecCours*DecPasse^(B794-$B$764-1))+SUM($G$769:$I$769*DecCours*DecPasse^(B794-$B$769-1)+SUM($G$770:$I$770*DecCours*DecPasse^(B794-$B$770-1)))+SUM($G$774:$I$774*DecCours*DecPasse^(B794-$B$774-1))+SUM($G$776:$I$776*DecCours*DecPasse^(B794-$B$776-1))+SUM($G$779:$I$779*DecCours*DecPasse^(B794-$B$779-1)+SUM($G$780:$I$780*DecCours*DecPasse^(B794-$B$780-1)))+SUM($G$782:$I$782*DecCours*DecPasse^(B794-$B$782-1))+SUM($G$784:$I$784*DecCours*DecPasse^(B794-$B$784-1))+SUM($G$789:$I$789*DecCours*DecPasse^(B794-$B$789-1)+SUM($G$790:$I$790*DecCours*DecPasse^(B794-$B$790-1)))</f>
        <v>1332.46372036205</v>
      </c>
      <c r="K794" s="29"/>
      <c r="L794" s="30"/>
      <c r="M794" s="6"/>
    </row>
    <row r="795" spans="1:13" x14ac:dyDescent="0.25">
      <c r="A795" s="24"/>
      <c r="B795" s="25">
        <v>61</v>
      </c>
      <c r="C795" s="26">
        <v>0</v>
      </c>
      <c r="D795" s="27">
        <v>0</v>
      </c>
      <c r="E795" s="27">
        <v>0</v>
      </c>
      <c r="F795" s="27">
        <v>0</v>
      </c>
      <c r="G795" s="28"/>
      <c r="H795" s="28"/>
      <c r="I795" s="28"/>
      <c r="J795" s="26">
        <f t="array" ref="J795">SUM($G$734:$I$734*DecCours*DecPasse^(B795-$B$734-1))+SUM($G$752:$I$752*DecCours*DecPasse^(B795-$B$752-1))+SUM($G$755:$I$755*DecCours*DecPasse^(B795-$B$755-1))+SUM($G$758:$I$758*DecCours*DecPasse^(B795-$B$758-1)+SUM($G$759:$I$759*DecCours*DecPasse^(B795-$B$759-1)))+SUM($G$764:$I$764*DecCours*DecPasse^(B795-$B$764-1))+SUM($G$769:$I$769*DecCours*DecPasse^(B795-$B$769-1)+SUM($G$770:$I$770*DecCours*DecPasse^(B795-$B$770-1)))+SUM($G$774:$I$774*DecCours*DecPasse^(B795-$B$774-1))+SUM($G$776:$I$776*DecCours*DecPasse^(B795-$B$776-1))+SUM($G$779:$I$779*DecCours*DecPasse^(B795-$B$779-1)+SUM($G$780:$I$780*DecCours*DecPasse^(B795-$B$780-1)))+SUM($G$782:$I$782*DecCours*DecPasse^(B795-$B$782-1))+SUM($G$784:$I$784*DecCours*DecPasse^(B795-$B$784-1))+SUM($G$789:$I$789*DecCours*DecPasse^(B795-$B$789-1)+SUM($G$790:$I$790*DecCours*DecPasse^(B795-$B$790-1)))+SUM($G$794:$I$794*DecCours)</f>
        <v>1778.6660722369461</v>
      </c>
      <c r="K795" s="29"/>
      <c r="L795" s="30"/>
      <c r="M795" s="6"/>
    </row>
    <row r="796" spans="1:13" x14ac:dyDescent="0.25">
      <c r="A796" s="24"/>
      <c r="B796" s="25">
        <v>62</v>
      </c>
      <c r="C796" s="26">
        <v>0</v>
      </c>
      <c r="D796" s="27">
        <v>0</v>
      </c>
      <c r="E796" s="27">
        <v>0</v>
      </c>
      <c r="F796" s="27">
        <v>0</v>
      </c>
      <c r="G796" s="28"/>
      <c r="H796" s="28"/>
      <c r="I796" s="28"/>
      <c r="J796" s="26">
        <f t="array" ref="J796">SUM($G$734:$I$734*DecCours*DecPasse^(B796-$B$734-1))+SUM($G$752:$I$752*DecCours*DecPasse^(B796-$B$752-1))+SUM($G$755:$I$755*DecCours*DecPasse^(B796-$B$755-1))+SUM($G$758:$I$758*DecCours*DecPasse^(B796-$B$758-1)+SUM($G$759:$I$759*DecCours*DecPasse^(B796-$B$759-1)))+SUM($G$764:$I$764*DecCours*DecPasse^(B796-$B$764-1))+SUM($G$769:$I$769*DecCours*DecPasse^(B796-$B$769-1)+SUM($G$770:$I$770*DecCours*DecPasse^(B796-$B$770-1)))+SUM($G$774:$I$774*DecCours*DecPasse^(B796-$B$774-1))+SUM($G$776:$I$776*DecCours*DecPasse^(B796-$B$776-1))+SUM($G$779:$I$779*DecCours*DecPasse^(B796-$B$779-1)+SUM($G$780:$I$780*DecCours*DecPasse^(B796-$B$780-1)))+SUM($G$782:$I$782*DecCours*DecPasse^(B796-$B$782-1))+SUM($G$784:$I$784*DecCours*DecPasse^(B796-$B$784-1))+SUM($G$789:$I$789*DecCours*DecPasse^(B796-$B$789-1)+SUM($G$790:$I$790*DecCours*DecPasse^(B796-$B$790-1)))+SUM($G$794:$I$794*DecCours*DecPasse^(B796-$B$794-1))</f>
        <v>1698.0062921686686</v>
      </c>
      <c r="K796" s="29"/>
      <c r="L796" s="30"/>
      <c r="M796" s="6"/>
    </row>
    <row r="797" spans="1:13" x14ac:dyDescent="0.25">
      <c r="A797" s="24"/>
      <c r="B797" s="25">
        <v>63</v>
      </c>
      <c r="C797" s="26">
        <v>0</v>
      </c>
      <c r="D797" s="27">
        <v>0</v>
      </c>
      <c r="E797" s="27">
        <v>0</v>
      </c>
      <c r="F797" s="27">
        <v>0</v>
      </c>
      <c r="G797" s="28"/>
      <c r="H797" s="28"/>
      <c r="I797" s="28"/>
      <c r="J797" s="26">
        <f t="array" ref="J797">SUM($G$734:$I$734*DecCours*DecPasse^(B797-$B$734-1))+SUM($G$752:$I$752*DecCours*DecPasse^(B797-$B$752-1))+SUM($G$755:$I$755*DecCours*DecPasse^(B797-$B$755-1))+SUM($G$758:$I$758*DecCours*DecPasse^(B797-$B$758-1)+SUM($G$759:$I$759*DecCours*DecPasse^(B797-$B$759-1)))+SUM($G$764:$I$764*DecCours*DecPasse^(B797-$B$764-1))+SUM($G$769:$I$769*DecCours*DecPasse^(B797-$B$769-1)+SUM($G$770:$I$770*DecCours*DecPasse^(B797-$B$770-1)))+SUM($G$774:$I$774*DecCours*DecPasse^(B797-$B$774-1))+SUM($G$776:$I$776*DecCours*DecPasse^(B797-$B$776-1))+SUM($G$779:$I$779*DecCours*DecPasse^(B797-$B$779-1)+SUM($G$780:$I$780*DecCours*DecPasse^(B797-$B$780-1)))+SUM($G$782:$I$782*DecCours*DecPasse^(B797-$B$782-1))+SUM($G$784:$I$784*DecCours*DecPasse^(B797-$B$784-1))+SUM($G$789:$I$789*DecCours*DecPasse^(B797-$B$789-1)+SUM($G$790:$I$790*DecCours*DecPasse^(B797-$B$790-1)))+SUM($G$794:$I$794*DecCours*DecPasse^(B797-$B$794-1))</f>
        <v>1631.1382578739551</v>
      </c>
      <c r="K797" s="29"/>
      <c r="L797" s="30"/>
      <c r="M797" s="6"/>
    </row>
    <row r="798" spans="1:13" x14ac:dyDescent="0.25">
      <c r="A798" s="24"/>
      <c r="B798" s="25">
        <v>64</v>
      </c>
      <c r="C798" s="26">
        <v>0</v>
      </c>
      <c r="D798" s="27">
        <v>0</v>
      </c>
      <c r="E798" s="27">
        <v>0</v>
      </c>
      <c r="F798" s="27">
        <v>0</v>
      </c>
      <c r="G798" s="28"/>
      <c r="H798" s="28"/>
      <c r="I798" s="28"/>
      <c r="J798" s="26">
        <f t="array" ref="J798">SUM($G$734:$I$734*DecCours*DecPasse^(B798-$B$734-1))+SUM($G$752:$I$752*DecCours*DecPasse^(B798-$B$752-1))+SUM($G$755:$I$755*DecCours*DecPasse^(B798-$B$755-1))+SUM($G$758:$I$758*DecCours*DecPasse^(B798-$B$758-1)+SUM($G$759:$I$759*DecCours*DecPasse^(B798-$B$759-1)))+SUM($G$764:$I$764*DecCours*DecPasse^(B798-$B$764-1))+SUM($G$769:$I$769*DecCours*DecPasse^(B798-$B$769-1)+SUM($G$770:$I$770*DecCours*DecPasse^(B798-$B$770-1)))+SUM($G$774:$I$774*DecCours*DecPasse^(B798-$B$774-1))+SUM($G$776:$I$776*DecCours*DecPasse^(B798-$B$776-1))+SUM($G$779:$I$779*DecCours*DecPasse^(B798-$B$779-1)+SUM($G$780:$I$780*DecCours*DecPasse^(B798-$B$780-1)))+SUM($G$782:$I$782*DecCours*DecPasse^(B798-$B$782-1))+SUM($G$784:$I$784*DecCours*DecPasse^(B798-$B$784-1))+SUM($G$789:$I$789*DecCours*DecPasse^(B798-$B$789-1)+SUM($G$790:$I$790*DecCours*DecPasse^(B798-$B$790-1)))+SUM($G$794:$I$794*DecCours*DecPasse^(B798-$B$794-1))</f>
        <v>1574.2480642634764</v>
      </c>
      <c r="K798" s="29"/>
      <c r="L798" s="30"/>
      <c r="M798" s="6"/>
    </row>
    <row r="799" spans="1:13" x14ac:dyDescent="0.25">
      <c r="A799" s="24"/>
      <c r="B799" s="25">
        <v>65</v>
      </c>
      <c r="C799" s="26">
        <v>0</v>
      </c>
      <c r="D799" s="27">
        <v>0</v>
      </c>
      <c r="E799" s="27">
        <v>0</v>
      </c>
      <c r="F799" s="27">
        <v>0</v>
      </c>
      <c r="G799" s="28"/>
      <c r="H799" s="28"/>
      <c r="I799" s="28"/>
      <c r="J799" s="26">
        <f t="array" ref="J799">SUM($G$734:$I$734*DecCours*DecPasse^(B799-$B$734-1))+SUM($G$752:$I$752*DecCours*DecPasse^(B799-$B$752-1))+SUM($G$755:$I$755*DecCours*DecPasse^(B799-$B$755-1))+SUM($G$758:$I$758*DecCours*DecPasse^(B799-$B$758-1)+SUM($G$759:$I$759*DecCours*DecPasse^(B799-$B$759-1)))+SUM($G$764:$I$764*DecCours*DecPasse^(B799-$B$764-1))+SUM($G$769:$I$769*DecCours*DecPasse^(B799-$B$769-1)+SUM($G$770:$I$770*DecCours*DecPasse^(B799-$B$770-1)))+SUM($G$774:$I$774*DecCours*DecPasse^(B799-$B$774-1))+SUM($G$776:$I$776*DecCours*DecPasse^(B799-$B$776-1))+SUM($G$779:$I$779*DecCours*DecPasse^(B799-$B$779-1)+SUM($G$780:$I$780*DecCours*DecPasse^(B799-$B$780-1)))+SUM($G$782:$I$782*DecCours*DecPasse^(B799-$B$782-1))+SUM($G$784:$I$784*DecCours*DecPasse^(B799-$B$784-1))+SUM($G$789:$I$789*DecCours*DecPasse^(B799-$B$789-1)+SUM($G$790:$I$790*DecCours*DecPasse^(B799-$B$790-1)))+SUM($G$794:$I$794*DecCours*DecPasse^(B799-$B$794-1))</f>
        <v>1524.6335527148517</v>
      </c>
      <c r="K799" s="29"/>
      <c r="L799" s="30"/>
      <c r="M799" s="6"/>
    </row>
    <row r="800" spans="1:13" x14ac:dyDescent="0.25">
      <c r="A800" s="24" t="s">
        <v>10</v>
      </c>
      <c r="B800" s="35">
        <v>66</v>
      </c>
      <c r="C800" s="26">
        <f>101*C664</f>
        <v>101</v>
      </c>
      <c r="D800" s="27">
        <f>50%*0.84</f>
        <v>0.42</v>
      </c>
      <c r="E800" s="27">
        <v>0</v>
      </c>
      <c r="F800" s="27">
        <v>0.5</v>
      </c>
      <c r="G800" s="28">
        <f>$C$800*D800*InfraCed*TauxC*MasseMol</f>
        <v>26.597339999999999</v>
      </c>
      <c r="H800" s="28">
        <f>$C$800*E800*InfraCed*TauxC*MasseMol</f>
        <v>0</v>
      </c>
      <c r="I800" s="28">
        <f>$C$800*F800*InfraCed*TauxC*MasseMol</f>
        <v>31.663499999999992</v>
      </c>
      <c r="J800" s="26">
        <f t="array" ref="J800">SUM($G$734:$I$734*DecCours*DecPasse^(B800-$B$734-1))+SUM($G$752:$I$752*DecCours*DecPasse^(B800-$B$752-1))+SUM($G$755:$I$755*DecCours*DecPasse^(B800-$B$755-1))+SUM($G$758:$I$758*DecCours*DecPasse^(B800-$B$758-1)+SUM($G$759:$I$759*DecCours*DecPasse^(B800-$B$759-1)))+SUM($G$764:$I$764*DecCours*DecPasse^(B800-$B$764-1))+SUM($G$769:$I$769*DecCours*DecPasse^(B800-$B$769-1)+SUM($G$770:$I$770*DecCours*DecPasse^(B800-$B$770-1)))+SUM($G$774:$I$774*DecCours*DecPasse^(B800-$B$774-1))+SUM($G$776:$I$776*DecCours*DecPasse^(B800-$B$776-1))+SUM($G$779:$I$779*DecCours*DecPasse^(B800-$B$779-1)+SUM($G$780:$I$780*DecCours*DecPasse^(B800-$B$780-1)))+SUM($G$782:$I$782*DecCours*DecPasse^(B800-$B$782-1))+SUM($G$784:$I$784*DecCours*DecPasse^(B800-$B$784-1))+SUM($G$789:$I$789*DecCours*DecPasse^(B800-$B$789-1)+SUM($G$790:$I$790*DecCours*DecPasse^(B800-$B$790-1)))+SUM($G$794:$I$794*DecCours*DecPasse^(B800-$B$794-1))</f>
        <v>1480.3788169179984</v>
      </c>
      <c r="K800" s="29"/>
      <c r="L800" s="30"/>
      <c r="M800" s="6"/>
    </row>
    <row r="801" spans="1:13" x14ac:dyDescent="0.25">
      <c r="A801" s="24"/>
      <c r="B801" s="35">
        <v>67</v>
      </c>
      <c r="C801" s="26">
        <v>0</v>
      </c>
      <c r="D801" s="27">
        <v>0</v>
      </c>
      <c r="E801" s="27">
        <v>0</v>
      </c>
      <c r="F801" s="27">
        <v>0</v>
      </c>
      <c r="G801" s="28"/>
      <c r="H801" s="28"/>
      <c r="I801" s="28"/>
      <c r="J801" s="26">
        <f t="array" ref="J801">SUM($G$734:$I$734*DecCours*DecPasse^(B801-$B$734-1))+SUM($G$752:$I$752*DecCours*DecPasse^(B801-$B$752-1))+SUM($G$755:$I$755*DecCours*DecPasse^(B801-$B$755-1))+SUM($G$758:$I$758*DecCours*DecPasse^(B801-$B$758-1)+SUM($G$759:$I$759*DecCours*DecPasse^(B801-$B$759-1)))+SUM($G$764:$I$764*DecCours*DecPasse^(B801-$B$764-1))+SUM($G$769:$I$769*DecCours*DecPasse^(B801-$B$769-1)+SUM($G$770:$I$770*DecCours*DecPasse^(B801-$B$770-1)))+SUM($G$774:$I$774*DecCours*DecPasse^(B801-$B$774-1))+SUM($G$776:$I$776*DecCours*DecPasse^(B801-$B$776-1))+SUM($G$779:$I$779*DecCours*DecPasse^(B801-$B$779-1)+SUM($G$780:$I$780*DecCours*DecPasse^(B801-$B$780-1)))+SUM($G$782:$I$782*DecCours*DecPasse^(B801-$B$782-1))+SUM($G$784:$I$784*DecCours*DecPasse^(B801-$B$784-1))+SUM($G$789:$I$789*DecCours*DecPasse^(B801-$B$789-1)+SUM($G$790:$I$790*DecCours*DecPasse^(B801-$B$790-1)))+SUM($G$794:$I$794*DecCours*DecPasse^(B801-$B$794-1))+SUM($G$800:$I$800*DecCours)</f>
        <v>1497.6883204736293</v>
      </c>
      <c r="K801" s="29"/>
      <c r="L801" s="30"/>
      <c r="M801" s="6"/>
    </row>
    <row r="802" spans="1:13" x14ac:dyDescent="0.25">
      <c r="A802" s="24"/>
      <c r="B802" s="35">
        <v>68</v>
      </c>
      <c r="C802" s="26">
        <v>0</v>
      </c>
      <c r="D802" s="27">
        <v>0</v>
      </c>
      <c r="E802" s="27">
        <v>0</v>
      </c>
      <c r="F802" s="27">
        <v>0</v>
      </c>
      <c r="G802" s="28"/>
      <c r="H802" s="28"/>
      <c r="I802" s="28"/>
      <c r="J802" s="26">
        <f t="array" ref="J802">SUM($G$734:$I$734*DecCours*DecPasse^(B802-$B$734-1))+SUM($G$752:$I$752*DecCours*DecPasse^(B802-$B$752-1))+SUM($G$755:$I$755*DecCours*DecPasse^(B802-$B$755-1))+SUM($G$758:$I$758*DecCours*DecPasse^(B802-$B$758-1)+SUM($G$759:$I$759*DecCours*DecPasse^(B802-$B$759-1)))+SUM($G$764:$I$764*DecCours*DecPasse^(B802-$B$764-1))+SUM($G$769:$I$769*DecCours*DecPasse^(B802-$B$769-1)+SUM($G$770:$I$770*DecCours*DecPasse^(B802-$B$770-1)))+SUM($G$774:$I$774*DecCours*DecPasse^(B802-$B$774-1))+SUM($G$776:$I$776*DecCours*DecPasse^(B802-$B$776-1))+SUM($G$779:$I$779*DecCours*DecPasse^(B802-$B$779-1)+SUM($G$780:$I$780*DecCours*DecPasse^(B802-$B$780-1)))+SUM($G$782:$I$782*DecCours*DecPasse^(B802-$B$782-1))+SUM($G$784:$I$784*DecCours*DecPasse^(B802-$B$784-1))+SUM($G$789:$I$789*DecCours*DecPasse^(B802-$B$789-1)+SUM($G$790:$I$790*DecCours*DecPasse^(B802-$B$790-1)))+SUM($G$794:$I$794*DecCours*DecPasse^(B802-$B$794-1))+SUM($G$800:$I$800*DecCours*DecPasse^(B802-$B$800-1))</f>
        <v>1459.0966505910467</v>
      </c>
      <c r="K802" s="29"/>
      <c r="L802" s="30"/>
      <c r="M802" s="6"/>
    </row>
    <row r="803" spans="1:13" x14ac:dyDescent="0.25">
      <c r="A803" s="24"/>
      <c r="B803" s="35">
        <v>69</v>
      </c>
      <c r="C803" s="26">
        <v>0</v>
      </c>
      <c r="D803" s="27">
        <v>0</v>
      </c>
      <c r="E803" s="27">
        <v>0</v>
      </c>
      <c r="F803" s="27">
        <v>0</v>
      </c>
      <c r="G803" s="28"/>
      <c r="H803" s="28"/>
      <c r="I803" s="28"/>
      <c r="J803" s="26">
        <f t="array" ref="J803">SUM($G$734:$I$734*DecCours*DecPasse^(B803-$B$734-1))+SUM($G$752:$I$752*DecCours*DecPasse^(B803-$B$752-1))+SUM($G$755:$I$755*DecCours*DecPasse^(B803-$B$755-1))+SUM($G$758:$I$758*DecCours*DecPasse^(B803-$B$758-1)+SUM($G$759:$I$759*DecCours*DecPasse^(B803-$B$759-1)))+SUM($G$764:$I$764*DecCours*DecPasse^(B803-$B$764-1))+SUM($G$769:$I$769*DecCours*DecPasse^(B803-$B$769-1)+SUM($G$770:$I$770*DecCours*DecPasse^(B803-$B$770-1)))+SUM($G$774:$I$774*DecCours*DecPasse^(B803-$B$774-1))+SUM($G$776:$I$776*DecCours*DecPasse^(B803-$B$776-1))+SUM($G$779:$I$779*DecCours*DecPasse^(B803-$B$779-1)+SUM($G$780:$I$780*DecCours*DecPasse^(B803-$B$780-1)))+SUM($G$782:$I$782*DecCours*DecPasse^(B803-$B$782-1))+SUM($G$784:$I$784*DecCours*DecPasse^(B803-$B$784-1))+SUM($G$789:$I$789*DecCours*DecPasse^(B803-$B$789-1)+SUM($G$790:$I$790*DecCours*DecPasse^(B803-$B$790-1)))+SUM($G$794:$I$794*DecCours*DecPasse^(B803-$B$794-1))+SUM($G$800:$I$800*DecCours*DecPasse^(B803-$B$800-1))</f>
        <v>1422.8837117641485</v>
      </c>
      <c r="K803" s="29"/>
      <c r="L803" s="30"/>
      <c r="M803" s="6"/>
    </row>
    <row r="804" spans="1:13" x14ac:dyDescent="0.25">
      <c r="A804" s="24"/>
      <c r="B804" s="35">
        <v>70</v>
      </c>
      <c r="C804" s="26">
        <v>0</v>
      </c>
      <c r="D804" s="27">
        <v>0</v>
      </c>
      <c r="E804" s="27">
        <v>0</v>
      </c>
      <c r="F804" s="27">
        <v>0</v>
      </c>
      <c r="G804" s="28"/>
      <c r="H804" s="28"/>
      <c r="I804" s="28"/>
      <c r="J804" s="26">
        <f t="array" ref="J804">SUM($G$734:$I$734*DecCours*DecPasse^(B804-$B$734-1))+SUM($G$752:$I$752*DecCours*DecPasse^(B804-$B$752-1))+SUM($G$755:$I$755*DecCours*DecPasse^(B804-$B$755-1))+SUM($G$758:$I$758*DecCours*DecPasse^(B804-$B$758-1)+SUM($G$759:$I$759*DecCours*DecPasse^(B804-$B$759-1)))+SUM($G$764:$I$764*DecCours*DecPasse^(B804-$B$764-1))+SUM($G$769:$I$769*DecCours*DecPasse^(B804-$B$769-1)+SUM($G$770:$I$770*DecCours*DecPasse^(B804-$B$770-1)))+SUM($G$774:$I$774*DecCours*DecPasse^(B804-$B$774-1))+SUM($G$776:$I$776*DecCours*DecPasse^(B804-$B$776-1))+SUM($G$779:$I$779*DecCours*DecPasse^(B804-$B$779-1)+SUM($G$780:$I$780*DecCours*DecPasse^(B804-$B$780-1)))+SUM($G$782:$I$782*DecCours*DecPasse^(B804-$B$782-1))+SUM($G$784:$I$784*DecCours*DecPasse^(B804-$B$784-1))+SUM($G$789:$I$789*DecCours*DecPasse^(B804-$B$789-1)+SUM($G$790:$I$790*DecCours*DecPasse^(B804-$B$790-1)))+SUM($G$794:$I$794*DecCours*DecPasse^(B804-$B$794-1))+SUM($G$800:$I$800*DecCours*DecPasse^(B804-$B$800-1))</f>
        <v>1388.557309029014</v>
      </c>
      <c r="K804" s="29"/>
      <c r="L804" s="30"/>
      <c r="M804" s="6"/>
    </row>
    <row r="805" spans="1:13" x14ac:dyDescent="0.25">
      <c r="A805" s="24"/>
      <c r="B805" s="35">
        <v>71</v>
      </c>
      <c r="C805" s="26">
        <v>0</v>
      </c>
      <c r="D805" s="27">
        <v>0</v>
      </c>
      <c r="E805" s="27">
        <v>0</v>
      </c>
      <c r="F805" s="27">
        <v>0</v>
      </c>
      <c r="G805" s="28"/>
      <c r="H805" s="28"/>
      <c r="I805" s="28"/>
      <c r="J805" s="26">
        <f t="array" ref="J805">SUM($G$734:$I$734*DecCours*DecPasse^(B805-$B$734-1))+SUM($G$752:$I$752*DecCours*DecPasse^(B805-$B$752-1))+SUM($G$755:$I$755*DecCours*DecPasse^(B805-$B$755-1))+SUM($G$758:$I$758*DecCours*DecPasse^(B805-$B$758-1)+SUM($G$759:$I$759*DecCours*DecPasse^(B805-$B$759-1)))+SUM($G$764:$I$764*DecCours*DecPasse^(B805-$B$764-1))+SUM($G$769:$I$769*DecCours*DecPasse^(B805-$B$769-1)+SUM($G$770:$I$770*DecCours*DecPasse^(B805-$B$770-1)))+SUM($G$774:$I$774*DecCours*DecPasse^(B805-$B$774-1))+SUM($G$776:$I$776*DecCours*DecPasse^(B805-$B$776-1))+SUM($G$779:$I$779*DecCours*DecPasse^(B805-$B$779-1)+SUM($G$780:$I$780*DecCours*DecPasse^(B805-$B$780-1)))+SUM($G$782:$I$782*DecCours*DecPasse^(B805-$B$782-1))+SUM($G$784:$I$784*DecCours*DecPasse^(B805-$B$784-1))+SUM($G$789:$I$789*DecCours*DecPasse^(B805-$B$789-1)+SUM($G$790:$I$790*DecCours*DecPasse^(B805-$B$790-1)))+SUM($G$794:$I$794*DecCours*DecPasse^(B805-$B$794-1))+SUM($G$800:$I$800*DecCours*DecPasse^(B805-$B$800-1))</f>
        <v>1355.7645904000271</v>
      </c>
      <c r="K805" s="29"/>
      <c r="L805" s="30"/>
      <c r="M805" s="6"/>
    </row>
    <row r="806" spans="1:13" x14ac:dyDescent="0.25">
      <c r="A806" s="24"/>
      <c r="B806" s="35">
        <v>72</v>
      </c>
      <c r="C806" s="26">
        <v>0</v>
      </c>
      <c r="D806" s="27">
        <v>0</v>
      </c>
      <c r="E806" s="27">
        <v>0</v>
      </c>
      <c r="F806" s="27">
        <v>0</v>
      </c>
      <c r="G806" s="28"/>
      <c r="H806" s="28"/>
      <c r="I806" s="28"/>
      <c r="J806" s="26">
        <f t="array" ref="J806">SUM($G$734:$I$734*DecCours*DecPasse^(B806-$B$734-1))+SUM($G$752:$I$752*DecCours*DecPasse^(B806-$B$752-1))+SUM($G$755:$I$755*DecCours*DecPasse^(B806-$B$755-1))+SUM($G$758:$I$758*DecCours*DecPasse^(B806-$B$758-1)+SUM($G$759:$I$759*DecCours*DecPasse^(B806-$B$759-1)))+SUM($G$764:$I$764*DecCours*DecPasse^(B806-$B$764-1))+SUM($G$769:$I$769*DecCours*DecPasse^(B806-$B$769-1)+SUM($G$770:$I$770*DecCours*DecPasse^(B806-$B$770-1)))+SUM($G$774:$I$774*DecCours*DecPasse^(B806-$B$774-1))+SUM($G$776:$I$776*DecCours*DecPasse^(B806-$B$776-1))+SUM($G$779:$I$779*DecCours*DecPasse^(B806-$B$779-1)+SUM($G$780:$I$780*DecCours*DecPasse^(B806-$B$780-1)))+SUM($G$782:$I$782*DecCours*DecPasse^(B806-$B$782-1))+SUM($G$784:$I$784*DecCours*DecPasse^(B806-$B$784-1))+SUM($G$789:$I$789*DecCours*DecPasse^(B806-$B$789-1)+SUM($G$790:$I$790*DecCours*DecPasse^(B806-$B$790-1)))+SUM($G$794:$I$794*DecCours*DecPasse^(B806-$B$794-1))+SUM($G$800:$I$800*DecCours*DecPasse^(B806-$B$800-1))</f>
        <v>1324.2513507963833</v>
      </c>
      <c r="K806" s="29"/>
      <c r="L806" s="30"/>
      <c r="M806" s="6"/>
    </row>
    <row r="807" spans="1:13" x14ac:dyDescent="0.25">
      <c r="A807" s="24"/>
      <c r="B807" s="35">
        <v>73</v>
      </c>
      <c r="C807" s="26">
        <v>0</v>
      </c>
      <c r="D807" s="27">
        <v>0</v>
      </c>
      <c r="E807" s="27">
        <v>0</v>
      </c>
      <c r="F807" s="27">
        <v>0</v>
      </c>
      <c r="G807" s="28"/>
      <c r="H807" s="28"/>
      <c r="I807" s="28"/>
      <c r="J807" s="26">
        <f t="array" ref="J807">SUM($G$734:$I$734*DecCours*DecPasse^(B807-$B$734-1))+SUM($G$752:$I$752*DecCours*DecPasse^(B807-$B$752-1))+SUM($G$755:$I$755*DecCours*DecPasse^(B807-$B$755-1))+SUM($G$758:$I$758*DecCours*DecPasse^(B807-$B$758-1)+SUM($G$759:$I$759*DecCours*DecPasse^(B807-$B$759-1)))+SUM($G$764:$I$764*DecCours*DecPasse^(B807-$B$764-1))+SUM($G$769:$I$769*DecCours*DecPasse^(B807-$B$769-1)+SUM($G$770:$I$770*DecCours*DecPasse^(B807-$B$770-1)))+SUM($G$774:$I$774*DecCours*DecPasse^(B807-$B$774-1))+SUM($G$776:$I$776*DecCours*DecPasse^(B807-$B$776-1))+SUM($G$779:$I$779*DecCours*DecPasse^(B807-$B$779-1)+SUM($G$780:$I$780*DecCours*DecPasse^(B807-$B$780-1)))+SUM($G$782:$I$782*DecCours*DecPasse^(B807-$B$782-1))+SUM($G$784:$I$784*DecCours*DecPasse^(B807-$B$784-1))+SUM($G$789:$I$789*DecCours*DecPasse^(B807-$B$789-1)+SUM($G$790:$I$790*DecCours*DecPasse^(B807-$B$790-1)))+SUM($G$794:$I$794*DecCours*DecPasse^(B807-$B$794-1))+SUM($G$800:$I$800*DecCours*DecPasse^(B807-$B$800-1))</f>
        <v>1293.833252683773</v>
      </c>
      <c r="K807" s="29"/>
      <c r="L807" s="30"/>
      <c r="M807" s="6"/>
    </row>
    <row r="808" spans="1:13" x14ac:dyDescent="0.25">
      <c r="A808" s="24"/>
      <c r="B808" s="35">
        <v>74</v>
      </c>
      <c r="C808" s="26">
        <v>0</v>
      </c>
      <c r="D808" s="27">
        <v>0</v>
      </c>
      <c r="E808" s="27">
        <v>0</v>
      </c>
      <c r="F808" s="27">
        <v>0</v>
      </c>
      <c r="G808" s="28"/>
      <c r="H808" s="28"/>
      <c r="I808" s="28"/>
      <c r="J808" s="26">
        <f t="array" ref="J808">SUM($G$734:$I$734*DecCours*DecPasse^(B808-$B$734-1))+SUM($G$752:$I$752*DecCours*DecPasse^(B808-$B$752-1))+SUM($G$755:$I$755*DecCours*DecPasse^(B808-$B$755-1))+SUM($G$758:$I$758*DecCours*DecPasse^(B808-$B$758-1)+SUM($G$759:$I$759*DecCours*DecPasse^(B808-$B$759-1)))+SUM($G$764:$I$764*DecCours*DecPasse^(B808-$B$764-1))+SUM($G$769:$I$769*DecCours*DecPasse^(B808-$B$769-1)+SUM($G$770:$I$770*DecCours*DecPasse^(B808-$B$770-1)))+SUM($G$774:$I$774*DecCours*DecPasse^(B808-$B$774-1))+SUM($G$776:$I$776*DecCours*DecPasse^(B808-$B$776-1))+SUM($G$779:$I$779*DecCours*DecPasse^(B808-$B$779-1)+SUM($G$780:$I$780*DecCours*DecPasse^(B808-$B$780-1)))+SUM($G$782:$I$782*DecCours*DecPasse^(B808-$B$782-1))+SUM($G$784:$I$784*DecCours*DecPasse^(B808-$B$784-1))+SUM($G$789:$I$789*DecCours*DecPasse^(B808-$B$789-1)+SUM($G$790:$I$790*DecCours*DecPasse^(B808-$B$790-1)))+SUM($G$794:$I$794*DecCours*DecPasse^(B808-$B$794-1))+SUM($G$800:$I$800*DecCours*DecPasse^(B808-$B$800-1))</f>
        <v>1264.3754731793308</v>
      </c>
      <c r="K808" s="29"/>
      <c r="L808" s="30"/>
      <c r="M808" s="6"/>
    </row>
    <row r="809" spans="1:13" x14ac:dyDescent="0.25">
      <c r="A809" s="24"/>
      <c r="B809" s="35">
        <v>75</v>
      </c>
      <c r="C809" s="26">
        <v>0</v>
      </c>
      <c r="D809" s="27">
        <v>0</v>
      </c>
      <c r="E809" s="27">
        <v>0</v>
      </c>
      <c r="F809" s="27">
        <v>0</v>
      </c>
      <c r="G809" s="28"/>
      <c r="H809" s="28"/>
      <c r="I809" s="28"/>
      <c r="J809" s="26">
        <f t="array" ref="J809">SUM($G$734:$I$734*DecCours*DecPasse^(B809-$B$734-1))+SUM($G$752:$I$752*DecCours*DecPasse^(B809-$B$752-1))+SUM($G$755:$I$755*DecCours*DecPasse^(B809-$B$755-1))+SUM($G$758:$I$758*DecCours*DecPasse^(B809-$B$758-1)+SUM($G$759:$I$759*DecCours*DecPasse^(B809-$B$759-1)))+SUM($G$764:$I$764*DecCours*DecPasse^(B809-$B$764-1))+SUM($G$769:$I$769*DecCours*DecPasse^(B809-$B$769-1)+SUM($G$770:$I$770*DecCours*DecPasse^(B809-$B$770-1)))+SUM($G$774:$I$774*DecCours*DecPasse^(B809-$B$774-1))+SUM($G$776:$I$776*DecCours*DecPasse^(B809-$B$776-1))+SUM($G$779:$I$779*DecCours*DecPasse^(B809-$B$779-1)+SUM($G$780:$I$780*DecCours*DecPasse^(B809-$B$780-1)))+SUM($G$782:$I$782*DecCours*DecPasse^(B809-$B$782-1))+SUM($G$784:$I$784*DecCours*DecPasse^(B809-$B$784-1))+SUM($G$789:$I$789*DecCours*DecPasse^(B809-$B$789-1)+SUM($G$790:$I$790*DecCours*DecPasse^(B809-$B$790-1)))+SUM($G$794:$I$794*DecCours*DecPasse^(B809-$B$794-1))+SUM($G$800:$I$800*DecCours*DecPasse^(B809-$B$800-1))</f>
        <v>1235.7783096371563</v>
      </c>
      <c r="K809" s="29"/>
      <c r="L809" s="30"/>
      <c r="M809" s="6"/>
    </row>
    <row r="810" spans="1:13" x14ac:dyDescent="0.25">
      <c r="A810" s="24" t="s">
        <v>10</v>
      </c>
      <c r="B810" s="35">
        <v>76</v>
      </c>
      <c r="C810" s="26">
        <f>106*C664</f>
        <v>106</v>
      </c>
      <c r="D810" s="27">
        <f>65%*0.84</f>
        <v>0.54600000000000004</v>
      </c>
      <c r="E810" s="27">
        <v>0</v>
      </c>
      <c r="F810" s="27">
        <v>0.35</v>
      </c>
      <c r="G810" s="28">
        <f>$C$810*D810*InfraCed*TauxC*MasseMol</f>
        <v>36.288252</v>
      </c>
      <c r="H810" s="28">
        <f>$C$810*E810*InfraCed*TauxC*MasseMol</f>
        <v>0</v>
      </c>
      <c r="I810" s="28">
        <f>$C$810*F810*InfraCed*TauxC*MasseMol</f>
        <v>23.261699999999998</v>
      </c>
      <c r="J810" s="26">
        <f t="array" ref="J810">SUM($G$734:$I$734*DecCours*DecPasse^(B810-$B$734-1))+SUM($G$752:$I$752*DecCours*DecPasse^(B810-$B$752-1))+SUM($G$755:$I$755*DecCours*DecPasse^(B810-$B$755-1))+SUM($G$758:$I$758*DecCours*DecPasse^(B810-$B$758-1)+SUM($G$759:$I$759*DecCours*DecPasse^(B810-$B$759-1)))+SUM($G$764:$I$764*DecCours*DecPasse^(B810-$B$764-1))+SUM($G$769:$I$769*DecCours*DecPasse^(B810-$B$769-1)+SUM($G$770:$I$770*DecCours*DecPasse^(B810-$B$770-1)))+SUM($G$774:$I$774*DecCours*DecPasse^(B810-$B$774-1))+SUM($G$776:$I$776*DecCours*DecPasse^(B810-$B$776-1))+SUM($G$779:$I$779*DecCours*DecPasse^(B810-$B$779-1)+SUM($G$780:$I$780*DecCours*DecPasse^(B810-$B$780-1)))+SUM($G$782:$I$782*DecCours*DecPasse^(B810-$B$782-1))+SUM($G$784:$I$784*DecCours*DecPasse^(B810-$B$784-1))+SUM($G$789:$I$789*DecCours*DecPasse^(B810-$B$789-1)+SUM($G$790:$I$790*DecCours*DecPasse^(B810-$B$790-1)))+SUM($G$794:$I$794*DecCours*DecPasse^(B810-$B$794-1))+SUM($G$800:$I$800*DecCours*DecPasse^(B810-$B$800-1))</f>
        <v>1207.966998585289</v>
      </c>
      <c r="K810" s="29"/>
      <c r="L810" s="30"/>
      <c r="M810" s="6"/>
    </row>
    <row r="811" spans="1:13" x14ac:dyDescent="0.25">
      <c r="A811" s="24"/>
      <c r="B811" s="35">
        <v>77</v>
      </c>
      <c r="C811" s="26">
        <v>0</v>
      </c>
      <c r="D811" s="27">
        <v>0</v>
      </c>
      <c r="E811" s="27">
        <v>0</v>
      </c>
      <c r="F811" s="27">
        <v>0</v>
      </c>
      <c r="G811" s="28"/>
      <c r="H811" s="28"/>
      <c r="I811" s="28"/>
      <c r="J811" s="26">
        <f t="array" ref="J811">SUM($G$734:$I$734*DecCours*DecPasse^(B811-$B$734-1))+SUM($G$752:$I$752*DecCours*DecPasse^(B811-$B$752-1))+SUM($G$755:$I$755*DecCours*DecPasse^(B811-$B$755-1))+SUM($G$758:$I$758*DecCours*DecPasse^(B811-$B$758-1)+SUM($G$759:$I$759*DecCours*DecPasse^(B811-$B$759-1)))+SUM($G$764:$I$764*DecCours*DecPasse^(B811-$B$764-1))+SUM($G$769:$I$769*DecCours*DecPasse^(B811-$B$769-1)+SUM($G$770:$I$770*DecCours*DecPasse^(B811-$B$770-1)))+SUM($G$774:$I$774*DecCours*DecPasse^(B811-$B$774-1))+SUM($G$776:$I$776*DecCours*DecPasse^(B811-$B$776-1))+SUM($G$779:$I$779*DecCours*DecPasse^(B811-$B$779-1)+SUM($G$780:$I$780*DecCours*DecPasse^(B811-$B$780-1)))+SUM($G$782:$I$782*DecCours*DecPasse^(B811-$B$782-1))+SUM($G$784:$I$784*DecCours*DecPasse^(B811-$B$784-1))+SUM($G$789:$I$789*DecCours*DecPasse^(B811-$B$789-1)+SUM($G$790:$I$790*DecCours*DecPasse^(B811-$B$790-1)))+SUM($G$794:$I$794*DecCours*DecPasse^(B811-$B$794-1))+SUM($G$800:$I$800*DecCours*DecPasse^(B811-$B$800-1))+SUM($G$810:$I$810*DecCours)</f>
        <v>1239.7579805380806</v>
      </c>
      <c r="K811" s="29"/>
      <c r="L811" s="30"/>
      <c r="M811" s="6"/>
    </row>
    <row r="812" spans="1:13" x14ac:dyDescent="0.25">
      <c r="A812" s="24"/>
      <c r="B812" s="35">
        <v>78</v>
      </c>
      <c r="C812" s="26">
        <v>0</v>
      </c>
      <c r="D812" s="27">
        <v>0</v>
      </c>
      <c r="E812" s="27">
        <v>0</v>
      </c>
      <c r="F812" s="27">
        <v>0</v>
      </c>
      <c r="G812" s="28"/>
      <c r="H812" s="28"/>
      <c r="I812" s="28"/>
      <c r="J812" s="26">
        <f t="array" ref="J812">SUM($G$734:$I$734*DecCours*DecPasse^(B812-$B$734-1))+SUM($G$752:$I$752*DecCours*DecPasse^(B812-$B$752-1))+SUM($G$755:$I$755*DecCours*DecPasse^(B812-$B$755-1))+SUM($G$758:$I$758*DecCours*DecPasse^(B812-$B$758-1)+SUM($G$759:$I$759*DecCours*DecPasse^(B812-$B$759-1)))+SUM($G$764:$I$764*DecCours*DecPasse^(B812-$B$764-1))+SUM($G$769:$I$769*DecCours*DecPasse^(B812-$B$769-1)+SUM($G$770:$I$770*DecCours*DecPasse^(B812-$B$770-1)))+SUM($G$774:$I$774*DecCours*DecPasse^(B812-$B$774-1))+SUM($G$776:$I$776*DecCours*DecPasse^(B812-$B$776-1))+SUM($G$779:$I$779*DecCours*DecPasse^(B812-$B$779-1)+SUM($G$780:$I$780*DecCours*DecPasse^(B812-$B$780-1)))+SUM($G$782:$I$782*DecCours*DecPasse^(B812-$B$782-1))+SUM($G$784:$I$784*DecCours*DecPasse^(B812-$B$784-1))+SUM($G$789:$I$789*DecCours*DecPasse^(B812-$B$789-1)+SUM($G$790:$I$790*DecCours*DecPasse^(B812-$B$790-1)))+SUM($G$794:$I$794*DecCours*DecPasse^(B812-$B$794-1))+SUM($G$800:$I$800*DecCours*DecPasse^(B812-$B$800-1))+SUM($G$810:$I$810*DecCours*DecPasse^(B812-$B$810-1))</f>
        <v>1212.0279932429128</v>
      </c>
      <c r="K812" s="29"/>
      <c r="L812" s="30"/>
      <c r="M812" s="6"/>
    </row>
    <row r="813" spans="1:13" x14ac:dyDescent="0.25">
      <c r="A813" s="24"/>
      <c r="B813" s="35">
        <v>79</v>
      </c>
      <c r="C813" s="26">
        <v>0</v>
      </c>
      <c r="D813" s="27">
        <v>0</v>
      </c>
      <c r="E813" s="27">
        <v>0</v>
      </c>
      <c r="F813" s="27">
        <v>0</v>
      </c>
      <c r="G813" s="28"/>
      <c r="H813" s="28"/>
      <c r="I813" s="28"/>
      <c r="J813" s="26">
        <f t="array" ref="J813">SUM($G$734:$I$734*DecCours*DecPasse^(B813-$B$734-1))+SUM($G$752:$I$752*DecCours*DecPasse^(B813-$B$752-1))+SUM($G$755:$I$755*DecCours*DecPasse^(B813-$B$755-1))+SUM($G$758:$I$758*DecCours*DecPasse^(B813-$B$758-1)+SUM($G$759:$I$759*DecCours*DecPasse^(B813-$B$759-1)))+SUM($G$764:$I$764*DecCours*DecPasse^(B813-$B$764-1))+SUM($G$769:$I$769*DecCours*DecPasse^(B813-$B$769-1)+SUM($G$770:$I$770*DecCours*DecPasse^(B813-$B$770-1)))+SUM($G$774:$I$774*DecCours*DecPasse^(B813-$B$774-1))+SUM($G$776:$I$776*DecCours*DecPasse^(B813-$B$776-1))+SUM($G$779:$I$779*DecCours*DecPasse^(B813-$B$779-1)+SUM($G$780:$I$780*DecCours*DecPasse^(B813-$B$780-1)))+SUM($G$782:$I$782*DecCours*DecPasse^(B813-$B$782-1))+SUM($G$784:$I$784*DecCours*DecPasse^(B813-$B$784-1))+SUM($G$789:$I$789*DecCours*DecPasse^(B813-$B$789-1)+SUM($G$790:$I$790*DecCours*DecPasse^(B813-$B$790-1)))+SUM($G$794:$I$794*DecCours*DecPasse^(B813-$B$794-1))+SUM($G$800:$I$800*DecCours*DecPasse^(B813-$B$800-1))+SUM($G$810:$I$810*DecCours*DecPasse^(B813-$B$810-1))</f>
        <v>1184.9780746052375</v>
      </c>
      <c r="K813" s="29"/>
      <c r="L813" s="30"/>
      <c r="M813" s="6"/>
    </row>
    <row r="814" spans="1:13" x14ac:dyDescent="0.25">
      <c r="A814" s="24"/>
      <c r="B814" s="35">
        <v>80</v>
      </c>
      <c r="C814" s="26">
        <v>0</v>
      </c>
      <c r="D814" s="27">
        <v>0</v>
      </c>
      <c r="E814" s="27">
        <v>0</v>
      </c>
      <c r="F814" s="27">
        <v>0</v>
      </c>
      <c r="G814" s="28"/>
      <c r="H814" s="28"/>
      <c r="I814" s="28"/>
      <c r="J814" s="26">
        <f t="array" ref="J814">SUM($G$734:$I$734*DecCours*DecPasse^(B814-$B$734-1))+SUM($G$752:$I$752*DecCours*DecPasse^(B814-$B$752-1))+SUM($G$755:$I$755*DecCours*DecPasse^(B814-$B$755-1))+SUM($G$758:$I$758*DecCours*DecPasse^(B814-$B$758-1)+SUM($G$759:$I$759*DecCours*DecPasse^(B814-$B$759-1)))+SUM($G$764:$I$764*DecCours*DecPasse^(B814-$B$764-1))+SUM($G$769:$I$769*DecCours*DecPasse^(B814-$B$769-1)+SUM($G$770:$I$770*DecCours*DecPasse^(B814-$B$770-1)))+SUM($G$774:$I$774*DecCours*DecPasse^(B814-$B$774-1))+SUM($G$776:$I$776*DecCours*DecPasse^(B814-$B$776-1))+SUM($G$779:$I$779*DecCours*DecPasse^(B814-$B$779-1)+SUM($G$780:$I$780*DecCours*DecPasse^(B814-$B$780-1)))+SUM($G$782:$I$782*DecCours*DecPasse^(B814-$B$782-1))+SUM($G$784:$I$784*DecCours*DecPasse^(B814-$B$784-1))+SUM($G$789:$I$789*DecCours*DecPasse^(B814-$B$789-1)+SUM($G$790:$I$790*DecCours*DecPasse^(B814-$B$790-1)))+SUM($G$794:$I$794*DecCours*DecPasse^(B814-$B$794-1))+SUM($G$800:$I$800*DecCours*DecPasse^(B814-$B$800-1))+SUM($G$810:$I$810*DecCours*DecPasse^(B814-$B$810-1))</f>
        <v>1158.5786243551329</v>
      </c>
      <c r="K814" s="29"/>
      <c r="L814" s="30"/>
      <c r="M814" s="6"/>
    </row>
    <row r="815" spans="1:13" x14ac:dyDescent="0.25">
      <c r="A815" s="24"/>
      <c r="B815" s="35">
        <v>81</v>
      </c>
      <c r="C815" s="26">
        <v>0</v>
      </c>
      <c r="D815" s="27">
        <v>0</v>
      </c>
      <c r="E815" s="27">
        <v>0</v>
      </c>
      <c r="F815" s="27">
        <v>0</v>
      </c>
      <c r="G815" s="28"/>
      <c r="H815" s="28"/>
      <c r="I815" s="28"/>
      <c r="J815" s="26">
        <f t="array" ref="J815">SUM($G$734:$I$734*DecCours*DecPasse^(B815-$B$734-1))+SUM($G$752:$I$752*DecCours*DecPasse^(B815-$B$752-1))+SUM($G$755:$I$755*DecCours*DecPasse^(B815-$B$755-1))+SUM($G$758:$I$758*DecCours*DecPasse^(B815-$B$758-1)+SUM($G$759:$I$759*DecCours*DecPasse^(B815-$B$759-1)))+SUM($G$764:$I$764*DecCours*DecPasse^(B815-$B$764-1))+SUM($G$769:$I$769*DecCours*DecPasse^(B815-$B$769-1)+SUM($G$770:$I$770*DecCours*DecPasse^(B815-$B$770-1)))+SUM($G$774:$I$774*DecCours*DecPasse^(B815-$B$774-1))+SUM($G$776:$I$776*DecCours*DecPasse^(B815-$B$776-1))+SUM($G$779:$I$779*DecCours*DecPasse^(B815-$B$779-1)+SUM($G$780:$I$780*DecCours*DecPasse^(B815-$B$780-1)))+SUM($G$782:$I$782*DecCours*DecPasse^(B815-$B$782-1))+SUM($G$784:$I$784*DecCours*DecPasse^(B815-$B$784-1))+SUM($G$789:$I$789*DecCours*DecPasse^(B815-$B$789-1)+SUM($G$790:$I$790*DecCours*DecPasse^(B815-$B$790-1)))+SUM($G$794:$I$794*DecCours*DecPasse^(B815-$B$794-1))+SUM($G$800:$I$800*DecCours*DecPasse^(B815-$B$800-1))+SUM($G$810:$I$810*DecCours*DecPasse^(B815-$B$810-1))</f>
        <v>1132.8047395380963</v>
      </c>
      <c r="K815" s="29"/>
      <c r="L815" s="30"/>
      <c r="M815" s="6"/>
    </row>
    <row r="816" spans="1:13" x14ac:dyDescent="0.25">
      <c r="A816" s="24"/>
      <c r="B816" s="35">
        <v>82</v>
      </c>
      <c r="C816" s="26">
        <v>0</v>
      </c>
      <c r="D816" s="27">
        <v>0</v>
      </c>
      <c r="E816" s="27">
        <v>0</v>
      </c>
      <c r="F816" s="27">
        <v>0</v>
      </c>
      <c r="G816" s="28"/>
      <c r="H816" s="28"/>
      <c r="I816" s="28"/>
      <c r="J816" s="26">
        <f t="array" ref="J816">SUM($G$734:$I$734*DecCours*DecPasse^(B816-$B$734-1))+SUM($G$752:$I$752*DecCours*DecPasse^(B816-$B$752-1))+SUM($G$755:$I$755*DecCours*DecPasse^(B816-$B$755-1))+SUM($G$758:$I$758*DecCours*DecPasse^(B816-$B$758-1)+SUM($G$759:$I$759*DecCours*DecPasse^(B816-$B$759-1)))+SUM($G$764:$I$764*DecCours*DecPasse^(B816-$B$764-1))+SUM($G$769:$I$769*DecCours*DecPasse^(B816-$B$769-1)+SUM($G$770:$I$770*DecCours*DecPasse^(B816-$B$770-1)))+SUM($G$774:$I$774*DecCours*DecPasse^(B816-$B$774-1))+SUM($G$776:$I$776*DecCours*DecPasse^(B816-$B$776-1))+SUM($G$779:$I$779*DecCours*DecPasse^(B816-$B$779-1)+SUM($G$780:$I$780*DecCours*DecPasse^(B816-$B$780-1)))+SUM($G$782:$I$782*DecCours*DecPasse^(B816-$B$782-1))+SUM($G$784:$I$784*DecCours*DecPasse^(B816-$B$784-1))+SUM($G$789:$I$789*DecCours*DecPasse^(B816-$B$789-1)+SUM($G$790:$I$790*DecCours*DecPasse^(B816-$B$790-1)))+SUM($G$794:$I$794*DecCours*DecPasse^(B816-$B$794-1))+SUM($G$800:$I$800*DecCours*DecPasse^(B816-$B$800-1))+SUM($G$810:$I$810*DecCours*DecPasse^(B816-$B$810-1))</f>
        <v>1107.6349342891472</v>
      </c>
      <c r="K816" s="29"/>
      <c r="L816" s="30"/>
      <c r="M816" s="6"/>
    </row>
    <row r="817" spans="1:13" x14ac:dyDescent="0.25">
      <c r="A817" s="24"/>
      <c r="B817" s="35">
        <v>83</v>
      </c>
      <c r="C817" s="26">
        <v>0</v>
      </c>
      <c r="D817" s="27">
        <v>0</v>
      </c>
      <c r="E817" s="27">
        <v>0</v>
      </c>
      <c r="F817" s="27">
        <v>0</v>
      </c>
      <c r="G817" s="28"/>
      <c r="H817" s="28"/>
      <c r="I817" s="28"/>
      <c r="J817" s="26">
        <f t="array" ref="J817">SUM($G$734:$I$734*DecCours*DecPasse^(B817-$B$734-1))+SUM($G$752:$I$752*DecCours*DecPasse^(B817-$B$752-1))+SUM($G$755:$I$755*DecCours*DecPasse^(B817-$B$755-1))+SUM($G$758:$I$758*DecCours*DecPasse^(B817-$B$758-1)+SUM($G$759:$I$759*DecCours*DecPasse^(B817-$B$759-1)))+SUM($G$764:$I$764*DecCours*DecPasse^(B817-$B$764-1))+SUM($G$769:$I$769*DecCours*DecPasse^(B817-$B$769-1)+SUM($G$770:$I$770*DecCours*DecPasse^(B817-$B$770-1)))+SUM($G$774:$I$774*DecCours*DecPasse^(B817-$B$774-1))+SUM($G$776:$I$776*DecCours*DecPasse^(B817-$B$776-1))+SUM($G$779:$I$779*DecCours*DecPasse^(B817-$B$779-1)+SUM($G$780:$I$780*DecCours*DecPasse^(B817-$B$780-1)))+SUM($G$782:$I$782*DecCours*DecPasse^(B817-$B$782-1))+SUM($G$784:$I$784*DecCours*DecPasse^(B817-$B$784-1))+SUM($G$789:$I$789*DecCours*DecPasse^(B817-$B$789-1)+SUM($G$790:$I$790*DecCours*DecPasse^(B817-$B$790-1)))+SUM($G$794:$I$794*DecCours*DecPasse^(B817-$B$794-1))+SUM($G$800:$I$800*DecCours*DecPasse^(B817-$B$800-1))+SUM($G$810:$I$810*DecCours*DecPasse^(B817-$B$810-1))</f>
        <v>1083.0502322183081</v>
      </c>
      <c r="K817" s="29"/>
      <c r="L817" s="30"/>
      <c r="M817" s="6"/>
    </row>
    <row r="818" spans="1:13" x14ac:dyDescent="0.25">
      <c r="A818" s="24"/>
      <c r="B818" s="35">
        <v>84</v>
      </c>
      <c r="C818" s="26">
        <v>0</v>
      </c>
      <c r="D818" s="27">
        <v>0</v>
      </c>
      <c r="E818" s="27">
        <v>0</v>
      </c>
      <c r="F818" s="27">
        <v>0</v>
      </c>
      <c r="G818" s="28"/>
      <c r="H818" s="28"/>
      <c r="I818" s="28"/>
      <c r="J818" s="26">
        <f t="array" ref="J818">SUM($G$734:$I$734*DecCours*DecPasse^(B818-$B$734-1))+SUM($G$752:$I$752*DecCours*DecPasse^(B818-$B$752-1))+SUM($G$755:$I$755*DecCours*DecPasse^(B818-$B$755-1))+SUM($G$758:$I$758*DecCours*DecPasse^(B818-$B$758-1)+SUM($G$759:$I$759*DecCours*DecPasse^(B818-$B$759-1)))+SUM($G$764:$I$764*DecCours*DecPasse^(B818-$B$764-1))+SUM($G$769:$I$769*DecCours*DecPasse^(B818-$B$769-1)+SUM($G$770:$I$770*DecCours*DecPasse^(B818-$B$770-1)))+SUM($G$774:$I$774*DecCours*DecPasse^(B818-$B$774-1))+SUM($G$776:$I$776*DecCours*DecPasse^(B818-$B$776-1))+SUM($G$779:$I$779*DecCours*DecPasse^(B818-$B$779-1)+SUM($G$780:$I$780*DecCours*DecPasse^(B818-$B$780-1)))+SUM($G$782:$I$782*DecCours*DecPasse^(B818-$B$782-1))+SUM($G$784:$I$784*DecCours*DecPasse^(B818-$B$784-1))+SUM($G$789:$I$789*DecCours*DecPasse^(B818-$B$789-1)+SUM($G$790:$I$790*DecCours*DecPasse^(B818-$B$790-1)))+SUM($G$794:$I$794*DecCours*DecPasse^(B818-$B$794-1))+SUM($G$800:$I$800*DecCours*DecPasse^(B818-$B$800-1))+SUM($G$810:$I$810*DecCours*DecPasse^(B818-$B$810-1))</f>
        <v>1059.0335223315944</v>
      </c>
      <c r="K818" s="29"/>
      <c r="L818" s="30"/>
      <c r="M818" s="6"/>
    </row>
    <row r="819" spans="1:13" x14ac:dyDescent="0.25">
      <c r="A819" s="24"/>
      <c r="B819" s="35">
        <v>85</v>
      </c>
      <c r="C819" s="26">
        <v>0</v>
      </c>
      <c r="D819" s="27">
        <v>0</v>
      </c>
      <c r="E819" s="27">
        <v>0</v>
      </c>
      <c r="F819" s="27">
        <v>0</v>
      </c>
      <c r="G819" s="28"/>
      <c r="H819" s="28"/>
      <c r="I819" s="28"/>
      <c r="J819" s="26">
        <f t="array" ref="J819">SUM($G$734:$I$734*DecCours*DecPasse^(B819-$B$734-1))+SUM($G$752:$I$752*DecCours*DecPasse^(B819-$B$752-1))+SUM($G$755:$I$755*DecCours*DecPasse^(B819-$B$755-1))+SUM($G$758:$I$758*DecCours*DecPasse^(B819-$B$758-1)+SUM($G$759:$I$759*DecCours*DecPasse^(B819-$B$759-1)))+SUM($G$764:$I$764*DecCours*DecPasse^(B819-$B$764-1))+SUM($G$769:$I$769*DecCours*DecPasse^(B819-$B$769-1)+SUM($G$770:$I$770*DecCours*DecPasse^(B819-$B$770-1)))+SUM($G$774:$I$774*DecCours*DecPasse^(B819-$B$774-1))+SUM($G$776:$I$776*DecCours*DecPasse^(B819-$B$776-1))+SUM($G$779:$I$779*DecCours*DecPasse^(B819-$B$779-1)+SUM($G$780:$I$780*DecCours*DecPasse^(B819-$B$780-1)))+SUM($G$782:$I$782*DecCours*DecPasse^(B819-$B$782-1))+SUM($G$784:$I$784*DecCours*DecPasse^(B819-$B$784-1))+SUM($G$789:$I$789*DecCours*DecPasse^(B819-$B$789-1)+SUM($G$790:$I$790*DecCours*DecPasse^(B819-$B$790-1)))+SUM($G$794:$I$794*DecCours*DecPasse^(B819-$B$794-1))+SUM($G$800:$I$800*DecCours*DecPasse^(B819-$B$800-1))+SUM($G$810:$I$810*DecCours*DecPasse^(B819-$B$810-1))</f>
        <v>1035.569101357675</v>
      </c>
      <c r="K819" s="29"/>
      <c r="L819" s="30"/>
      <c r="M819" s="6"/>
    </row>
    <row r="820" spans="1:13" x14ac:dyDescent="0.25">
      <c r="A820" s="24" t="s">
        <v>10</v>
      </c>
      <c r="B820" s="35">
        <v>86</v>
      </c>
      <c r="C820" s="26">
        <f>108*C664</f>
        <v>108</v>
      </c>
      <c r="D820" s="27">
        <f>65%*0.84</f>
        <v>0.54600000000000004</v>
      </c>
      <c r="E820" s="27">
        <f>25%*0.84</f>
        <v>0.21</v>
      </c>
      <c r="F820" s="27">
        <v>0.1</v>
      </c>
      <c r="G820" s="28">
        <f>$C$820*D820*InfraCed*TauxC*MasseMol</f>
        <v>36.972935999999997</v>
      </c>
      <c r="H820" s="28">
        <f>$C$820*E820*InfraCed*TauxC*MasseMol</f>
        <v>14.220359999999998</v>
      </c>
      <c r="I820" s="28">
        <f>$C$820*F820*InfraCed*TauxC*MasseMol</f>
        <v>6.7715999999999985</v>
      </c>
      <c r="J820" s="26">
        <f t="array" ref="J820">SUM($G$734:$I$734*DecCours*DecPasse^(B820-$B$734-1))+SUM($G$752:$I$752*DecCours*DecPasse^(B820-$B$752-1))+SUM($G$755:$I$755*DecCours*DecPasse^(B820-$B$755-1))+SUM($G$758:$I$758*DecCours*DecPasse^(B820-$B$758-1)+SUM($G$759:$I$759*DecCours*DecPasse^(B820-$B$759-1)))+SUM($G$764:$I$764*DecCours*DecPasse^(B820-$B$764-1))+SUM($G$769:$I$769*DecCours*DecPasse^(B820-$B$769-1)+SUM($G$770:$I$770*DecCours*DecPasse^(B820-$B$770-1)))+SUM($G$774:$I$774*DecCours*DecPasse^(B820-$B$774-1))+SUM($G$776:$I$776*DecCours*DecPasse^(B820-$B$776-1))+SUM($G$779:$I$779*DecCours*DecPasse^(B820-$B$779-1)+SUM($G$780:$I$780*DecCours*DecPasse^(B820-$B$780-1)))+SUM($G$782:$I$782*DecCours*DecPasse^(B820-$B$782-1))+SUM($G$784:$I$784*DecCours*DecPasse^(B820-$B$784-1))+SUM($G$789:$I$789*DecCours*DecPasse^(B820-$B$789-1)+SUM($G$790:$I$790*DecCours*DecPasse^(B820-$B$790-1)))+SUM($G$794:$I$794*DecCours*DecPasse^(B820-$B$794-1))+SUM($G$800:$I$800*DecCours*DecPasse^(B820-$B$800-1))+SUM($G$810:$I$810*DecCours*DecPasse^(B820-$B$810-1))</f>
        <v>1012.6423479397173</v>
      </c>
      <c r="K820" s="29"/>
      <c r="L820" s="30"/>
      <c r="M820" s="6"/>
    </row>
    <row r="821" spans="1:13" x14ac:dyDescent="0.25">
      <c r="A821" s="24"/>
      <c r="B821" s="35">
        <v>87</v>
      </c>
      <c r="C821" s="26">
        <v>0</v>
      </c>
      <c r="D821" s="27">
        <v>0</v>
      </c>
      <c r="E821" s="27">
        <v>0</v>
      </c>
      <c r="F821" s="27">
        <v>0</v>
      </c>
      <c r="G821" s="28"/>
      <c r="H821" s="28"/>
      <c r="I821" s="28"/>
      <c r="J821" s="26">
        <f t="array" ref="J821">SUM($G$734:$I$734*DecCours*DecPasse^(B821-$B$734-1))+SUM($G$752:$I$752*DecCours*DecPasse^(B821-$B$752-1))+SUM($G$755:$I$755*DecCours*DecPasse^(B821-$B$755-1))+SUM($G$758:$I$758*DecCours*DecPasse^(B821-$B$758-1)+SUM($G$759:$I$759*DecCours*DecPasse^(B821-$B$759-1)))+SUM($G$764:$I$764*DecCours*DecPasse^(B821-$B$764-1))+SUM($G$769:$I$769*DecCours*DecPasse^(B821-$B$769-1)+SUM($G$770:$I$770*DecCours*DecPasse^(B821-$B$770-1)))+SUM($G$774:$I$774*DecCours*DecPasse^(B821-$B$774-1))+SUM($G$776:$I$776*DecCours*DecPasse^(B821-$B$776-1))+SUM($G$779:$I$779*DecCours*DecPasse^(B821-$B$779-1)+SUM($G$780:$I$780*DecCours*DecPasse^(B821-$B$780-1)))+SUM($G$782:$I$782*DecCours*DecPasse^(B821-$B$782-1))+SUM($G$784:$I$784*DecCours*DecPasse^(B821-$B$784-1))+SUM($G$789:$I$789*DecCours*DecPasse^(B821-$B$789-1)+SUM($G$790:$I$790*DecCours*DecPasse^(B821-$B$790-1)))+SUM($G$794:$I$794*DecCours*DecPasse^(B821-$B$794-1))+SUM($G$800:$I$800*DecCours*DecPasse^(B821-$B$800-1))+SUM($G$810:$I$810*DecCours*DecPasse^(B821-$B$810-1)) + SUM($G$820:$I$820*DecCours)</f>
        <v>1045.5450938744418</v>
      </c>
      <c r="K821" s="29"/>
      <c r="L821" s="30"/>
      <c r="M821" s="6"/>
    </row>
    <row r="822" spans="1:13" x14ac:dyDescent="0.25">
      <c r="A822" s="24"/>
      <c r="B822" s="35">
        <v>88</v>
      </c>
      <c r="C822" s="26">
        <v>0</v>
      </c>
      <c r="D822" s="27">
        <v>0</v>
      </c>
      <c r="E822" s="27">
        <v>0</v>
      </c>
      <c r="F822" s="27">
        <v>0</v>
      </c>
      <c r="G822" s="28"/>
      <c r="H822" s="28"/>
      <c r="I822" s="28"/>
      <c r="J822" s="26">
        <f t="array" ref="J822">SUM($G$734:$I$734*DecCours*DecPasse^(B822-$B$734-1))+SUM($G$752:$I$752*DecCours*DecPasse^(B822-$B$752-1))+SUM($G$755:$I$755*DecCours*DecPasse^(B822-$B$755-1))+SUM($G$758:$I$758*DecCours*DecPasse^(B822-$B$758-1)+SUM($G$759:$I$759*DecCours*DecPasse^(B822-$B$759-1)))+SUM($G$764:$I$764*DecCours*DecPasse^(B822-$B$764-1))+SUM($G$769:$I$769*DecCours*DecPasse^(B822-$B$769-1)+SUM($G$770:$I$770*DecCours*DecPasse^(B822-$B$770-1)))+SUM($G$774:$I$774*DecCours*DecPasse^(B822-$B$774-1))+SUM($G$776:$I$776*DecCours*DecPasse^(B822-$B$776-1))+SUM($G$779:$I$779*DecCours*DecPasse^(B822-$B$779-1)+SUM($G$780:$I$780*DecCours*DecPasse^(B822-$B$780-1)))+SUM($G$782:$I$782*DecCours*DecPasse^(B822-$B$782-1))+SUM($G$784:$I$784*DecCours*DecPasse^(B822-$B$784-1))+SUM($G$789:$I$789*DecCours*DecPasse^(B822-$B$789-1)+SUM($G$790:$I$790*DecCours*DecPasse^(B822-$B$790-1)))+SUM($G$794:$I$794*DecCours*DecPasse^(B822-$B$794-1))+SUM($G$800:$I$800*DecCours*DecPasse^(B822-$B$800-1))+SUM($G$810:$I$810*DecCours*DecPasse^(B822-$B$810-1))+SUM($G$820:$I$820*DecCours*DecPasse^(B822-$B$820-1))</f>
        <v>1019.2326037837673</v>
      </c>
      <c r="K822" s="29"/>
      <c r="L822" s="30"/>
      <c r="M822" s="6"/>
    </row>
    <row r="823" spans="1:13" x14ac:dyDescent="0.25">
      <c r="A823" s="24"/>
      <c r="B823" s="35">
        <v>89</v>
      </c>
      <c r="C823" s="26">
        <v>0</v>
      </c>
      <c r="D823" s="27">
        <v>0</v>
      </c>
      <c r="E823" s="27">
        <v>0</v>
      </c>
      <c r="F823" s="27">
        <v>0</v>
      </c>
      <c r="G823" s="28"/>
      <c r="H823" s="28"/>
      <c r="I823" s="28"/>
      <c r="J823" s="26">
        <f t="array" ref="J823">SUM($G$734:$I$734*DecCours*DecPasse^(B823-$B$734-1))+SUM($G$752:$I$752*DecCours*DecPasse^(B823-$B$752-1))+SUM($G$755:$I$755*DecCours*DecPasse^(B823-$B$755-1))+SUM($G$758:$I$758*DecCours*DecPasse^(B823-$B$758-1)+SUM($G$759:$I$759*DecCours*DecPasse^(B823-$B$759-1)))+SUM($G$764:$I$764*DecCours*DecPasse^(B823-$B$764-1))+SUM($G$769:$I$769*DecCours*DecPasse^(B823-$B$769-1)+SUM($G$770:$I$770*DecCours*DecPasse^(B823-$B$770-1)))+SUM($G$774:$I$774*DecCours*DecPasse^(B823-$B$774-1))+SUM($G$776:$I$776*DecCours*DecPasse^(B823-$B$776-1))+SUM($G$779:$I$779*DecCours*DecPasse^(B823-$B$779-1)+SUM($G$780:$I$780*DecCours*DecPasse^(B823-$B$780-1)))+SUM($G$782:$I$782*DecCours*DecPasse^(B823-$B$782-1))+SUM($G$784:$I$784*DecCours*DecPasse^(B823-$B$784-1))+SUM($G$789:$I$789*DecCours*DecPasse^(B823-$B$789-1)+SUM($G$790:$I$790*DecCours*DecPasse^(B823-$B$790-1)))+SUM($G$794:$I$794*DecCours*DecPasse^(B823-$B$794-1))+SUM($G$800:$I$800*DecCours*DecPasse^(B823-$B$800-1))+SUM($G$810:$I$810*DecCours*DecPasse^(B823-$B$810-1))+SUM($G$820:$I$820*DecCours*DecPasse^(B823-$B$820-1))</f>
        <v>994.46842860077879</v>
      </c>
      <c r="K823" s="29"/>
      <c r="L823" s="30"/>
      <c r="M823" s="6"/>
    </row>
    <row r="824" spans="1:13" x14ac:dyDescent="0.25">
      <c r="A824" s="24"/>
      <c r="B824" s="35">
        <v>90</v>
      </c>
      <c r="C824" s="26">
        <v>0</v>
      </c>
      <c r="D824" s="27">
        <v>0</v>
      </c>
      <c r="E824" s="27">
        <v>0</v>
      </c>
      <c r="F824" s="27">
        <v>0</v>
      </c>
      <c r="G824" s="28"/>
      <c r="H824" s="28"/>
      <c r="I824" s="28"/>
      <c r="J824" s="26">
        <f t="array" ref="J824">SUM($G$734:$I$734*DecCours*DecPasse^(B824-$B$734-1))+SUM($G$752:$I$752*DecCours*DecPasse^(B824-$B$752-1))+SUM($G$755:$I$755*DecCours*DecPasse^(B824-$B$755-1))+SUM($G$758:$I$758*DecCours*DecPasse^(B824-$B$758-1)+SUM($G$759:$I$759*DecCours*DecPasse^(B824-$B$759-1)))+SUM($G$764:$I$764*DecCours*DecPasse^(B824-$B$764-1))+SUM($G$769:$I$769*DecCours*DecPasse^(B824-$B$769-1)+SUM($G$770:$I$770*DecCours*DecPasse^(B824-$B$770-1)))+SUM($G$774:$I$774*DecCours*DecPasse^(B824-$B$774-1))+SUM($G$776:$I$776*DecCours*DecPasse^(B824-$B$776-1))+SUM($G$779:$I$779*DecCours*DecPasse^(B824-$B$779-1)+SUM($G$780:$I$780*DecCours*DecPasse^(B824-$B$780-1)))+SUM($G$782:$I$782*DecCours*DecPasse^(B824-$B$782-1))+SUM($G$784:$I$784*DecCours*DecPasse^(B824-$B$784-1))+SUM($G$789:$I$789*DecCours*DecPasse^(B824-$B$789-1)+SUM($G$790:$I$790*DecCours*DecPasse^(B824-$B$790-1)))+SUM($G$794:$I$794*DecCours*DecPasse^(B824-$B$794-1))+SUM($G$800:$I$800*DecCours*DecPasse^(B824-$B$800-1))+SUM($G$810:$I$810*DecCours*DecPasse^(B824-$B$810-1))+SUM($G$820:$I$820*DecCours*DecPasse^(B824-$B$820-1))</f>
        <v>970.93814431494843</v>
      </c>
      <c r="K824" s="29"/>
      <c r="L824" s="30"/>
      <c r="M824" s="6"/>
    </row>
    <row r="825" spans="1:13" x14ac:dyDescent="0.25">
      <c r="A825" s="24"/>
      <c r="B825" s="35">
        <v>91</v>
      </c>
      <c r="C825" s="26">
        <v>0</v>
      </c>
      <c r="D825" s="27">
        <v>0</v>
      </c>
      <c r="E825" s="27">
        <v>0</v>
      </c>
      <c r="F825" s="27">
        <v>0</v>
      </c>
      <c r="G825" s="28"/>
      <c r="H825" s="28"/>
      <c r="I825" s="28"/>
      <c r="J825" s="26">
        <f t="array" ref="J825">SUM($G$734:$I$734*DecCours*DecPasse^(B825-$B$734-1))+SUM($G$752:$I$752*DecCours*DecPasse^(B825-$B$752-1))+SUM($G$755:$I$755*DecCours*DecPasse^(B825-$B$755-1))+SUM($G$758:$I$758*DecCours*DecPasse^(B825-$B$758-1)+SUM($G$759:$I$759*DecCours*DecPasse^(B825-$B$759-1)))+SUM($G$764:$I$764*DecCours*DecPasse^(B825-$B$764-1))+SUM($G$769:$I$769*DecCours*DecPasse^(B825-$B$769-1)+SUM($G$770:$I$770*DecCours*DecPasse^(B825-$B$770-1)))+SUM($G$774:$I$774*DecCours*DecPasse^(B825-$B$774-1))+SUM($G$776:$I$776*DecCours*DecPasse^(B825-$B$776-1))+SUM($G$779:$I$779*DecCours*DecPasse^(B825-$B$779-1)+SUM($G$780:$I$780*DecCours*DecPasse^(B825-$B$780-1)))+SUM($G$782:$I$782*DecCours*DecPasse^(B825-$B$782-1))+SUM($G$784:$I$784*DecCours*DecPasse^(B825-$B$784-1))+SUM($G$789:$I$789*DecCours*DecPasse^(B825-$B$789-1)+SUM($G$790:$I$790*DecCours*DecPasse^(B825-$B$790-1)))+SUM($G$794:$I$794*DecCours*DecPasse^(B825-$B$794-1))+SUM($G$800:$I$800*DecCours*DecPasse^(B825-$B$800-1))+SUM($G$810:$I$810*DecCours*DecPasse^(B825-$B$810-1))+SUM($G$820:$I$820*DecCours*DecPasse^(B825-$B$820-1))</f>
        <v>948.41619204104336</v>
      </c>
      <c r="K825" s="29"/>
      <c r="L825" s="30"/>
      <c r="M825" s="6"/>
    </row>
    <row r="826" spans="1:13" x14ac:dyDescent="0.25">
      <c r="A826" s="24"/>
      <c r="B826" s="35">
        <v>92</v>
      </c>
      <c r="C826" s="26">
        <v>0</v>
      </c>
      <c r="D826" s="27">
        <v>0</v>
      </c>
      <c r="E826" s="27">
        <v>0</v>
      </c>
      <c r="F826" s="27">
        <v>0</v>
      </c>
      <c r="G826" s="28"/>
      <c r="H826" s="28"/>
      <c r="I826" s="28"/>
      <c r="J826" s="26">
        <f t="array" ref="J826">SUM($G$734:$I$734*DecCours*DecPasse^(B826-$B$734-1))+SUM($G$752:$I$752*DecCours*DecPasse^(B826-$B$752-1))+SUM($G$755:$I$755*DecCours*DecPasse^(B826-$B$755-1))+SUM($G$758:$I$758*DecCours*DecPasse^(B826-$B$758-1)+SUM($G$759:$I$759*DecCours*DecPasse^(B826-$B$759-1)))+SUM($G$764:$I$764*DecCours*DecPasse^(B826-$B$764-1))+SUM($G$769:$I$769*DecCours*DecPasse^(B826-$B$769-1)+SUM($G$770:$I$770*DecCours*DecPasse^(B826-$B$770-1)))+SUM($G$774:$I$774*DecCours*DecPasse^(B826-$B$774-1))+SUM($G$776:$I$776*DecCours*DecPasse^(B826-$B$776-1))+SUM($G$779:$I$779*DecCours*DecPasse^(B826-$B$779-1)+SUM($G$780:$I$780*DecCours*DecPasse^(B826-$B$780-1)))+SUM($G$782:$I$782*DecCours*DecPasse^(B826-$B$782-1))+SUM($G$784:$I$784*DecCours*DecPasse^(B826-$B$784-1))+SUM($G$789:$I$789*DecCours*DecPasse^(B826-$B$789-1)+SUM($G$790:$I$790*DecCours*DecPasse^(B826-$B$790-1)))+SUM($G$794:$I$794*DecCours*DecPasse^(B826-$B$794-1))+SUM($G$800:$I$800*DecCours*DecPasse^(B826-$B$800-1))+SUM($G$810:$I$810*DecCours*DecPasse^(B826-$B$810-1))+SUM($G$820:$I$820*DecCours*DecPasse^(B826-$B$820-1))</f>
        <v>926.73992700321389</v>
      </c>
      <c r="K826" s="29"/>
      <c r="L826" s="30"/>
      <c r="M826" s="6"/>
    </row>
    <row r="827" spans="1:13" x14ac:dyDescent="0.25">
      <c r="A827" s="24"/>
      <c r="B827" s="35">
        <v>93</v>
      </c>
      <c r="C827" s="26">
        <v>0</v>
      </c>
      <c r="D827" s="27">
        <v>0</v>
      </c>
      <c r="E827" s="27">
        <v>0</v>
      </c>
      <c r="F827" s="27">
        <v>0</v>
      </c>
      <c r="G827" s="28"/>
      <c r="H827" s="28"/>
      <c r="I827" s="28"/>
      <c r="J827" s="26">
        <f t="array" ref="J827">SUM($G$734:$I$734*DecCours*DecPasse^(B827-$B$734-1))+SUM($G$752:$I$752*DecCours*DecPasse^(B827-$B$752-1))+SUM($G$755:$I$755*DecCours*DecPasse^(B827-$B$755-1))+SUM($G$758:$I$758*DecCours*DecPasse^(B827-$B$758-1)+SUM($G$759:$I$759*DecCours*DecPasse^(B827-$B$759-1)))+SUM($G$764:$I$764*DecCours*DecPasse^(B827-$B$764-1))+SUM($G$769:$I$769*DecCours*DecPasse^(B827-$B$769-1)+SUM($G$770:$I$770*DecCours*DecPasse^(B827-$B$770-1)))+SUM($G$774:$I$774*DecCours*DecPasse^(B827-$B$774-1))+SUM($G$776:$I$776*DecCours*DecPasse^(B827-$B$776-1))+SUM($G$779:$I$779*DecCours*DecPasse^(B827-$B$779-1)+SUM($G$780:$I$780*DecCours*DecPasse^(B827-$B$780-1)))+SUM($G$782:$I$782*DecCours*DecPasse^(B827-$B$782-1))+SUM($G$784:$I$784*DecCours*DecPasse^(B827-$B$784-1))+SUM($G$789:$I$789*DecCours*DecPasse^(B827-$B$789-1)+SUM($G$790:$I$790*DecCours*DecPasse^(B827-$B$790-1)))+SUM($G$794:$I$794*DecCours*DecPasse^(B827-$B$794-1))+SUM($G$800:$I$800*DecCours*DecPasse^(B827-$B$800-1))+SUM($G$810:$I$810*DecCours*DecPasse^(B827-$B$810-1))+SUM($G$820:$I$820*DecCours*DecPasse^(B827-$B$820-1))</f>
        <v>905.79126651193781</v>
      </c>
      <c r="K827" s="29"/>
      <c r="L827" s="30"/>
      <c r="M827" s="6"/>
    </row>
    <row r="828" spans="1:13" x14ac:dyDescent="0.25">
      <c r="A828" s="24"/>
      <c r="B828" s="35">
        <v>94</v>
      </c>
      <c r="C828" s="26">
        <v>0</v>
      </c>
      <c r="D828" s="27">
        <v>0</v>
      </c>
      <c r="E828" s="27">
        <v>0</v>
      </c>
      <c r="F828" s="27">
        <v>0</v>
      </c>
      <c r="G828" s="28"/>
      <c r="H828" s="28"/>
      <c r="I828" s="28"/>
      <c r="J828" s="26">
        <f t="array" ref="J828">SUM($G$734:$I$734*DecCours*DecPasse^(B828-$B$734-1))+SUM($G$752:$I$752*DecCours*DecPasse^(B828-$B$752-1))+SUM($G$755:$I$755*DecCours*DecPasse^(B828-$B$755-1))+SUM($G$758:$I$758*DecCours*DecPasse^(B828-$B$758-1)+SUM($G$759:$I$759*DecCours*DecPasse^(B828-$B$759-1)))+SUM($G$764:$I$764*DecCours*DecPasse^(B828-$B$764-1))+SUM($G$769:$I$769*DecCours*DecPasse^(B828-$B$769-1)+SUM($G$770:$I$770*DecCours*DecPasse^(B828-$B$770-1)))+SUM($G$774:$I$774*DecCours*DecPasse^(B828-$B$774-1))+SUM($G$776:$I$776*DecCours*DecPasse^(B828-$B$776-1))+SUM($G$779:$I$779*DecCours*DecPasse^(B828-$B$779-1)+SUM($G$780:$I$780*DecCours*DecPasse^(B828-$B$780-1)))+SUM($G$782:$I$782*DecCours*DecPasse^(B828-$B$782-1))+SUM($G$784:$I$784*DecCours*DecPasse^(B828-$B$784-1))+SUM($G$789:$I$789*DecCours*DecPasse^(B828-$B$789-1)+SUM($G$790:$I$790*DecCours*DecPasse^(B828-$B$790-1)))+SUM($G$794:$I$794*DecCours*DecPasse^(B828-$B$794-1))+SUM($G$800:$I$800*DecCours*DecPasse^(B828-$B$800-1))+SUM($G$810:$I$810*DecCours*DecPasse^(B828-$B$810-1))+SUM($G$820:$I$820*DecCours*DecPasse^(B828-$B$820-1))</f>
        <v>885.48371128751148</v>
      </c>
      <c r="K828" s="29"/>
      <c r="L828" s="30"/>
      <c r="M828" s="6"/>
    </row>
    <row r="829" spans="1:13" ht="16.5" thickBot="1" x14ac:dyDescent="0.3">
      <c r="A829" s="24" t="s">
        <v>10</v>
      </c>
      <c r="B829" s="37">
        <v>95</v>
      </c>
      <c r="C829" s="20">
        <f>103*C664</f>
        <v>103</v>
      </c>
      <c r="D829" s="21">
        <f>60%*0.84</f>
        <v>0.504</v>
      </c>
      <c r="E829" s="21">
        <f>30%*0.84</f>
        <v>0.252</v>
      </c>
      <c r="F829" s="21">
        <v>0.1</v>
      </c>
      <c r="G829" s="22">
        <f>$C$829*D829*InfraCed*TauxC*MasseMol</f>
        <v>32.548823999999989</v>
      </c>
      <c r="H829" s="22">
        <f>$C$829*E829*InfraCed*TauxC*MasseMol</f>
        <v>16.274411999999995</v>
      </c>
      <c r="I829" s="22">
        <f>$C$829*F829*InfraCed*TauxC*MasseMol</f>
        <v>6.4581</v>
      </c>
      <c r="J829" s="20">
        <f t="array" ref="J829">SUM($G$734:$I$734*DecCours*DecPasse^(B829-$B$734-1))+SUM($G$752:$I$752*DecCours*DecPasse^(B829-$B$752-1))+SUM($G$755:$I$755*DecCours*DecPasse^(B829-$B$755-1))+SUM($G$758:$I$758*DecCours*DecPasse^(B829-$B$758-1)+SUM($G$759:$I$759*DecCours*DecPasse^(B829-$B$759-1)))+SUM($G$764:$I$764*DecCours*DecPasse^(B829-$B$764-1))+SUM($G$769:$I$769*DecCours*DecPasse^(B829-$B$769-1)+SUM($G$770:$I$770*DecCours*DecPasse^(B829-$B$770-1)))+SUM($G$774:$I$774*DecCours*DecPasse^(B829-$B$774-1))+SUM($G$776:$I$776*DecCours*DecPasse^(B829-$B$776-1))+SUM($G$779:$I$779*DecCours*DecPasse^(B829-$B$779-1)+SUM($G$780:$I$780*DecCours*DecPasse^(B829-$B$780-1)))+SUM($G$782:$I$782*DecCours*DecPasse^(B829-$B$782-1))+SUM($G$784:$I$784*DecCours*DecPasse^(B829-$B$784-1))+SUM($G$789:$I$789*DecCours*DecPasse^(B829-$B$789-1)+SUM($G$790:$I$790*DecCours*DecPasse^(B829-$B$790-1)))+SUM($G$794:$I$794*DecCours*DecPasse^(B829-$B$794-1))+SUM($G$800:$I$800*DecCours*DecPasse^(B829-$B$800-1))+SUM($G$810:$I$810*DecCours*DecPasse^(B829-$B$810-1))+SUM($G$820:$I$820*DecCours*DecPasse^(B829-$B$820-1))</f>
        <v>865.75316635929278</v>
      </c>
      <c r="K829" s="23"/>
      <c r="L829" s="31"/>
      <c r="M829" s="6"/>
    </row>
    <row r="831" spans="1:13" x14ac:dyDescent="0.25">
      <c r="A831" s="151" t="s">
        <v>88</v>
      </c>
    </row>
    <row r="833" spans="1:41" ht="20.25" x14ac:dyDescent="0.3">
      <c r="A833" s="135" t="s">
        <v>19</v>
      </c>
    </row>
    <row r="834" spans="1:41" x14ac:dyDescent="0.25">
      <c r="A834" s="153" t="s">
        <v>89</v>
      </c>
    </row>
    <row r="835" spans="1:41" customFormat="1" ht="16.5" thickBot="1" x14ac:dyDescent="0.3">
      <c r="AA835" s="127"/>
      <c r="AH835" s="127"/>
      <c r="AO835" s="127"/>
    </row>
    <row r="836" spans="1:41" customFormat="1" ht="19.5" thickBot="1" x14ac:dyDescent="0.35">
      <c r="A836" s="178" t="s">
        <v>64</v>
      </c>
      <c r="B836" s="179"/>
      <c r="C836" s="179"/>
      <c r="D836" s="179"/>
      <c r="E836" s="179" t="s">
        <v>65</v>
      </c>
      <c r="F836" s="179"/>
      <c r="G836" s="179"/>
      <c r="H836" s="180"/>
      <c r="AA836" s="127"/>
      <c r="AH836" s="127"/>
      <c r="AO836" s="127"/>
    </row>
    <row r="837" spans="1:41" ht="81.95" customHeight="1" x14ac:dyDescent="0.25">
      <c r="A837" s="130" t="s">
        <v>34</v>
      </c>
      <c r="B837" s="141">
        <f>F35*(C79+C218)+ M35*C355+T35*(C493+C662) +AA35*C663+(C664+C494)*AH35</f>
        <v>6584.4459983144707</v>
      </c>
      <c r="C837" s="131" t="s">
        <v>73</v>
      </c>
      <c r="D837" s="132">
        <f>(SUM(F5:F70)/A70)*(C79+C218) + (SUM(M5:M70)/H70)*C355 + (SUM(T5:T65)/O65)*(C493+C662) + (SUM(AA5:AA65)/V65)*C663 + (SUM(AH5:AH348)/AC348)*(C494+C664)</f>
        <v>6636.5653265071815</v>
      </c>
      <c r="E837" s="108" t="s">
        <v>72</v>
      </c>
      <c r="F837" s="145">
        <f>SUM(J151:J180) + SUM(J289:J318) + SUM(J426:J455) + SUM(J565:J594) + SUM(J735:J764)</f>
        <v>50276.603909423247</v>
      </c>
      <c r="G837" s="133" t="s">
        <v>20</v>
      </c>
      <c r="H837" s="134">
        <f>SUM(J151:J215) + SUM(J289:J353) + SUM(J426:J490) + SUM(J565:J659) + SUM(J735:J829)</f>
        <v>175196.47275857202</v>
      </c>
    </row>
    <row r="838" spans="1:41" ht="134.1" customHeight="1" thickBot="1" x14ac:dyDescent="0.3">
      <c r="A838" s="112" t="s">
        <v>35</v>
      </c>
      <c r="B838" s="142">
        <f>AO35*10.42</f>
        <v>3657.4054561773364</v>
      </c>
      <c r="C838" s="112" t="s">
        <v>74</v>
      </c>
      <c r="D838" s="143">
        <f>(SUM(AO5:AO70)/AJ70)*10.42</f>
        <v>3758.3584403246427</v>
      </c>
      <c r="E838" s="108" t="s">
        <v>21</v>
      </c>
      <c r="F838" s="144">
        <f>SUM(J84:J113)+SUM(J223:J252)+SUM(J360:J389)+SUM(J499:J528)+SUM(J669:J698)</f>
        <v>47016.095419926234</v>
      </c>
      <c r="G838" s="110" t="s">
        <v>66</v>
      </c>
      <c r="H838" s="50">
        <f>SUM(J84:J148,J223:J287,J360:J424,J499:J563,J669:J733)</f>
        <v>74388.190900856207</v>
      </c>
    </row>
    <row r="839" spans="1:41" ht="48" thickBot="1" x14ac:dyDescent="0.3">
      <c r="A839" s="114" t="s">
        <v>36</v>
      </c>
      <c r="B839" s="139">
        <f>B837-B838</f>
        <v>2927.0405421371343</v>
      </c>
      <c r="C839" s="113" t="s">
        <v>37</v>
      </c>
      <c r="D839" s="140">
        <f>D837-D838</f>
        <v>2878.2068861825387</v>
      </c>
      <c r="E839" s="109" t="s">
        <v>22</v>
      </c>
      <c r="F839" s="146">
        <f>F837-F838</f>
        <v>3260.5084894970132</v>
      </c>
      <c r="G839" s="111" t="s">
        <v>23</v>
      </c>
      <c r="H839" s="51">
        <f>H837-H838</f>
        <v>100808.28185771582</v>
      </c>
    </row>
    <row r="840" spans="1:41" ht="16.5" thickBot="1" x14ac:dyDescent="0.3">
      <c r="A840" s="62"/>
      <c r="B840" s="62"/>
      <c r="C840" s="152" t="s">
        <v>38</v>
      </c>
      <c r="D840" s="76">
        <f>MIN(B839,D839)</f>
        <v>2878.2068861825387</v>
      </c>
      <c r="E840"/>
      <c r="F840"/>
      <c r="G840" s="152" t="s">
        <v>24</v>
      </c>
      <c r="H840" s="76">
        <f>MIN(F839,H839)</f>
        <v>3260.5084894970132</v>
      </c>
    </row>
    <row r="841" spans="1:41" x14ac:dyDescent="0.25">
      <c r="A841" s="62"/>
      <c r="B841" s="62"/>
      <c r="C841" s="77" t="s">
        <v>39</v>
      </c>
      <c r="D841" s="78">
        <v>0.05</v>
      </c>
      <c r="E841" s="150" t="s">
        <v>71</v>
      </c>
      <c r="F841" s="62"/>
      <c r="G841" s="77" t="s">
        <v>39</v>
      </c>
      <c r="H841" s="78">
        <v>0.05</v>
      </c>
    </row>
    <row r="842" spans="1:41" ht="16.5" thickBot="1" x14ac:dyDescent="0.3">
      <c r="A842" s="62"/>
      <c r="B842" s="62"/>
      <c r="C842" s="59" t="s">
        <v>40</v>
      </c>
      <c r="D842" s="58">
        <v>0.1</v>
      </c>
      <c r="E842" s="150" t="s">
        <v>70</v>
      </c>
      <c r="F842" s="62"/>
      <c r="G842" s="59" t="s">
        <v>40</v>
      </c>
      <c r="H842" s="58">
        <v>0.1</v>
      </c>
    </row>
    <row r="843" spans="1:41" ht="16.5" thickBot="1" x14ac:dyDescent="0.3">
      <c r="A843" s="62"/>
      <c r="B843" s="62"/>
      <c r="C843" s="152" t="s">
        <v>38</v>
      </c>
      <c r="D843" s="76">
        <f>D840*(1-D841)*(1-D842)</f>
        <v>2460.8668876860706</v>
      </c>
      <c r="E843" s="62"/>
      <c r="F843" s="62"/>
      <c r="G843" s="152" t="s">
        <v>24</v>
      </c>
      <c r="H843" s="76">
        <f>H840*(1-H841)*(1-H842)</f>
        <v>2787.7347585199464</v>
      </c>
    </row>
    <row r="844" spans="1:41" x14ac:dyDescent="0.25">
      <c r="A844" s="6"/>
      <c r="B844" s="6"/>
      <c r="C844" s="6"/>
      <c r="D844" s="6"/>
    </row>
    <row r="845" spans="1:41" ht="16.5" thickBot="1" x14ac:dyDescent="0.3"/>
    <row r="846" spans="1:41" ht="16.5" thickBot="1" x14ac:dyDescent="0.3">
      <c r="C846" s="152" t="s">
        <v>25</v>
      </c>
      <c r="D846" s="76">
        <f>SUM(L150:L180,L288:L318,L425:L455,L564:L594,L734:L764)-SUM(L83,L222,L359,L498,L668)</f>
        <v>1041.7188768000005</v>
      </c>
    </row>
    <row r="847" spans="1:41" x14ac:dyDescent="0.25">
      <c r="C847" s="77" t="s">
        <v>39</v>
      </c>
      <c r="D847" s="78">
        <v>0.05</v>
      </c>
    </row>
    <row r="848" spans="1:41" ht="16.5" thickBot="1" x14ac:dyDescent="0.3">
      <c r="C848" s="59" t="s">
        <v>40</v>
      </c>
      <c r="D848" s="58">
        <v>0.1</v>
      </c>
    </row>
    <row r="849" spans="1:6" ht="16.5" thickBot="1" x14ac:dyDescent="0.3">
      <c r="C849" s="152" t="s">
        <v>67</v>
      </c>
      <c r="D849" s="76">
        <f>D846*(1-D847)*(1-D848)</f>
        <v>890.66963966400044</v>
      </c>
    </row>
    <row r="851" spans="1:6" x14ac:dyDescent="0.25">
      <c r="A851" s="62"/>
      <c r="B851" s="62"/>
      <c r="C851" s="62"/>
      <c r="D851" s="62"/>
      <c r="E851" s="62"/>
      <c r="F851" s="62"/>
    </row>
    <row r="852" spans="1:6" ht="16.5" thickBot="1" x14ac:dyDescent="0.3">
      <c r="A852" s="62"/>
      <c r="B852" s="62"/>
      <c r="C852" s="62"/>
      <c r="D852" s="62"/>
      <c r="E852" s="62"/>
      <c r="F852" s="62"/>
    </row>
    <row r="853" spans="1:6" ht="18.75" thickBot="1" x14ac:dyDescent="0.3">
      <c r="A853" s="62"/>
      <c r="B853" s="181" t="s">
        <v>68</v>
      </c>
      <c r="C853" s="182"/>
      <c r="D853" s="137">
        <f>D843+H843+D849</f>
        <v>6139.2712858700179</v>
      </c>
      <c r="E853" s="147"/>
      <c r="F853" s="62"/>
    </row>
    <row r="854" spans="1:6" x14ac:dyDescent="0.25">
      <c r="A854" s="62"/>
      <c r="B854" s="62"/>
      <c r="C854" s="62"/>
      <c r="D854" s="62"/>
      <c r="E854" s="148"/>
      <c r="F854" s="62"/>
    </row>
    <row r="855" spans="1:6" x14ac:dyDescent="0.25">
      <c r="A855" s="62"/>
      <c r="B855" s="62"/>
      <c r="C855" s="62"/>
      <c r="D855" s="62"/>
      <c r="E855" s="62"/>
      <c r="F855" s="62"/>
    </row>
    <row r="856" spans="1:6" x14ac:dyDescent="0.25">
      <c r="A856" s="62"/>
      <c r="B856" s="62"/>
      <c r="C856" s="62"/>
      <c r="D856" s="62"/>
      <c r="E856" s="62"/>
      <c r="F856" s="62"/>
    </row>
    <row r="857" spans="1:6" x14ac:dyDescent="0.25">
      <c r="A857" s="62"/>
      <c r="B857" s="62"/>
      <c r="C857" s="62"/>
      <c r="D857" s="62"/>
      <c r="E857" s="62"/>
      <c r="F857" s="62"/>
    </row>
    <row r="858" spans="1:6" x14ac:dyDescent="0.25">
      <c r="A858" s="62"/>
      <c r="B858" s="62"/>
      <c r="C858" s="62"/>
      <c r="D858" s="62"/>
      <c r="E858" s="62"/>
      <c r="F858" s="62"/>
    </row>
    <row r="859" spans="1:6" x14ac:dyDescent="0.25">
      <c r="A859" s="62"/>
      <c r="B859" s="62"/>
      <c r="C859" s="62"/>
      <c r="D859" s="62"/>
      <c r="E859" s="62"/>
      <c r="F859" s="62"/>
    </row>
    <row r="860" spans="1:6" x14ac:dyDescent="0.25">
      <c r="A860" s="62"/>
      <c r="B860" s="62"/>
      <c r="C860" s="62"/>
      <c r="D860" s="62"/>
      <c r="E860" s="62"/>
      <c r="F860" s="62"/>
    </row>
    <row r="861" spans="1:6" x14ac:dyDescent="0.25">
      <c r="A861" s="62"/>
      <c r="B861" s="62"/>
      <c r="C861" s="62"/>
      <c r="D861" s="62"/>
      <c r="E861" s="62"/>
      <c r="F861" s="62"/>
    </row>
    <row r="862" spans="1:6" x14ac:dyDescent="0.25">
      <c r="A862" s="62"/>
      <c r="B862" s="62"/>
      <c r="C862" s="62"/>
      <c r="D862" s="62"/>
      <c r="E862" s="62"/>
      <c r="F862" s="62"/>
    </row>
    <row r="863" spans="1:6" ht="20.25" x14ac:dyDescent="0.3">
      <c r="A863" s="136"/>
      <c r="B863" s="62"/>
      <c r="C863" s="62"/>
      <c r="D863" s="62"/>
      <c r="E863" s="62"/>
      <c r="F863" s="62"/>
    </row>
    <row r="864" spans="1:6" x14ac:dyDescent="0.25">
      <c r="A864" s="62"/>
      <c r="B864" s="62"/>
      <c r="C864" s="62"/>
      <c r="D864" s="62"/>
      <c r="E864" s="62"/>
      <c r="F864" s="62"/>
    </row>
    <row r="897" spans="1:6" x14ac:dyDescent="0.25">
      <c r="A897" s="62"/>
      <c r="B897" s="62"/>
      <c r="C897" s="62"/>
      <c r="D897" s="62"/>
      <c r="E897" s="62"/>
      <c r="F897" s="62"/>
    </row>
    <row r="898" spans="1:6" x14ac:dyDescent="0.25">
      <c r="A898" s="62"/>
      <c r="B898" s="62"/>
      <c r="C898" s="62"/>
      <c r="D898" s="62"/>
      <c r="E898" s="62"/>
      <c r="F898" s="62"/>
    </row>
  </sheetData>
  <mergeCells count="25">
    <mergeCell ref="A836:D836"/>
    <mergeCell ref="E836:H836"/>
    <mergeCell ref="B853:C853"/>
    <mergeCell ref="O3:P3"/>
    <mergeCell ref="V3:W3"/>
    <mergeCell ref="D81:F81"/>
    <mergeCell ref="G81:I81"/>
    <mergeCell ref="D220:F220"/>
    <mergeCell ref="G220:I220"/>
    <mergeCell ref="D357:F357"/>
    <mergeCell ref="G357:I357"/>
    <mergeCell ref="D496:F496"/>
    <mergeCell ref="G496:I496"/>
    <mergeCell ref="D666:F666"/>
    <mergeCell ref="G666:I666"/>
    <mergeCell ref="AC3:AD3"/>
    <mergeCell ref="AJ3:AK3"/>
    <mergeCell ref="A1:F1"/>
    <mergeCell ref="H1:M1"/>
    <mergeCell ref="O1:T1"/>
    <mergeCell ref="V1:AA1"/>
    <mergeCell ref="AC1:AH1"/>
    <mergeCell ref="AJ1:AO1"/>
    <mergeCell ref="A3:B3"/>
    <mergeCell ref="H3:I3"/>
  </mergeCells>
  <hyperlinks>
    <hyperlink ref="A76"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21</vt:i4>
      </vt:variant>
    </vt:vector>
  </HeadingPairs>
  <TitlesOfParts>
    <vt:vector size="23" baseType="lpstr">
      <vt:lpstr>Paramètres</vt:lpstr>
      <vt:lpstr>Analyse_carbone</vt:lpstr>
      <vt:lpstr>Clitiere</vt:lpstr>
      <vt:lpstr>Coefficient_de_substitution</vt:lpstr>
      <vt:lpstr>CoefSubEmballage</vt:lpstr>
      <vt:lpstr>CoefSubEnergie</vt:lpstr>
      <vt:lpstr>CoefSubPanneaux</vt:lpstr>
      <vt:lpstr>CoefSubSciage</vt:lpstr>
      <vt:lpstr>CoefSubst</vt:lpstr>
      <vt:lpstr>Csol</vt:lpstr>
      <vt:lpstr>DecCours</vt:lpstr>
      <vt:lpstr>DecPasse</vt:lpstr>
      <vt:lpstr>Demi_vie</vt:lpstr>
      <vt:lpstr>InfraBoul</vt:lpstr>
      <vt:lpstr>InfraCed</vt:lpstr>
      <vt:lpstr>InfraDg</vt:lpstr>
      <vt:lpstr>InfraFs</vt:lpstr>
      <vt:lpstr>InfraHet</vt:lpstr>
      <vt:lpstr>InfraMel</vt:lpstr>
      <vt:lpstr>InfraPinL</vt:lpstr>
      <vt:lpstr>InfraRx</vt:lpstr>
      <vt:lpstr>MasseMol</vt:lpstr>
      <vt:lpstr>TauxC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JOUBIN Maguelonne</cp:lastModifiedBy>
  <dcterms:created xsi:type="dcterms:W3CDTF">2020-04-08T12:44:41Z</dcterms:created>
  <dcterms:modified xsi:type="dcterms:W3CDTF">2020-11-16T15:05:23Z</dcterms:modified>
</cp:coreProperties>
</file>