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on\Desktop\Google Drive\CABINET LORNE\2_LABEL CARBONE\Projet\RECONSTITUTION - LAVARE (72)\"/>
    </mc:Choice>
  </mc:AlternateContent>
  <bookViews>
    <workbookView xWindow="0" yWindow="0" windowWidth="3816" windowHeight="2484" tabRatio="764"/>
  </bookViews>
  <sheets>
    <sheet name="Methode VERRA" sheetId="25" r:id="rId1"/>
    <sheet name="2-REA" sheetId="24" r:id="rId2"/>
    <sheet name="VAN" sheetId="1" r:id="rId3"/>
    <sheet name="Prix" sheetId="8" r:id="rId4"/>
    <sheet name="Liste" sheetId="19" r:id="rId5"/>
  </sheets>
  <externalReferences>
    <externalReference r:id="rId6"/>
  </externalReferences>
  <definedNames>
    <definedName name="CF" localSheetId="0">[1]Liste!$B$1:$G$1</definedName>
    <definedName name="CF">Liste!$B$1:$G$1</definedName>
    <definedName name="d" localSheetId="0">[1]!Tableau2[#Data]</definedName>
    <definedName name="d">Tableau2[]</definedName>
    <definedName name="ESS" localSheetId="0">[1]Liste!$A$2:$A$11</definedName>
    <definedName name="ESS">Liste!$A$2:$A$11</definedName>
    <definedName name="Rab" localSheetId="0">[1]Liste!$A$55:$A$58</definedName>
    <definedName name="Rab">Liste!$A$55:$A$58</definedName>
    <definedName name="Tc">#REF!</definedName>
    <definedName name="TP" localSheetId="0">[1]Liste!$B$2:$G$11</definedName>
    <definedName name="TP">Liste!$B$2:$G$11</definedName>
    <definedName name="TPR" localSheetId="0">[1]Liste!$A$43:$A$52</definedName>
    <definedName name="TPR">Liste!$A$43:$A$52</definedName>
  </definedNames>
  <calcPr calcId="152511"/>
  <pivotCaches>
    <pivotCache cacheId="7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6" i="25" l="1"/>
  <c r="B236" i="25"/>
  <c r="B235" i="25"/>
  <c r="C235" i="25" s="1"/>
  <c r="B234" i="25"/>
  <c r="C234" i="25" s="1"/>
  <c r="B233" i="25"/>
  <c r="C233" i="25" s="1"/>
  <c r="C232" i="25"/>
  <c r="B232" i="25"/>
  <c r="B231" i="25"/>
  <c r="C231" i="25" s="1"/>
  <c r="B230" i="25"/>
  <c r="C230" i="25" s="1"/>
  <c r="B229" i="25"/>
  <c r="C229" i="25" s="1"/>
  <c r="C228" i="25"/>
  <c r="B228" i="25"/>
  <c r="B227" i="25"/>
  <c r="C227" i="25" s="1"/>
  <c r="B226" i="25"/>
  <c r="C226" i="25" s="1"/>
  <c r="B225" i="25"/>
  <c r="C225" i="25" s="1"/>
  <c r="C224" i="25"/>
  <c r="B224" i="25"/>
  <c r="B223" i="25"/>
  <c r="C223" i="25" s="1"/>
  <c r="B222" i="25"/>
  <c r="C222" i="25" s="1"/>
  <c r="B221" i="25"/>
  <c r="C221" i="25" s="1"/>
  <c r="C220" i="25"/>
  <c r="B220" i="25"/>
  <c r="B219" i="25"/>
  <c r="C219" i="25" s="1"/>
  <c r="B218" i="25"/>
  <c r="C218" i="25" s="1"/>
  <c r="B217" i="25"/>
  <c r="C217" i="25" s="1"/>
  <c r="C216" i="25"/>
  <c r="B216" i="25"/>
  <c r="B215" i="25"/>
  <c r="C215" i="25" s="1"/>
  <c r="B214" i="25"/>
  <c r="C214" i="25" s="1"/>
  <c r="B213" i="25"/>
  <c r="C213" i="25" s="1"/>
  <c r="C212" i="25"/>
  <c r="B212" i="25"/>
  <c r="B211" i="25"/>
  <c r="C211" i="25" s="1"/>
  <c r="B210" i="25"/>
  <c r="C210" i="25" s="1"/>
  <c r="B209" i="25"/>
  <c r="C209" i="25" s="1"/>
  <c r="C208" i="25"/>
  <c r="B208" i="25"/>
  <c r="B207" i="25"/>
  <c r="C207" i="25" s="1"/>
  <c r="B206" i="25"/>
  <c r="C206" i="25" s="1"/>
  <c r="B205" i="25"/>
  <c r="C205" i="25" s="1"/>
  <c r="C204" i="25"/>
  <c r="B204" i="25"/>
  <c r="B203" i="25"/>
  <c r="C203" i="25" s="1"/>
  <c r="B202" i="25"/>
  <c r="C202" i="25" s="1"/>
  <c r="B201" i="25"/>
  <c r="C201" i="25" s="1"/>
  <c r="C200" i="25"/>
  <c r="B200" i="25"/>
  <c r="B199" i="25"/>
  <c r="C199" i="25" s="1"/>
  <c r="B198" i="25"/>
  <c r="C198" i="25" s="1"/>
  <c r="B197" i="25"/>
  <c r="C197" i="25" s="1"/>
  <c r="C196" i="25"/>
  <c r="B196" i="25"/>
  <c r="B195" i="25"/>
  <c r="C195" i="25" s="1"/>
  <c r="B194" i="25"/>
  <c r="C194" i="25" s="1"/>
  <c r="B193" i="25"/>
  <c r="C193" i="25" s="1"/>
  <c r="C192" i="25"/>
  <c r="B192" i="25"/>
  <c r="B191" i="25"/>
  <c r="C191" i="25" s="1"/>
  <c r="B190" i="25"/>
  <c r="C190" i="25" s="1"/>
  <c r="B189" i="25"/>
  <c r="C189" i="25" s="1"/>
  <c r="C188" i="25"/>
  <c r="B188" i="25"/>
  <c r="B187" i="25"/>
  <c r="C187" i="25" s="1"/>
  <c r="B186" i="25"/>
  <c r="C186" i="25" s="1"/>
  <c r="B185" i="25"/>
  <c r="C185" i="25" s="1"/>
  <c r="C184" i="25"/>
  <c r="B184" i="25"/>
  <c r="B183" i="25"/>
  <c r="C183" i="25" s="1"/>
  <c r="B182" i="25"/>
  <c r="C182" i="25" s="1"/>
  <c r="B181" i="25"/>
  <c r="C181" i="25" s="1"/>
  <c r="C180" i="25"/>
  <c r="B180" i="25"/>
  <c r="B179" i="25"/>
  <c r="C179" i="25" s="1"/>
  <c r="B178" i="25"/>
  <c r="C178" i="25" s="1"/>
  <c r="B177" i="25"/>
  <c r="C177" i="25" s="1"/>
  <c r="C176" i="25"/>
  <c r="B176" i="25"/>
  <c r="B175" i="25"/>
  <c r="C175" i="25" s="1"/>
  <c r="B174" i="25"/>
  <c r="C174" i="25" s="1"/>
  <c r="B173" i="25"/>
  <c r="C173" i="25" s="1"/>
  <c r="C172" i="25"/>
  <c r="B172" i="25"/>
  <c r="B171" i="25"/>
  <c r="C171" i="25" s="1"/>
  <c r="B170" i="25"/>
  <c r="C170" i="25" s="1"/>
  <c r="B169" i="25"/>
  <c r="C169" i="25" s="1"/>
  <c r="C168" i="25"/>
  <c r="B168" i="25"/>
  <c r="B167" i="25"/>
  <c r="C167" i="25" s="1"/>
  <c r="B166" i="25"/>
  <c r="C166" i="25" s="1"/>
  <c r="B165" i="25"/>
  <c r="C165" i="25" s="1"/>
  <c r="C164" i="25"/>
  <c r="B164" i="25"/>
  <c r="B163" i="25"/>
  <c r="C163" i="25" s="1"/>
  <c r="B162" i="25"/>
  <c r="C162" i="25" s="1"/>
  <c r="B161" i="25"/>
  <c r="C161" i="25" s="1"/>
  <c r="C160" i="25"/>
  <c r="B160" i="25"/>
  <c r="B159" i="25"/>
  <c r="C159" i="25" s="1"/>
  <c r="B158" i="25"/>
  <c r="C158" i="25" s="1"/>
  <c r="B157" i="25"/>
  <c r="C157" i="25" s="1"/>
  <c r="C156" i="25"/>
  <c r="B156" i="25"/>
  <c r="B155" i="25"/>
  <c r="C155" i="25" s="1"/>
  <c r="B154" i="25"/>
  <c r="C154" i="25" s="1"/>
  <c r="B153" i="25"/>
  <c r="C153" i="25" s="1"/>
  <c r="C152" i="25"/>
  <c r="B152" i="25"/>
  <c r="B151" i="25"/>
  <c r="C151" i="25" s="1"/>
  <c r="B150" i="25"/>
  <c r="C150" i="25" s="1"/>
  <c r="B149" i="25"/>
  <c r="C149" i="25" s="1"/>
  <c r="C148" i="25"/>
  <c r="B148" i="25"/>
  <c r="B147" i="25"/>
  <c r="C147" i="25" s="1"/>
  <c r="B146" i="25"/>
  <c r="C146" i="25" s="1"/>
  <c r="B145" i="25"/>
  <c r="C145" i="25" s="1"/>
  <c r="C144" i="25"/>
  <c r="B144" i="25"/>
  <c r="B143" i="25"/>
  <c r="C143" i="25" s="1"/>
  <c r="B142" i="25"/>
  <c r="C142" i="25" s="1"/>
  <c r="B141" i="25"/>
  <c r="C141" i="25" s="1"/>
  <c r="C140" i="25"/>
  <c r="B140" i="25"/>
  <c r="B139" i="25"/>
  <c r="C139" i="25" s="1"/>
  <c r="B138" i="25"/>
  <c r="C138" i="25" s="1"/>
  <c r="B137" i="25"/>
  <c r="C137" i="25" s="1"/>
  <c r="C136" i="25"/>
  <c r="B136" i="25"/>
  <c r="B135" i="25"/>
  <c r="C135" i="25" s="1"/>
  <c r="B134" i="25"/>
  <c r="C134" i="25" s="1"/>
  <c r="B133" i="25"/>
  <c r="C133" i="25" s="1"/>
  <c r="C132" i="25"/>
  <c r="B132" i="25"/>
  <c r="B131" i="25"/>
  <c r="C131" i="25" s="1"/>
  <c r="B130" i="25"/>
  <c r="C130" i="25" s="1"/>
  <c r="B129" i="25"/>
  <c r="C129" i="25" s="1"/>
  <c r="C128" i="25"/>
  <c r="B128" i="25"/>
  <c r="B127" i="25"/>
  <c r="C127" i="25" s="1"/>
  <c r="B126" i="25"/>
  <c r="C126" i="25" s="1"/>
  <c r="B125" i="25"/>
  <c r="C125" i="25" s="1"/>
  <c r="C124" i="25"/>
  <c r="B124" i="25"/>
  <c r="B123" i="25"/>
  <c r="C123" i="25" s="1"/>
  <c r="B122" i="25"/>
  <c r="C122" i="25" s="1"/>
  <c r="B121" i="25"/>
  <c r="C121" i="25" s="1"/>
  <c r="C120" i="25"/>
  <c r="B120" i="25"/>
  <c r="B119" i="25"/>
  <c r="C119" i="25" s="1"/>
  <c r="B118" i="25"/>
  <c r="C118" i="25" s="1"/>
  <c r="B117" i="25"/>
  <c r="C117" i="25" s="1"/>
  <c r="C116" i="25"/>
  <c r="B116" i="25"/>
  <c r="B115" i="25"/>
  <c r="C115" i="25" s="1"/>
  <c r="B114" i="25"/>
  <c r="C114" i="25" s="1"/>
  <c r="B113" i="25"/>
  <c r="C113" i="25" s="1"/>
  <c r="C112" i="25"/>
  <c r="B112" i="25"/>
  <c r="B111" i="25"/>
  <c r="C111" i="25" s="1"/>
  <c r="B110" i="25"/>
  <c r="C110" i="25" s="1"/>
  <c r="B109" i="25"/>
  <c r="C109" i="25" s="1"/>
  <c r="C108" i="25"/>
  <c r="B108" i="25"/>
  <c r="B107" i="25"/>
  <c r="C107" i="25" s="1"/>
  <c r="B106" i="25"/>
  <c r="C106" i="25" s="1"/>
  <c r="B105" i="25"/>
  <c r="C105" i="25" s="1"/>
  <c r="C104" i="25"/>
  <c r="B104" i="25"/>
  <c r="B103" i="25"/>
  <c r="C103" i="25" s="1"/>
  <c r="B102" i="25"/>
  <c r="C102" i="25" s="1"/>
  <c r="B101" i="25"/>
  <c r="C101" i="25" s="1"/>
  <c r="B100" i="25"/>
  <c r="C100" i="25" s="1"/>
  <c r="O99" i="25"/>
  <c r="N99" i="25"/>
  <c r="C99" i="25"/>
  <c r="B99" i="25"/>
  <c r="N98" i="25"/>
  <c r="O98" i="25" s="1"/>
  <c r="B98" i="25"/>
  <c r="C98" i="25" s="1"/>
  <c r="O97" i="25"/>
  <c r="N97" i="25"/>
  <c r="C97" i="25"/>
  <c r="B97" i="25"/>
  <c r="N96" i="25"/>
  <c r="O96" i="25" s="1"/>
  <c r="B96" i="25"/>
  <c r="C96" i="25" s="1"/>
  <c r="O95" i="25"/>
  <c r="N95" i="25"/>
  <c r="C95" i="25"/>
  <c r="B95" i="25"/>
  <c r="N94" i="25"/>
  <c r="O94" i="25" s="1"/>
  <c r="B94" i="25"/>
  <c r="C94" i="25" s="1"/>
  <c r="O93" i="25"/>
  <c r="N93" i="25"/>
  <c r="C93" i="25"/>
  <c r="B93" i="25"/>
  <c r="N92" i="25"/>
  <c r="O92" i="25" s="1"/>
  <c r="B92" i="25"/>
  <c r="C92" i="25" s="1"/>
  <c r="O91" i="25"/>
  <c r="N91" i="25"/>
  <c r="C91" i="25"/>
  <c r="B91" i="25"/>
  <c r="N90" i="25"/>
  <c r="O90" i="25" s="1"/>
  <c r="B90" i="25"/>
  <c r="C90" i="25" s="1"/>
  <c r="O89" i="25"/>
  <c r="N89" i="25"/>
  <c r="C89" i="25"/>
  <c r="B89" i="25"/>
  <c r="N88" i="25"/>
  <c r="O88" i="25" s="1"/>
  <c r="B88" i="25"/>
  <c r="C88" i="25" s="1"/>
  <c r="O87" i="25"/>
  <c r="N87" i="25"/>
  <c r="C87" i="25"/>
  <c r="B87" i="25"/>
  <c r="N86" i="25"/>
  <c r="O86" i="25" s="1"/>
  <c r="B86" i="25"/>
  <c r="C86" i="25" s="1"/>
  <c r="O85" i="25"/>
  <c r="N85" i="25"/>
  <c r="C85" i="25"/>
  <c r="B85" i="25"/>
  <c r="N84" i="25"/>
  <c r="O84" i="25" s="1"/>
  <c r="B84" i="25"/>
  <c r="C84" i="25" s="1"/>
  <c r="O83" i="25"/>
  <c r="N83" i="25"/>
  <c r="C83" i="25"/>
  <c r="B83" i="25"/>
  <c r="N82" i="25"/>
  <c r="O82" i="25" s="1"/>
  <c r="B82" i="25"/>
  <c r="C82" i="25" s="1"/>
  <c r="O81" i="25"/>
  <c r="N81" i="25"/>
  <c r="C81" i="25"/>
  <c r="B81" i="25"/>
  <c r="N80" i="25"/>
  <c r="O80" i="25" s="1"/>
  <c r="B80" i="25"/>
  <c r="C80" i="25" s="1"/>
  <c r="O79" i="25"/>
  <c r="N79" i="25"/>
  <c r="C79" i="25"/>
  <c r="B79" i="25"/>
  <c r="N78" i="25"/>
  <c r="O78" i="25" s="1"/>
  <c r="B78" i="25"/>
  <c r="C78" i="25" s="1"/>
  <c r="O77" i="25"/>
  <c r="N77" i="25"/>
  <c r="C77" i="25"/>
  <c r="B77" i="25"/>
  <c r="N76" i="25"/>
  <c r="O76" i="25" s="1"/>
  <c r="B76" i="25"/>
  <c r="C76" i="25" s="1"/>
  <c r="O75" i="25"/>
  <c r="N75" i="25"/>
  <c r="C75" i="25"/>
  <c r="B75" i="25"/>
  <c r="N74" i="25"/>
  <c r="O74" i="25" s="1"/>
  <c r="B74" i="25"/>
  <c r="C74" i="25" s="1"/>
  <c r="O73" i="25"/>
  <c r="N73" i="25"/>
  <c r="C73" i="25"/>
  <c r="B73" i="25"/>
  <c r="N72" i="25"/>
  <c r="O72" i="25" s="1"/>
  <c r="B72" i="25"/>
  <c r="C72" i="25" s="1"/>
  <c r="O71" i="25"/>
  <c r="N71" i="25"/>
  <c r="C71" i="25"/>
  <c r="B71" i="25"/>
  <c r="N70" i="25"/>
  <c r="O70" i="25" s="1"/>
  <c r="B70" i="25"/>
  <c r="C70" i="25" s="1"/>
  <c r="O69" i="25"/>
  <c r="N69" i="25"/>
  <c r="C69" i="25"/>
  <c r="B69" i="25"/>
  <c r="N68" i="25"/>
  <c r="O68" i="25" s="1"/>
  <c r="B68" i="25"/>
  <c r="C68" i="25" s="1"/>
  <c r="O67" i="25"/>
  <c r="N67" i="25"/>
  <c r="C67" i="25"/>
  <c r="B67" i="25"/>
  <c r="N66" i="25"/>
  <c r="O66" i="25" s="1"/>
  <c r="B66" i="25"/>
  <c r="C66" i="25" s="1"/>
  <c r="O65" i="25"/>
  <c r="N65" i="25"/>
  <c r="C65" i="25"/>
  <c r="B65" i="25"/>
  <c r="O64" i="25"/>
  <c r="N64" i="25"/>
  <c r="B64" i="25"/>
  <c r="C64" i="25" s="1"/>
  <c r="AA63" i="25"/>
  <c r="O63" i="25"/>
  <c r="N63" i="25"/>
  <c r="B63" i="25"/>
  <c r="C63" i="25" s="1"/>
  <c r="AA62" i="25"/>
  <c r="N62" i="25"/>
  <c r="O62" i="25" s="1"/>
  <c r="B62" i="25"/>
  <c r="C62" i="25" s="1"/>
  <c r="AA61" i="25"/>
  <c r="N61" i="25"/>
  <c r="O61" i="25" s="1"/>
  <c r="C61" i="25"/>
  <c r="B61" i="25"/>
  <c r="AA60" i="25"/>
  <c r="N60" i="25"/>
  <c r="O60" i="25" s="1"/>
  <c r="B60" i="25"/>
  <c r="C60" i="25" s="1"/>
  <c r="AA59" i="25"/>
  <c r="O59" i="25"/>
  <c r="N59" i="25"/>
  <c r="C59" i="25"/>
  <c r="B59" i="25"/>
  <c r="AA58" i="25"/>
  <c r="N58" i="25"/>
  <c r="O58" i="25" s="1"/>
  <c r="C58" i="25"/>
  <c r="B58" i="25"/>
  <c r="AA57" i="25"/>
  <c r="O57" i="25"/>
  <c r="N57" i="25"/>
  <c r="C57" i="25"/>
  <c r="B57" i="25"/>
  <c r="AA56" i="25"/>
  <c r="O56" i="25"/>
  <c r="N56" i="25"/>
  <c r="B56" i="25"/>
  <c r="C56" i="25" s="1"/>
  <c r="AA55" i="25"/>
  <c r="O55" i="25"/>
  <c r="N55" i="25"/>
  <c r="B55" i="25"/>
  <c r="C55" i="25" s="1"/>
  <c r="AA54" i="25"/>
  <c r="N54" i="25"/>
  <c r="O54" i="25" s="1"/>
  <c r="B54" i="25"/>
  <c r="C54" i="25" s="1"/>
  <c r="AA53" i="25"/>
  <c r="N53" i="25"/>
  <c r="O53" i="25" s="1"/>
  <c r="C53" i="25"/>
  <c r="B53" i="25"/>
  <c r="AA52" i="25"/>
  <c r="N52" i="25"/>
  <c r="O52" i="25" s="1"/>
  <c r="B52" i="25"/>
  <c r="C52" i="25" s="1"/>
  <c r="AA51" i="25"/>
  <c r="O51" i="25"/>
  <c r="N51" i="25"/>
  <c r="C51" i="25"/>
  <c r="B51" i="25"/>
  <c r="AA50" i="25"/>
  <c r="N50" i="25"/>
  <c r="O50" i="25" s="1"/>
  <c r="C50" i="25"/>
  <c r="B50" i="25"/>
  <c r="AA49" i="25"/>
  <c r="O49" i="25"/>
  <c r="N49" i="25"/>
  <c r="C49" i="25"/>
  <c r="B49" i="25"/>
  <c r="AA48" i="25"/>
  <c r="O48" i="25"/>
  <c r="N48" i="25"/>
  <c r="B48" i="25"/>
  <c r="C48" i="25" s="1"/>
  <c r="AA47" i="25"/>
  <c r="O47" i="25"/>
  <c r="N47" i="25"/>
  <c r="B47" i="25"/>
  <c r="C47" i="25" s="1"/>
  <c r="AA46" i="25"/>
  <c r="N46" i="25"/>
  <c r="O46" i="25" s="1"/>
  <c r="B46" i="25"/>
  <c r="C46" i="25" s="1"/>
  <c r="AA45" i="25"/>
  <c r="N45" i="25"/>
  <c r="O45" i="25" s="1"/>
  <c r="C45" i="25"/>
  <c r="B45" i="25"/>
  <c r="AA44" i="25"/>
  <c r="N44" i="25"/>
  <c r="O44" i="25" s="1"/>
  <c r="B44" i="25"/>
  <c r="C44" i="25" s="1"/>
  <c r="AA43" i="25"/>
  <c r="O43" i="25"/>
  <c r="N43" i="25"/>
  <c r="C43" i="25"/>
  <c r="B43" i="25"/>
  <c r="AA42" i="25"/>
  <c r="N42" i="25"/>
  <c r="O42" i="25" s="1"/>
  <c r="C42" i="25"/>
  <c r="B42" i="25"/>
  <c r="AA41" i="25"/>
  <c r="O41" i="25"/>
  <c r="N41" i="25"/>
  <c r="C41" i="25"/>
  <c r="B41" i="25"/>
  <c r="AA40" i="25"/>
  <c r="O40" i="25"/>
  <c r="N40" i="25"/>
  <c r="B40" i="25"/>
  <c r="C40" i="25" s="1"/>
  <c r="AA39" i="25"/>
  <c r="O39" i="25"/>
  <c r="N39" i="25"/>
  <c r="B39" i="25"/>
  <c r="C39" i="25" s="1"/>
  <c r="AA38" i="25"/>
  <c r="N38" i="25"/>
  <c r="O38" i="25" s="1"/>
  <c r="O100" i="25" s="1"/>
  <c r="C5" i="25" s="1"/>
  <c r="B38" i="25"/>
  <c r="C38" i="25" s="1"/>
  <c r="AA37" i="25"/>
  <c r="AA36" i="25"/>
  <c r="AA35" i="25"/>
  <c r="AA64" i="25" s="1"/>
  <c r="C6" i="25" s="1"/>
  <c r="Y34" i="25"/>
  <c r="Y33" i="25"/>
  <c r="Y32" i="25"/>
  <c r="Y31" i="25"/>
  <c r="Y30" i="25"/>
  <c r="Y29" i="25"/>
  <c r="Y28" i="25"/>
  <c r="Y27" i="25"/>
  <c r="Y26" i="25"/>
  <c r="Y25" i="25"/>
  <c r="Y24" i="25"/>
  <c r="Y23" i="25"/>
  <c r="Y22" i="25"/>
  <c r="Y21" i="25"/>
  <c r="Y20" i="25"/>
  <c r="Y19" i="25"/>
  <c r="Y18" i="25"/>
  <c r="Y17" i="25"/>
  <c r="Y16" i="25"/>
  <c r="Y15" i="25"/>
  <c r="Y14" i="25"/>
  <c r="B5" i="25"/>
  <c r="B4" i="25"/>
  <c r="B6" i="25" s="1"/>
  <c r="D5" i="25" l="1"/>
  <c r="C237" i="25"/>
  <c r="C4" i="25" s="1"/>
  <c r="D4" i="25" s="1"/>
  <c r="D8" i="25" s="1"/>
  <c r="D6" i="25"/>
  <c r="C7" i="24"/>
  <c r="C55" i="24" s="1"/>
  <c r="C45" i="24" l="1"/>
  <c r="C46" i="24"/>
  <c r="C54" i="24"/>
  <c r="C52" i="24"/>
  <c r="C69" i="1" l="1"/>
  <c r="E39" i="1"/>
  <c r="C74" i="1"/>
  <c r="C72" i="1"/>
  <c r="C75" i="1"/>
  <c r="C77" i="1" l="1"/>
  <c r="C70" i="1"/>
  <c r="K54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39" i="1"/>
  <c r="E67" i="1"/>
  <c r="J39" i="1"/>
  <c r="J40" i="1"/>
  <c r="D39" i="1"/>
  <c r="E40" i="1"/>
  <c r="D40" i="1"/>
  <c r="E41" i="1" l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B19" i="8" l="1"/>
  <c r="C19" i="8"/>
  <c r="D19" i="8"/>
  <c r="E19" i="8"/>
  <c r="F19" i="8"/>
  <c r="G19" i="8"/>
  <c r="H19" i="8"/>
  <c r="I19" i="8"/>
  <c r="J19" i="8"/>
  <c r="K19" i="8"/>
  <c r="B20" i="8"/>
  <c r="C20" i="8"/>
  <c r="D20" i="8"/>
  <c r="E20" i="8"/>
  <c r="F20" i="8"/>
  <c r="G20" i="8"/>
  <c r="H20" i="8"/>
  <c r="I20" i="8"/>
  <c r="J20" i="8"/>
  <c r="K20" i="8"/>
  <c r="B21" i="8"/>
  <c r="C21" i="8"/>
  <c r="D21" i="8"/>
  <c r="E21" i="8"/>
  <c r="F21" i="8"/>
  <c r="G21" i="8"/>
  <c r="H21" i="8"/>
  <c r="I21" i="8"/>
  <c r="J21" i="8"/>
  <c r="K21" i="8"/>
  <c r="B22" i="8"/>
  <c r="C22" i="8"/>
  <c r="D22" i="8"/>
  <c r="E22" i="8"/>
  <c r="F22" i="8"/>
  <c r="G22" i="8"/>
  <c r="H22" i="8"/>
  <c r="I22" i="8"/>
  <c r="J22" i="8"/>
  <c r="K22" i="8"/>
  <c r="B23" i="8"/>
  <c r="C23" i="8"/>
  <c r="D23" i="8"/>
  <c r="E23" i="8"/>
  <c r="F23" i="8"/>
  <c r="G23" i="8"/>
  <c r="H23" i="8"/>
  <c r="I23" i="8"/>
  <c r="J23" i="8"/>
  <c r="K23" i="8"/>
  <c r="B24" i="8"/>
  <c r="C24" i="8"/>
  <c r="D24" i="8"/>
  <c r="E24" i="8"/>
  <c r="F24" i="8"/>
  <c r="G24" i="8"/>
  <c r="H24" i="8"/>
  <c r="I24" i="8"/>
  <c r="J24" i="8"/>
  <c r="K24" i="8"/>
  <c r="B25" i="8"/>
  <c r="C25" i="8"/>
  <c r="D25" i="8"/>
  <c r="E25" i="8"/>
  <c r="F25" i="8"/>
  <c r="G25" i="8"/>
  <c r="H25" i="8"/>
  <c r="I25" i="8"/>
  <c r="J25" i="8"/>
  <c r="K25" i="8"/>
  <c r="B26" i="8"/>
  <c r="C26" i="8"/>
  <c r="D26" i="8"/>
  <c r="E26" i="8"/>
  <c r="F26" i="8"/>
  <c r="G26" i="8"/>
  <c r="H26" i="8"/>
  <c r="I26" i="8"/>
  <c r="J26" i="8"/>
  <c r="K26" i="8"/>
  <c r="B27" i="8"/>
  <c r="C27" i="8"/>
  <c r="D27" i="8"/>
  <c r="E27" i="8"/>
  <c r="F27" i="8"/>
  <c r="G27" i="8"/>
  <c r="H27" i="8"/>
  <c r="I27" i="8"/>
  <c r="J27" i="8"/>
  <c r="K27" i="8"/>
  <c r="B28" i="8"/>
  <c r="C28" i="8"/>
  <c r="D28" i="8"/>
  <c r="E28" i="8"/>
  <c r="F28" i="8"/>
  <c r="G28" i="8"/>
  <c r="H28" i="8"/>
  <c r="I28" i="8"/>
  <c r="J28" i="8"/>
  <c r="K28" i="8"/>
  <c r="B29" i="8"/>
  <c r="C29" i="8"/>
  <c r="D29" i="8"/>
  <c r="E29" i="8"/>
  <c r="F29" i="8"/>
  <c r="G29" i="8"/>
  <c r="H29" i="8"/>
  <c r="I29" i="8"/>
  <c r="J29" i="8"/>
  <c r="K29" i="8"/>
  <c r="B30" i="8"/>
  <c r="C30" i="8"/>
  <c r="D30" i="8"/>
  <c r="E30" i="8"/>
  <c r="F30" i="8"/>
  <c r="G30" i="8"/>
  <c r="H30" i="8"/>
  <c r="I30" i="8"/>
  <c r="J30" i="8"/>
  <c r="K30" i="8"/>
  <c r="B31" i="8"/>
  <c r="C31" i="8"/>
  <c r="D31" i="8"/>
  <c r="E31" i="8"/>
  <c r="F31" i="8"/>
  <c r="G31" i="8"/>
  <c r="H31" i="8"/>
  <c r="I31" i="8"/>
  <c r="J31" i="8"/>
  <c r="K31" i="8"/>
  <c r="B32" i="8"/>
  <c r="C32" i="8"/>
  <c r="D32" i="8"/>
  <c r="E32" i="8"/>
  <c r="F32" i="8"/>
  <c r="G32" i="8"/>
  <c r="H32" i="8"/>
  <c r="I32" i="8"/>
  <c r="J32" i="8"/>
  <c r="K32" i="8"/>
  <c r="B33" i="8"/>
  <c r="C33" i="8"/>
  <c r="D33" i="8"/>
  <c r="E33" i="8"/>
  <c r="F33" i="8"/>
  <c r="G33" i="8"/>
  <c r="H33" i="8"/>
  <c r="I33" i="8"/>
  <c r="J33" i="8"/>
  <c r="K33" i="8"/>
  <c r="B34" i="8"/>
  <c r="C34" i="8"/>
  <c r="D34" i="8"/>
  <c r="E34" i="8"/>
  <c r="F34" i="8"/>
  <c r="G34" i="8"/>
  <c r="H34" i="8"/>
  <c r="I34" i="8"/>
  <c r="J34" i="8"/>
  <c r="K34" i="8"/>
  <c r="B35" i="8"/>
  <c r="C35" i="8"/>
  <c r="D35" i="8"/>
  <c r="E35" i="8"/>
  <c r="F35" i="8"/>
  <c r="G35" i="8"/>
  <c r="H35" i="8"/>
  <c r="I35" i="8"/>
  <c r="J35" i="8"/>
  <c r="K35" i="8"/>
  <c r="B36" i="8"/>
  <c r="C36" i="8"/>
  <c r="D36" i="8"/>
  <c r="E36" i="8"/>
  <c r="F36" i="8"/>
  <c r="G36" i="8"/>
  <c r="H36" i="8"/>
  <c r="I36" i="8"/>
  <c r="J36" i="8"/>
  <c r="K36" i="8"/>
  <c r="B37" i="8"/>
  <c r="C37" i="8"/>
  <c r="D37" i="8"/>
  <c r="F37" i="8"/>
  <c r="G37" i="8"/>
  <c r="H37" i="8"/>
  <c r="I37" i="8"/>
  <c r="J37" i="8"/>
  <c r="K37" i="8"/>
  <c r="B38" i="8"/>
  <c r="C38" i="8"/>
  <c r="D38" i="8"/>
  <c r="E38" i="8"/>
  <c r="F38" i="8"/>
  <c r="G38" i="8"/>
  <c r="H38" i="8"/>
  <c r="I38" i="8"/>
  <c r="J38" i="8"/>
  <c r="K38" i="8"/>
  <c r="B39" i="8"/>
  <c r="C39" i="8"/>
  <c r="D39" i="8"/>
  <c r="E39" i="8"/>
  <c r="F39" i="8"/>
  <c r="G39" i="8"/>
  <c r="H39" i="8"/>
  <c r="I39" i="8"/>
  <c r="J39" i="8"/>
  <c r="K39" i="8"/>
  <c r="B40" i="8"/>
  <c r="C40" i="8"/>
  <c r="D40" i="8"/>
  <c r="E40" i="8"/>
  <c r="F40" i="8"/>
  <c r="G40" i="8"/>
  <c r="H40" i="8"/>
  <c r="I40" i="8"/>
  <c r="J40" i="8"/>
  <c r="K40" i="8"/>
  <c r="C18" i="8"/>
  <c r="D18" i="8"/>
  <c r="E18" i="8"/>
  <c r="F18" i="8"/>
  <c r="G18" i="8"/>
  <c r="H18" i="8"/>
  <c r="I18" i="8"/>
  <c r="J18" i="8"/>
  <c r="K18" i="8"/>
  <c r="B18" i="8"/>
  <c r="H32" i="24"/>
  <c r="C27" i="24"/>
  <c r="C32" i="24"/>
  <c r="C25" i="24" s="1"/>
  <c r="B62" i="24"/>
  <c r="H25" i="24" l="1"/>
  <c r="D22" i="1"/>
  <c r="E22" i="1"/>
  <c r="F22" i="1"/>
  <c r="G22" i="1"/>
  <c r="H22" i="1"/>
  <c r="C22" i="1"/>
  <c r="A16" i="19"/>
  <c r="H26" i="24" l="1"/>
  <c r="H36" i="24" s="1"/>
  <c r="H37" i="24" s="1"/>
  <c r="C26" i="24"/>
  <c r="B11" i="1"/>
  <c r="B23" i="1" s="1"/>
  <c r="D11" i="1"/>
  <c r="E11" i="1"/>
  <c r="F11" i="1"/>
  <c r="G11" i="1"/>
  <c r="H11" i="1"/>
  <c r="B12" i="1"/>
  <c r="B24" i="1" s="1"/>
  <c r="F12" i="1"/>
  <c r="G12" i="1"/>
  <c r="H12" i="1"/>
  <c r="B13" i="1"/>
  <c r="B25" i="1" s="1"/>
  <c r="F13" i="1"/>
  <c r="G13" i="1"/>
  <c r="H13" i="1"/>
  <c r="B14" i="1"/>
  <c r="B26" i="1" s="1"/>
  <c r="C14" i="1"/>
  <c r="D14" i="1"/>
  <c r="E14" i="1"/>
  <c r="F14" i="1"/>
  <c r="G14" i="1"/>
  <c r="H14" i="1"/>
  <c r="B15" i="1"/>
  <c r="B27" i="1" s="1"/>
  <c r="F15" i="1"/>
  <c r="G15" i="1"/>
  <c r="H15" i="1"/>
  <c r="B16" i="1"/>
  <c r="B28" i="1" s="1"/>
  <c r="G16" i="1"/>
  <c r="H16" i="1"/>
  <c r="B17" i="1"/>
  <c r="B29" i="1" s="1"/>
  <c r="E17" i="1"/>
  <c r="F17" i="1"/>
  <c r="G17" i="1"/>
  <c r="H17" i="1"/>
  <c r="B18" i="1"/>
  <c r="B30" i="1" s="1"/>
  <c r="B19" i="1"/>
  <c r="B31" i="1" s="1"/>
  <c r="C19" i="1"/>
  <c r="D19" i="1"/>
  <c r="E19" i="1"/>
  <c r="F19" i="1"/>
  <c r="G19" i="1"/>
  <c r="H19" i="1"/>
  <c r="B20" i="1"/>
  <c r="B32" i="1" s="1"/>
  <c r="F20" i="1"/>
  <c r="G20" i="1"/>
  <c r="H20" i="1"/>
  <c r="H35" i="24" l="1"/>
  <c r="C35" i="24"/>
  <c r="C36" i="24"/>
  <c r="C37" i="24" s="1"/>
  <c r="B61" i="24" l="1"/>
  <c r="M7" i="19"/>
  <c r="F16" i="1" s="1"/>
  <c r="F28" i="1" s="1"/>
  <c r="J7" i="19"/>
  <c r="C16" i="1" s="1"/>
  <c r="C28" i="1" s="1"/>
  <c r="K7" i="19"/>
  <c r="D16" i="1" s="1"/>
  <c r="D28" i="1" s="1"/>
  <c r="L7" i="19"/>
  <c r="E16" i="1" s="1"/>
  <c r="E28" i="1" s="1"/>
  <c r="N9" i="19"/>
  <c r="G18" i="1" s="1"/>
  <c r="G30" i="1" s="1"/>
  <c r="O9" i="19"/>
  <c r="H18" i="1" s="1"/>
  <c r="H30" i="1" s="1"/>
  <c r="J9" i="19"/>
  <c r="C18" i="1" s="1"/>
  <c r="C30" i="1" s="1"/>
  <c r="M9" i="19"/>
  <c r="F18" i="1" s="1"/>
  <c r="F30" i="1" s="1"/>
  <c r="K6" i="19"/>
  <c r="D15" i="1" s="1"/>
  <c r="D27" i="1" s="1"/>
  <c r="L9" i="19"/>
  <c r="E18" i="1" s="1"/>
  <c r="E30" i="1" s="1"/>
  <c r="K9" i="19"/>
  <c r="D18" i="1" s="1"/>
  <c r="D30" i="1" s="1"/>
  <c r="L6" i="19"/>
  <c r="E15" i="1" s="1"/>
  <c r="E27" i="1" s="1"/>
  <c r="J6" i="19"/>
  <c r="C15" i="1" s="1"/>
  <c r="C27" i="1" s="1"/>
  <c r="Q73" i="8"/>
  <c r="J4" i="19" l="1"/>
  <c r="C13" i="1" s="1"/>
  <c r="C25" i="1" s="1"/>
  <c r="K4" i="19"/>
  <c r="D13" i="1" s="1"/>
  <c r="D25" i="1" s="1"/>
  <c r="L4" i="19"/>
  <c r="E13" i="1" s="1"/>
  <c r="E25" i="1" s="1"/>
  <c r="J3" i="19"/>
  <c r="L3" i="19"/>
  <c r="K3" i="19"/>
  <c r="J2" i="19"/>
  <c r="C11" i="1" s="1"/>
  <c r="C23" i="1" s="1"/>
  <c r="K11" i="19" l="1"/>
  <c r="D20" i="1" s="1"/>
  <c r="D12" i="1"/>
  <c r="D24" i="1" s="1"/>
  <c r="L11" i="19"/>
  <c r="E20" i="1" s="1"/>
  <c r="E32" i="1" s="1"/>
  <c r="E12" i="1"/>
  <c r="E24" i="1" s="1"/>
  <c r="J11" i="19"/>
  <c r="C20" i="1" s="1"/>
  <c r="C32" i="1" s="1"/>
  <c r="C12" i="1"/>
  <c r="C24" i="1" s="1"/>
  <c r="D32" i="1" l="1"/>
  <c r="J8" i="19" l="1"/>
  <c r="C17" i="1" s="1"/>
  <c r="C29" i="1" s="1"/>
  <c r="K8" i="19"/>
  <c r="D17" i="1" s="1"/>
  <c r="D29" i="1" s="1"/>
  <c r="B29" i="19"/>
  <c r="B28" i="19"/>
  <c r="B63" i="24" l="1"/>
  <c r="C68" i="24" s="1"/>
  <c r="D4" i="1" l="1"/>
  <c r="P37" i="8" l="1"/>
  <c r="E37" i="8"/>
</calcChain>
</file>

<file path=xl/sharedStrings.xml><?xml version="1.0" encoding="utf-8"?>
<sst xmlns="http://schemas.openxmlformats.org/spreadsheetml/2006/main" count="349" uniqueCount="186">
  <si>
    <t>Dégagement</t>
  </si>
  <si>
    <t xml:space="preserve">Type intervention </t>
  </si>
  <si>
    <t>Plantation</t>
  </si>
  <si>
    <t>VAN (n)</t>
  </si>
  <si>
    <t>Frais divers de gestion forestière / Ha</t>
  </si>
  <si>
    <t>Dessouchage</t>
  </si>
  <si>
    <t>Mise en andain</t>
  </si>
  <si>
    <t>Sous-solage</t>
  </si>
  <si>
    <t xml:space="preserve">Broyeur forestier léger </t>
  </si>
  <si>
    <t>Broyeur lourd</t>
  </si>
  <si>
    <t>Broyage d'interlignes (1 interligne/2)</t>
  </si>
  <si>
    <t>Cover Crop - Rota</t>
  </si>
  <si>
    <t>Frais de dégagement - Année N+1</t>
  </si>
  <si>
    <t>Frais de dégagement - Année N+2</t>
  </si>
  <si>
    <t>Frais de dégagement - Année N+3</t>
  </si>
  <si>
    <t>Frais de marquage</t>
  </si>
  <si>
    <t>Frais de dégagement régénération irrégulier</t>
  </si>
  <si>
    <t>Eclaircie 1</t>
  </si>
  <si>
    <t>Eclaircie 2</t>
  </si>
  <si>
    <t>Eclaircie 3</t>
  </si>
  <si>
    <t>Colonne1</t>
  </si>
  <si>
    <t>Chataignier</t>
  </si>
  <si>
    <t>Vt</t>
  </si>
  <si>
    <t>Accroissement moyen (m3/ha/an)</t>
  </si>
  <si>
    <t xml:space="preserve">Prix moyen m3 bois à l'age de la coupe </t>
  </si>
  <si>
    <t>Taux actualisation</t>
  </si>
  <si>
    <t>VAN Accru</t>
  </si>
  <si>
    <t xml:space="preserve">Volume commercialisable à l'age de la coupe </t>
  </si>
  <si>
    <t>CALCUL DE LA VAN :</t>
  </si>
  <si>
    <t>Chêne</t>
  </si>
  <si>
    <t>Pin Laricio</t>
  </si>
  <si>
    <t>Pin Maritime</t>
  </si>
  <si>
    <t>Douglas</t>
  </si>
  <si>
    <t>Ba</t>
  </si>
  <si>
    <t>Stock de la biomasse aérienne ( en tMS)</t>
  </si>
  <si>
    <t>Br</t>
  </si>
  <si>
    <t>S</t>
  </si>
  <si>
    <t>Stock de la biomasse racinaire (en tMS)</t>
  </si>
  <si>
    <t>L</t>
  </si>
  <si>
    <t>M</t>
  </si>
  <si>
    <t>τc</t>
  </si>
  <si>
    <t>Stock de bois mort ( en tC)</t>
  </si>
  <si>
    <t>Stock de la litière constante (tC/ha)</t>
  </si>
  <si>
    <t>Taux de carbone dans la matière sèche (tC/tMS)</t>
  </si>
  <si>
    <t>Volume total (en m3)</t>
  </si>
  <si>
    <t>di</t>
  </si>
  <si>
    <t>infradensité de l'essence</t>
  </si>
  <si>
    <t>Surface :</t>
  </si>
  <si>
    <t>ha</t>
  </si>
  <si>
    <t>Variables</t>
  </si>
  <si>
    <t>V</t>
  </si>
  <si>
    <t>Sprojet (30)</t>
  </si>
  <si>
    <t>AM</t>
  </si>
  <si>
    <t>P</t>
  </si>
  <si>
    <t>r</t>
  </si>
  <si>
    <t>Vf</t>
  </si>
  <si>
    <t>BO</t>
  </si>
  <si>
    <t>tCO2</t>
  </si>
  <si>
    <t>V(30)</t>
  </si>
  <si>
    <t>Cèdre</t>
  </si>
  <si>
    <t>Thuya</t>
  </si>
  <si>
    <t>Mélèze</t>
  </si>
  <si>
    <t>Epicéa sitka</t>
  </si>
  <si>
    <t xml:space="preserve">Eclaircie </t>
  </si>
  <si>
    <t>Pin Sylvestre</t>
  </si>
  <si>
    <t>BI</t>
  </si>
  <si>
    <t>BE</t>
  </si>
  <si>
    <t>Cèdre de l'Atlas</t>
  </si>
  <si>
    <t>Infradensité de l'Essence (tMS/m3)</t>
  </si>
  <si>
    <t>classe fertilite</t>
  </si>
  <si>
    <t xml:space="preserve">Catégorie de produit </t>
  </si>
  <si>
    <t>Coeff de substitution</t>
  </si>
  <si>
    <t>C.F existantes (Voir table)</t>
  </si>
  <si>
    <t>Essence 1 :</t>
  </si>
  <si>
    <t xml:space="preserve">Scénario de référence </t>
  </si>
  <si>
    <t>REA Foret - Reconstitution de peuplements dégradés</t>
  </si>
  <si>
    <t>Calcul des REA foret</t>
  </si>
  <si>
    <t xml:space="preserve">Douglas </t>
  </si>
  <si>
    <t>infradensité de l'essence (TMS/m3)</t>
  </si>
  <si>
    <t>Stock de carbone dans les sols (en tMS)</t>
  </si>
  <si>
    <t>S Ess1 (T C/ha)</t>
  </si>
  <si>
    <t>S Ess1 (TCO2)</t>
  </si>
  <si>
    <t>S Ess1 (T CO2/ha)</t>
  </si>
  <si>
    <t>TC/ha</t>
  </si>
  <si>
    <t>TCO2/ha</t>
  </si>
  <si>
    <t xml:space="preserve">TCO2 </t>
  </si>
  <si>
    <t xml:space="preserve">Surface projet total : </t>
  </si>
  <si>
    <t>Eclaircie 4</t>
  </si>
  <si>
    <t>Eclaircie 5</t>
  </si>
  <si>
    <t>Eclaircie 6</t>
  </si>
  <si>
    <t>Eclaircie 7</t>
  </si>
  <si>
    <t>Eclaircie 8</t>
  </si>
  <si>
    <t>Eclaircie 9</t>
  </si>
  <si>
    <t>Eclaircie 10</t>
  </si>
  <si>
    <t>Eclaircie 11</t>
  </si>
  <si>
    <t>Eclaircie 12</t>
  </si>
  <si>
    <t>Eclaircie 13</t>
  </si>
  <si>
    <t>Eclaircie 14</t>
  </si>
  <si>
    <t>Eclaircie 15</t>
  </si>
  <si>
    <t>Eclaircie 16</t>
  </si>
  <si>
    <t>Eclaircie 17</t>
  </si>
  <si>
    <t>Recette (Ri)
€/ha</t>
  </si>
  <si>
    <t>Dépense (Ci)
€/ha</t>
  </si>
  <si>
    <t>Eclaircie 18</t>
  </si>
  <si>
    <t>Eclaircie 19</t>
  </si>
  <si>
    <t>Eclaircie 20</t>
  </si>
  <si>
    <t>Eclaircie 21</t>
  </si>
  <si>
    <t>Eclaircie 22</t>
  </si>
  <si>
    <t>Eclaircie 23</t>
  </si>
  <si>
    <t>CR</t>
  </si>
  <si>
    <t xml:space="preserve">TOTAL VAN </t>
  </si>
  <si>
    <t>C.F 2</t>
  </si>
  <si>
    <t>VAN</t>
  </si>
  <si>
    <t>TOTAL VAN</t>
  </si>
  <si>
    <t>1</t>
  </si>
  <si>
    <t>2</t>
  </si>
  <si>
    <t>3</t>
  </si>
  <si>
    <t>4</t>
  </si>
  <si>
    <t>5</t>
  </si>
  <si>
    <t>6</t>
  </si>
  <si>
    <t>VAN Boisement</t>
  </si>
  <si>
    <t>S projet</t>
  </si>
  <si>
    <t>REA forêt</t>
  </si>
  <si>
    <t xml:space="preserve">S ref </t>
  </si>
  <si>
    <t>Plantation résineux</t>
  </si>
  <si>
    <t>Plantation feuillus</t>
  </si>
  <si>
    <t>Étiquettes de lignes</t>
  </si>
  <si>
    <t>(vide)</t>
  </si>
  <si>
    <t>Total général</t>
  </si>
  <si>
    <t>Somme de Surface à boiser (ha)</t>
  </si>
  <si>
    <t xml:space="preserve">Classes de fertilités </t>
  </si>
  <si>
    <t>Information projet</t>
  </si>
  <si>
    <t>Essence 2 :</t>
  </si>
  <si>
    <t>S Ess 2 (T C/ha)</t>
  </si>
  <si>
    <t>S Ess 2 (T CO2/ha)</t>
  </si>
  <si>
    <t>S Ess 2 (TCO2)</t>
  </si>
  <si>
    <t>Cèdre de l'Atlas - technique et forêt "Première approche de la production potentielle du cèdre de l'atlas" J.TOTH</t>
  </si>
  <si>
    <t>Chêne -  (PARDE 1962) SECTEUR LIGERIEN</t>
  </si>
  <si>
    <t>Douglas - (DECOURT 1972) OUEST DU MASSIF CENTRAL</t>
  </si>
  <si>
    <t>Pin Maritime - (DECOURT - LEMOINE - 1969) SUD OUEST LANDES</t>
  </si>
  <si>
    <t>Chataignier - Bilan des essais forestiers consacrés au chataignier en Bretagne CRPF</t>
  </si>
  <si>
    <t>Pin Laricio - (DECOURT - 1965) SOLOGNE</t>
  </si>
  <si>
    <t>Pin Sylvestre - (DECOURT 1965) SOLOGNE</t>
  </si>
  <si>
    <t>Epicéa sitka - CRPF Bretagne 1986</t>
  </si>
  <si>
    <t>Thuya - Douglas - (DECOURT 1972) OUEST DU MASSIF CENTRAL</t>
  </si>
  <si>
    <t>Rabais</t>
  </si>
  <si>
    <t xml:space="preserve">VAN Boisement 50% aide région </t>
  </si>
  <si>
    <t>Prix avec décote immobilière 20% voir Guide expertise CNIEFEB</t>
  </si>
  <si>
    <t>Prix marché actuel</t>
  </si>
  <si>
    <t xml:space="preserve">VAN reboisement </t>
  </si>
  <si>
    <t xml:space="preserve">VAN reboisement - Cas particulier sur devis </t>
  </si>
  <si>
    <t>Protection gibier</t>
  </si>
  <si>
    <t>Pin maritime</t>
  </si>
  <si>
    <t xml:space="preserve">Protection gibier </t>
  </si>
  <si>
    <t xml:space="preserve">VAN projet total </t>
  </si>
  <si>
    <t xml:space="preserve">VAN avec subvention AMI Dynamic </t>
  </si>
  <si>
    <t xml:space="preserve">Recette de la coupe des bois </t>
  </si>
  <si>
    <t xml:space="preserve">∆ VAN = </t>
  </si>
  <si>
    <t>VAN ref (recette des produits de la coupe+accrus)</t>
  </si>
  <si>
    <t xml:space="preserve">Rabais pour les risques généraux </t>
  </si>
  <si>
    <t xml:space="preserve">Rabais sur la classe de fertilité </t>
  </si>
  <si>
    <t>REA généralisable</t>
  </si>
  <si>
    <t>Stock de carbone dans le sol (en tMS)</t>
  </si>
  <si>
    <t>Sref accrus (T CO2/ha)</t>
  </si>
  <si>
    <t>Sref accrus TCO2</t>
  </si>
  <si>
    <t>Essence accru</t>
  </si>
  <si>
    <t xml:space="preserve">Equation méthode Verra du stock moyen de long terme </t>
  </si>
  <si>
    <t>Surface (ha)</t>
  </si>
  <si>
    <t xml:space="preserve">Stock moyen de long terme /ha </t>
  </si>
  <si>
    <t>Stock moyen long terme projet</t>
  </si>
  <si>
    <t>Scénario de ref</t>
  </si>
  <si>
    <t>REA foret</t>
  </si>
  <si>
    <t>CHENE</t>
  </si>
  <si>
    <t>PIN MARITIME</t>
  </si>
  <si>
    <t>Cl 2.</t>
  </si>
  <si>
    <t>Age</t>
  </si>
  <si>
    <t>Vt (Volume sur pied)</t>
  </si>
  <si>
    <t>m3/ha/an</t>
  </si>
  <si>
    <t>Vt (Volume de bois sur pied)</t>
  </si>
  <si>
    <t>-</t>
  </si>
  <si>
    <t>Extrapolation de la table de production Chêne selon l'equation de droite de la courbe tendance (courbe polynomiale du 2nd degré)</t>
  </si>
  <si>
    <t>Extrapolation de la table de production de Pin Maritime selon l'equation de droite de la courbe tendance (courbe polynomiale du 2nd degré)</t>
  </si>
  <si>
    <t xml:space="preserve">Année </t>
  </si>
  <si>
    <t>S(n)</t>
  </si>
  <si>
    <t>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</si>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</sst>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0.0%"/>
    <numFmt numFmtId="165" formatCode="0.000"/>
    <numFmt numFmtId="166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9" tint="0.59999389629810485"/>
      <name val="Arial Narrow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9" tint="0.59999389629810485"/>
      <name val="Arial Narrow"/>
      <family val="2"/>
    </font>
    <font>
      <sz val="11"/>
      <color rgb="FFFF0000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 Narrow"/>
      <family val="2"/>
    </font>
    <font>
      <sz val="11"/>
      <color theme="9" tint="0.3999755851924192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i/>
      <sz val="11"/>
      <color theme="2" tint="-0.74999237037263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theme="5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theme="9"/>
      </bottom>
      <diagonal/>
    </border>
    <border>
      <left/>
      <right style="thin">
        <color theme="0"/>
      </right>
      <top/>
      <bottom/>
      <diagonal/>
    </border>
    <border>
      <left style="thin">
        <color theme="5" tint="0.39997558519241921"/>
      </left>
      <right/>
      <top/>
      <bottom style="thin">
        <color theme="5" tint="0.39997558519241921"/>
      </bottom>
      <diagonal/>
    </border>
    <border>
      <left/>
      <right style="thin">
        <color theme="5" tint="0.39997558519241921"/>
      </right>
      <top/>
      <bottom style="thin">
        <color theme="5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1">
    <xf numFmtId="0" fontId="0" fillId="0" borderId="0" xfId="0"/>
    <xf numFmtId="9" fontId="0" fillId="0" borderId="0" xfId="1" applyFont="1"/>
    <xf numFmtId="0" fontId="0" fillId="0" borderId="0" xfId="0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/>
    </xf>
    <xf numFmtId="6" fontId="0" fillId="0" borderId="0" xfId="0" applyNumberFormat="1" applyFill="1"/>
    <xf numFmtId="0" fontId="7" fillId="0" borderId="0" xfId="0" applyFont="1" applyAlignment="1">
      <alignment horizontal="left"/>
    </xf>
    <xf numFmtId="164" fontId="7" fillId="0" borderId="0" xfId="1" applyNumberFormat="1" applyFont="1" applyAlignment="1">
      <alignment horizontal="left"/>
    </xf>
    <xf numFmtId="0" fontId="0" fillId="5" borderId="1" xfId="0" applyFont="1" applyFill="1" applyBorder="1"/>
    <xf numFmtId="0" fontId="0" fillId="0" borderId="1" xfId="0" applyFont="1" applyBorder="1"/>
    <xf numFmtId="0" fontId="6" fillId="2" borderId="0" xfId="0" applyFont="1" applyFill="1"/>
    <xf numFmtId="44" fontId="0" fillId="0" borderId="0" xfId="2" applyFont="1"/>
    <xf numFmtId="0" fontId="8" fillId="0" borderId="0" xfId="0" applyFont="1"/>
    <xf numFmtId="0" fontId="8" fillId="0" borderId="0" xfId="0" applyFont="1" applyFill="1"/>
    <xf numFmtId="1" fontId="0" fillId="0" borderId="0" xfId="0" applyNumberFormat="1"/>
    <xf numFmtId="1" fontId="0" fillId="5" borderId="1" xfId="0" applyNumberFormat="1" applyFont="1" applyFill="1" applyBorder="1"/>
    <xf numFmtId="1" fontId="0" fillId="0" borderId="1" xfId="0" applyNumberFormat="1" applyFont="1" applyBorder="1"/>
    <xf numFmtId="0" fontId="8" fillId="4" borderId="0" xfId="0" applyFont="1" applyFill="1"/>
    <xf numFmtId="2" fontId="0" fillId="0" borderId="1" xfId="0" applyNumberFormat="1" applyFont="1" applyBorder="1"/>
    <xf numFmtId="6" fontId="0" fillId="0" borderId="0" xfId="0" applyNumberFormat="1"/>
    <xf numFmtId="0" fontId="10" fillId="0" borderId="0" xfId="0" applyFont="1"/>
    <xf numFmtId="0" fontId="7" fillId="0" borderId="0" xfId="0" applyFont="1"/>
    <xf numFmtId="0" fontId="0" fillId="0" borderId="0" xfId="1" applyNumberFormat="1" applyFont="1"/>
    <xf numFmtId="0" fontId="0" fillId="0" borderId="10" xfId="0" applyBorder="1"/>
    <xf numFmtId="0" fontId="0" fillId="0" borderId="0" xfId="0" applyBorder="1"/>
    <xf numFmtId="1" fontId="0" fillId="0" borderId="0" xfId="0" applyNumberFormat="1" applyBorder="1"/>
    <xf numFmtId="0" fontId="0" fillId="0" borderId="0" xfId="0" applyFill="1"/>
    <xf numFmtId="0" fontId="6" fillId="0" borderId="0" xfId="0" applyFont="1"/>
    <xf numFmtId="1" fontId="6" fillId="0" borderId="0" xfId="0" applyNumberFormat="1" applyFont="1"/>
    <xf numFmtId="0" fontId="9" fillId="3" borderId="0" xfId="0" applyFont="1" applyFill="1" applyAlignment="1"/>
    <xf numFmtId="0" fontId="9" fillId="0" borderId="0" xfId="0" applyFont="1" applyFill="1" applyAlignment="1"/>
    <xf numFmtId="0" fontId="4" fillId="0" borderId="0" xfId="0" applyFont="1" applyFill="1" applyAlignment="1">
      <alignment horizontal="left"/>
    </xf>
    <xf numFmtId="0" fontId="11" fillId="0" borderId="0" xfId="0" applyFont="1"/>
    <xf numFmtId="0" fontId="9" fillId="0" borderId="0" xfId="0" applyFont="1" applyFill="1" applyAlignment="1">
      <alignment horizontal="left"/>
    </xf>
    <xf numFmtId="0" fontId="0" fillId="0" borderId="0" xfId="0" applyFill="1" applyBorder="1"/>
    <xf numFmtId="0" fontId="4" fillId="0" borderId="0" xfId="0" applyFont="1" applyFill="1" applyBorder="1" applyAlignment="1">
      <alignment horizontal="left"/>
    </xf>
    <xf numFmtId="0" fontId="12" fillId="8" borderId="11" xfId="0" applyFont="1" applyFill="1" applyBorder="1"/>
    <xf numFmtId="0" fontId="12" fillId="8" borderId="12" xfId="0" applyFont="1" applyFill="1" applyBorder="1"/>
    <xf numFmtId="0" fontId="12" fillId="8" borderId="13" xfId="0" applyFont="1" applyFill="1" applyBorder="1"/>
    <xf numFmtId="0" fontId="0" fillId="9" borderId="11" xfId="0" applyFont="1" applyFill="1" applyBorder="1"/>
    <xf numFmtId="0" fontId="0" fillId="9" borderId="13" xfId="0" applyFont="1" applyFill="1" applyBorder="1"/>
    <xf numFmtId="0" fontId="0" fillId="0" borderId="11" xfId="0" applyFont="1" applyBorder="1"/>
    <xf numFmtId="0" fontId="0" fillId="0" borderId="13" xfId="0" applyFont="1" applyBorder="1"/>
    <xf numFmtId="165" fontId="0" fillId="5" borderId="1" xfId="0" applyNumberFormat="1" applyFont="1" applyFill="1" applyBorder="1"/>
    <xf numFmtId="0" fontId="0" fillId="0" borderId="0" xfId="0" applyFont="1"/>
    <xf numFmtId="1" fontId="8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13" fillId="0" borderId="0" xfId="0" applyFont="1" applyFill="1" applyAlignment="1">
      <alignment horizontal="left"/>
    </xf>
    <xf numFmtId="0" fontId="13" fillId="10" borderId="14" xfId="0" applyFont="1" applyFill="1" applyBorder="1" applyAlignment="1">
      <alignment horizontal="center"/>
    </xf>
    <xf numFmtId="0" fontId="0" fillId="0" borderId="0" xfId="0" applyFont="1" applyFill="1" applyBorder="1"/>
    <xf numFmtId="166" fontId="0" fillId="9" borderId="13" xfId="0" applyNumberFormat="1" applyFont="1" applyFill="1" applyBorder="1"/>
    <xf numFmtId="166" fontId="0" fillId="9" borderId="11" xfId="0" applyNumberFormat="1" applyFont="1" applyFill="1" applyBorder="1"/>
    <xf numFmtId="166" fontId="0" fillId="0" borderId="13" xfId="0" applyNumberFormat="1" applyFont="1" applyBorder="1"/>
    <xf numFmtId="166" fontId="0" fillId="0" borderId="11" xfId="0" applyNumberFormat="1" applyFont="1" applyBorder="1"/>
    <xf numFmtId="166" fontId="0" fillId="0" borderId="0" xfId="1" applyNumberFormat="1" applyFont="1"/>
    <xf numFmtId="166" fontId="0" fillId="0" borderId="0" xfId="0" applyNumberFormat="1"/>
    <xf numFmtId="166" fontId="0" fillId="0" borderId="0" xfId="0" applyNumberFormat="1" applyFill="1"/>
    <xf numFmtId="166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/>
    </xf>
    <xf numFmtId="0" fontId="14" fillId="2" borderId="0" xfId="0" applyFont="1" applyFill="1"/>
    <xf numFmtId="0" fontId="13" fillId="10" borderId="10" xfId="0" applyFont="1" applyFill="1" applyBorder="1" applyAlignment="1">
      <alignment horizontal="left"/>
    </xf>
    <xf numFmtId="0" fontId="6" fillId="5" borderId="1" xfId="0" applyFont="1" applyFill="1" applyBorder="1"/>
    <xf numFmtId="1" fontId="6" fillId="5" borderId="1" xfId="0" applyNumberFormat="1" applyFont="1" applyFill="1" applyBorder="1"/>
    <xf numFmtId="0" fontId="0" fillId="7" borderId="0" xfId="0" applyNumberFormat="1" applyFill="1"/>
    <xf numFmtId="0" fontId="4" fillId="2" borderId="0" xfId="0" applyFont="1" applyFill="1" applyAlignment="1">
      <alignment horizontal="left"/>
    </xf>
    <xf numFmtId="0" fontId="6" fillId="0" borderId="15" xfId="0" applyFont="1" applyBorder="1"/>
    <xf numFmtId="0" fontId="6" fillId="0" borderId="15" xfId="1" applyNumberFormat="1" applyFont="1" applyBorder="1"/>
    <xf numFmtId="166" fontId="0" fillId="5" borderId="1" xfId="1" applyNumberFormat="1" applyFont="1" applyFill="1" applyBorder="1"/>
    <xf numFmtId="166" fontId="0" fillId="5" borderId="1" xfId="0" applyNumberFormat="1" applyFont="1" applyFill="1" applyBorder="1"/>
    <xf numFmtId="166" fontId="0" fillId="0" borderId="1" xfId="0" applyNumberFormat="1" applyFont="1" applyBorder="1" applyAlignment="1">
      <alignment horizontal="center" wrapText="1"/>
    </xf>
    <xf numFmtId="166" fontId="0" fillId="0" borderId="1" xfId="0" applyNumberFormat="1" applyFont="1" applyBorder="1"/>
    <xf numFmtId="166" fontId="0" fillId="5" borderId="1" xfId="0" applyNumberFormat="1" applyFont="1" applyFill="1" applyBorder="1" applyAlignment="1">
      <alignment horizont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16" fillId="11" borderId="0" xfId="0" applyFont="1" applyFill="1"/>
    <xf numFmtId="0" fontId="17" fillId="11" borderId="0" xfId="0" applyFont="1" applyFill="1" applyAlignment="1"/>
    <xf numFmtId="0" fontId="0" fillId="3" borderId="0" xfId="0" applyFill="1"/>
    <xf numFmtId="0" fontId="0" fillId="5" borderId="1" xfId="0" applyFont="1" applyFill="1" applyBorder="1" applyAlignment="1">
      <alignment horizontal="left"/>
    </xf>
    <xf numFmtId="0" fontId="8" fillId="0" borderId="0" xfId="0" applyFont="1" applyFill="1" applyBorder="1"/>
    <xf numFmtId="1" fontId="0" fillId="0" borderId="0" xfId="0" applyNumberFormat="1" applyFill="1" applyBorder="1"/>
    <xf numFmtId="1" fontId="0" fillId="0" borderId="0" xfId="0" applyNumberFormat="1" applyFont="1" applyFill="1" applyBorder="1"/>
    <xf numFmtId="2" fontId="0" fillId="0" borderId="0" xfId="0" applyNumberFormat="1" applyFont="1" applyFill="1" applyBorder="1"/>
    <xf numFmtId="0" fontId="7" fillId="0" borderId="0" xfId="0" applyFont="1" applyFill="1" applyBorder="1"/>
    <xf numFmtId="1" fontId="6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4" fillId="0" borderId="0" xfId="0" applyFont="1" applyFill="1" applyBorder="1" applyAlignment="1"/>
    <xf numFmtId="0" fontId="0" fillId="0" borderId="0" xfId="0" applyNumberFormat="1" applyFill="1" applyBorder="1"/>
    <xf numFmtId="165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/>
    </xf>
    <xf numFmtId="0" fontId="0" fillId="9" borderId="12" xfId="0" applyFont="1" applyFill="1" applyBorder="1"/>
    <xf numFmtId="0" fontId="0" fillId="0" borderId="12" xfId="0" applyFont="1" applyBorder="1"/>
    <xf numFmtId="0" fontId="21" fillId="12" borderId="11" xfId="0" applyFont="1" applyFill="1" applyBorder="1"/>
    <xf numFmtId="1" fontId="0" fillId="9" borderId="11" xfId="0" applyNumberFormat="1" applyFont="1" applyFill="1" applyBorder="1"/>
    <xf numFmtId="1" fontId="0" fillId="0" borderId="11" xfId="0" applyNumberFormat="1" applyFont="1" applyBorder="1"/>
    <xf numFmtId="0" fontId="20" fillId="12" borderId="17" xfId="0" applyFont="1" applyFill="1" applyBorder="1"/>
    <xf numFmtId="0" fontId="20" fillId="6" borderId="17" xfId="0" applyFont="1" applyFill="1" applyBorder="1"/>
    <xf numFmtId="0" fontId="20" fillId="6" borderId="18" xfId="0" applyFont="1" applyFill="1" applyBorder="1"/>
    <xf numFmtId="0" fontId="19" fillId="12" borderId="11" xfId="0" applyFont="1" applyFill="1" applyBorder="1"/>
    <xf numFmtId="0" fontId="19" fillId="6" borderId="11" xfId="0" applyFont="1" applyFill="1" applyBorder="1"/>
    <xf numFmtId="0" fontId="19" fillId="6" borderId="13" xfId="0" applyFont="1" applyFill="1" applyBorder="1"/>
    <xf numFmtId="9" fontId="15" fillId="0" borderId="0" xfId="1" applyFont="1" applyFill="1" applyBorder="1"/>
    <xf numFmtId="0" fontId="18" fillId="0" borderId="16" xfId="0" applyFont="1" applyFill="1" applyBorder="1" applyAlignment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44" fontId="0" fillId="0" borderId="10" xfId="2" applyFont="1" applyBorder="1"/>
    <xf numFmtId="44" fontId="0" fillId="0" borderId="10" xfId="0" applyNumberFormat="1" applyBorder="1"/>
    <xf numFmtId="0" fontId="2" fillId="0" borderId="10" xfId="0" applyFont="1" applyBorder="1"/>
    <xf numFmtId="9" fontId="0" fillId="0" borderId="0" xfId="0" applyNumberFormat="1"/>
    <xf numFmtId="1" fontId="6" fillId="0" borderId="0" xfId="0" applyNumberFormat="1" applyFont="1" applyFill="1" applyBorder="1"/>
    <xf numFmtId="0" fontId="9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22" fillId="0" borderId="27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3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1" fontId="0" fillId="0" borderId="10" xfId="0" applyNumberFormat="1" applyBorder="1"/>
    <xf numFmtId="0" fontId="0" fillId="13" borderId="10" xfId="0" applyFill="1" applyBorder="1"/>
    <xf numFmtId="0" fontId="0" fillId="14" borderId="0" xfId="0" applyFill="1" applyAlignment="1">
      <alignment horizontal="center"/>
    </xf>
    <xf numFmtId="0" fontId="8" fillId="15" borderId="0" xfId="0" applyFont="1" applyFill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0" xfId="0" applyBorder="1" applyAlignment="1">
      <alignment horizontal="center"/>
    </xf>
  </cellXfs>
  <cellStyles count="3">
    <cellStyle name="Monétaire" xfId="2" builtinId="4"/>
    <cellStyle name="Normal" xfId="0" builtinId="0"/>
    <cellStyle name="Pourcentage" xfId="1" builtinId="5"/>
  </cellStyles>
  <dxfs count="25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top style="thin">
          <color theme="5" tint="0.39997558519241921"/>
        </top>
      </border>
    </dxf>
    <dxf>
      <numFmt numFmtId="1" formatCode="0"/>
    </dxf>
    <dxf>
      <border outline="0">
        <bottom style="thin">
          <color theme="5" tint="0.39997558519241921"/>
        </bottom>
      </border>
    </dxf>
    <dxf>
      <font>
        <strike val="0"/>
        <outline val="0"/>
        <shadow val="0"/>
        <u val="none"/>
        <vertAlign val="baseline"/>
        <sz val="11"/>
        <color theme="1" tint="0.499984740745262"/>
        <name val="Calibri"/>
        <scheme val="minor"/>
      </font>
      <fill>
        <patternFill>
          <bgColor theme="5" tint="0.39997558519241921"/>
        </patternFill>
      </fill>
    </dxf>
    <dxf>
      <numFmt numFmtId="10" formatCode="#,##0\ &quot;€&quot;;[Red]\-#,##0\ &quot;€&quot;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relativeIndent="0" justifyLastLine="0" shrinkToFit="0" readingOrder="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colors>
    <mruColors>
      <color rgb="FFFFCA33"/>
      <color rgb="FFFF9933"/>
      <color rgb="FF05AB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'Methode VERRA'!$B$11</c:f>
              <c:strCache>
                <c:ptCount val="1"/>
                <c:pt idx="0">
                  <c:v>Vt (Volume sur pied)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-2.0789588801399827E-3"/>
                  <c:y val="0.4374256342957130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'Methode VERRA'!$A$12:$A$33</c:f>
              <c:numCache>
                <c:formatCode>General</c:formatCode>
                <c:ptCount val="22"/>
                <c:pt idx="0">
                  <c:v>30</c:v>
                </c:pt>
                <c:pt idx="1">
                  <c:v>36</c:v>
                </c:pt>
                <c:pt idx="2">
                  <c:v>42</c:v>
                </c:pt>
                <c:pt idx="3">
                  <c:v>48</c:v>
                </c:pt>
                <c:pt idx="4">
                  <c:v>54</c:v>
                </c:pt>
                <c:pt idx="5">
                  <c:v>60</c:v>
                </c:pt>
                <c:pt idx="6">
                  <c:v>66</c:v>
                </c:pt>
                <c:pt idx="7">
                  <c:v>72</c:v>
                </c:pt>
                <c:pt idx="8">
                  <c:v>78</c:v>
                </c:pt>
                <c:pt idx="9">
                  <c:v>84</c:v>
                </c:pt>
                <c:pt idx="10">
                  <c:v>90</c:v>
                </c:pt>
                <c:pt idx="11">
                  <c:v>98</c:v>
                </c:pt>
                <c:pt idx="12">
                  <c:v>106</c:v>
                </c:pt>
                <c:pt idx="13">
                  <c:v>114</c:v>
                </c:pt>
                <c:pt idx="14">
                  <c:v>122</c:v>
                </c:pt>
                <c:pt idx="15">
                  <c:v>130</c:v>
                </c:pt>
                <c:pt idx="16">
                  <c:v>140</c:v>
                </c:pt>
                <c:pt idx="17">
                  <c:v>150</c:v>
                </c:pt>
                <c:pt idx="18">
                  <c:v>160</c:v>
                </c:pt>
                <c:pt idx="19">
                  <c:v>170</c:v>
                </c:pt>
                <c:pt idx="20">
                  <c:v>180</c:v>
                </c:pt>
                <c:pt idx="21">
                  <c:v>190</c:v>
                </c:pt>
              </c:numCache>
            </c:numRef>
          </c:xVal>
          <c:yVal>
            <c:numRef>
              <c:f>'Methode VERRA'!$B$12:$B$33</c:f>
              <c:numCache>
                <c:formatCode>General</c:formatCode>
                <c:ptCount val="22"/>
                <c:pt idx="0">
                  <c:v>15</c:v>
                </c:pt>
                <c:pt idx="1">
                  <c:v>50</c:v>
                </c:pt>
                <c:pt idx="2">
                  <c:v>83</c:v>
                </c:pt>
                <c:pt idx="3">
                  <c:v>114</c:v>
                </c:pt>
                <c:pt idx="4">
                  <c:v>141</c:v>
                </c:pt>
                <c:pt idx="5">
                  <c:v>169</c:v>
                </c:pt>
                <c:pt idx="6">
                  <c:v>197</c:v>
                </c:pt>
                <c:pt idx="7">
                  <c:v>221</c:v>
                </c:pt>
                <c:pt idx="8">
                  <c:v>242</c:v>
                </c:pt>
                <c:pt idx="9">
                  <c:v>265</c:v>
                </c:pt>
                <c:pt idx="10">
                  <c:v>286</c:v>
                </c:pt>
                <c:pt idx="11">
                  <c:v>314</c:v>
                </c:pt>
                <c:pt idx="12">
                  <c:v>341</c:v>
                </c:pt>
                <c:pt idx="13">
                  <c:v>364</c:v>
                </c:pt>
                <c:pt idx="14">
                  <c:v>388</c:v>
                </c:pt>
                <c:pt idx="15">
                  <c:v>412</c:v>
                </c:pt>
                <c:pt idx="16">
                  <c:v>440</c:v>
                </c:pt>
                <c:pt idx="17">
                  <c:v>468</c:v>
                </c:pt>
                <c:pt idx="18">
                  <c:v>491</c:v>
                </c:pt>
                <c:pt idx="19">
                  <c:v>514</c:v>
                </c:pt>
                <c:pt idx="20">
                  <c:v>528</c:v>
                </c:pt>
                <c:pt idx="21">
                  <c:v>547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1781552"/>
        <c:axId val="-181779376"/>
      </c:scatterChart>
      <c:valAx>
        <c:axId val="-181781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779376"/>
        <c:crosses val="autoZero"/>
        <c:crossBetween val="midCat"/>
      </c:valAx>
      <c:valAx>
        <c:axId val="-18177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781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'Methode VERRA'!$L$12</c:f>
              <c:strCache>
                <c:ptCount val="1"/>
                <c:pt idx="0">
                  <c:v>Vt (Volume sur pied)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6.1872484689413823E-2"/>
                  <c:y val="0.345330635753864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'Methode VERRA'!$K$13:$K$22</c:f>
              <c:numCache>
                <c:formatCode>General</c:formatCode>
                <c:ptCount val="10"/>
                <c:pt idx="0">
                  <c:v>12</c:v>
                </c:pt>
                <c:pt idx="1">
                  <c:v>16</c:v>
                </c:pt>
                <c:pt idx="2">
                  <c:v>20</c:v>
                </c:pt>
                <c:pt idx="3">
                  <c:v>24</c:v>
                </c:pt>
                <c:pt idx="4">
                  <c:v>28</c:v>
                </c:pt>
                <c:pt idx="5">
                  <c:v>34</c:v>
                </c:pt>
                <c:pt idx="6">
                  <c:v>40</c:v>
                </c:pt>
                <c:pt idx="7">
                  <c:v>46</c:v>
                </c:pt>
                <c:pt idx="8">
                  <c:v>54</c:v>
                </c:pt>
                <c:pt idx="9">
                  <c:v>62</c:v>
                </c:pt>
              </c:numCache>
            </c:numRef>
          </c:xVal>
          <c:yVal>
            <c:numRef>
              <c:f>'Methode VERRA'!$L$13:$L$22</c:f>
              <c:numCache>
                <c:formatCode>General</c:formatCode>
                <c:ptCount val="10"/>
                <c:pt idx="0">
                  <c:v>36</c:v>
                </c:pt>
                <c:pt idx="1">
                  <c:v>66</c:v>
                </c:pt>
                <c:pt idx="2">
                  <c:v>97</c:v>
                </c:pt>
                <c:pt idx="3">
                  <c:v>126</c:v>
                </c:pt>
                <c:pt idx="4">
                  <c:v>155</c:v>
                </c:pt>
                <c:pt idx="5">
                  <c:v>198</c:v>
                </c:pt>
                <c:pt idx="6">
                  <c:v>234</c:v>
                </c:pt>
                <c:pt idx="7">
                  <c:v>264</c:v>
                </c:pt>
                <c:pt idx="8">
                  <c:v>295</c:v>
                </c:pt>
                <c:pt idx="9">
                  <c:v>309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1781008"/>
        <c:axId val="-181779920"/>
      </c:scatterChart>
      <c:valAx>
        <c:axId val="-18178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779920"/>
        <c:crosses val="autoZero"/>
        <c:crossBetween val="midCat"/>
      </c:valAx>
      <c:valAx>
        <c:axId val="-181779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781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1584960</xdr:colOff>
      <xdr:row>12</xdr:row>
      <xdr:rowOff>30480</xdr:rowOff>
    </xdr:from>
    <xdr:to>
      <xdr:col>8</xdr:col>
      <xdr:colOff>335280</xdr:colOff>
      <xdr:row>27</xdr:row>
      <xdr:rowOff>30480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403860</xdr:colOff>
      <xdr:row>11</xdr:row>
      <xdr:rowOff>121920</xdr:rowOff>
    </xdr:from>
    <xdr:to>
      <xdr:col>18</xdr:col>
      <xdr:colOff>220980</xdr:colOff>
      <xdr:row>26</xdr:row>
      <xdr:rowOff>121920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139700</xdr:colOff>
      <xdr:row>2</xdr:row>
      <xdr:rowOff>69850</xdr:rowOff>
    </xdr:from>
    <xdr:to>
      <xdr:col>8</xdr:col>
      <xdr:colOff>279400</xdr:colOff>
      <xdr:row>4</xdr:row>
      <xdr:rowOff>171450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400" y="438150"/>
          <a:ext cx="1663700" cy="46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257175</xdr:colOff>
      <xdr:row>16</xdr:row>
      <xdr:rowOff>117475</xdr:rowOff>
    </xdr:from>
    <xdr:to>
      <xdr:col>12</xdr:col>
      <xdr:colOff>644525</xdr:colOff>
      <xdr:row>19</xdr:row>
      <xdr:rowOff>88900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4156075"/>
          <a:ext cx="215900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jet%20LBC_LAVA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-RECONSTITUTION"/>
      <sheetName val="2-REA"/>
      <sheetName val="REA Produit"/>
      <sheetName val="VAN"/>
      <sheetName val="Prix"/>
      <sheetName val="Liste"/>
      <sheetName val="TP"/>
      <sheetName val="CHENE"/>
      <sheetName val="Feuil1"/>
    </sheetNames>
    <sheetDataSet>
      <sheetData sheetId="0"/>
      <sheetData sheetId="1">
        <row r="19">
          <cell r="B19">
            <v>3.36</v>
          </cell>
          <cell r="G19">
            <v>4.3099999999999996</v>
          </cell>
        </row>
      </sheetData>
      <sheetData sheetId="2"/>
      <sheetData sheetId="3"/>
      <sheetData sheetId="4"/>
      <sheetData sheetId="5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</row>
        <row r="2">
          <cell r="A2" t="str">
            <v>Chêne</v>
          </cell>
          <cell r="B2">
            <v>15</v>
          </cell>
        </row>
        <row r="3">
          <cell r="A3" t="str">
            <v xml:space="preserve">Douglas </v>
          </cell>
          <cell r="B3">
            <v>493</v>
          </cell>
          <cell r="C3">
            <v>436</v>
          </cell>
          <cell r="D3">
            <v>336</v>
          </cell>
        </row>
        <row r="4">
          <cell r="A4" t="str">
            <v>Pin Maritime</v>
          </cell>
          <cell r="B4">
            <v>229.33333333333334</v>
          </cell>
          <cell r="C4">
            <v>184.66666666666666</v>
          </cell>
          <cell r="D4">
            <v>146.33333333333334</v>
          </cell>
        </row>
        <row r="5">
          <cell r="A5" t="str">
            <v>Chataignier</v>
          </cell>
          <cell r="B5">
            <v>268.25231481481484</v>
          </cell>
          <cell r="C5">
            <v>191.875</v>
          </cell>
          <cell r="D5">
            <v>161.16512345679013</v>
          </cell>
          <cell r="E5">
            <v>131.58564814814815</v>
          </cell>
          <cell r="F5">
            <v>95.837191358024683</v>
          </cell>
        </row>
        <row r="6">
          <cell r="A6" t="str">
            <v>Pin Laricio</v>
          </cell>
          <cell r="B6">
            <v>202</v>
          </cell>
          <cell r="C6">
            <v>160</v>
          </cell>
          <cell r="D6">
            <v>119</v>
          </cell>
        </row>
        <row r="7">
          <cell r="A7" t="str">
            <v>Pin Sylvestre</v>
          </cell>
          <cell r="B7">
            <v>179</v>
          </cell>
          <cell r="C7">
            <v>146</v>
          </cell>
          <cell r="D7">
            <v>117</v>
          </cell>
          <cell r="E7">
            <v>86</v>
          </cell>
        </row>
        <row r="8">
          <cell r="A8" t="str">
            <v>Cèdre de l'Atlas</v>
          </cell>
          <cell r="B8">
            <v>286</v>
          </cell>
          <cell r="C8">
            <v>134</v>
          </cell>
        </row>
        <row r="9">
          <cell r="A9" t="str">
            <v>Epicéa sitka</v>
          </cell>
          <cell r="B9">
            <v>463</v>
          </cell>
          <cell r="C9">
            <v>425</v>
          </cell>
          <cell r="D9">
            <v>346</v>
          </cell>
          <cell r="E9">
            <v>258</v>
          </cell>
          <cell r="F9">
            <v>161</v>
          </cell>
          <cell r="G9">
            <v>155.6</v>
          </cell>
        </row>
        <row r="10">
          <cell r="A10" t="str">
            <v>Mélèze</v>
          </cell>
          <cell r="B10">
            <v>493</v>
          </cell>
          <cell r="C10">
            <v>436</v>
          </cell>
          <cell r="D10">
            <v>336</v>
          </cell>
        </row>
        <row r="11">
          <cell r="A11" t="str">
            <v>Thuya</v>
          </cell>
          <cell r="B11">
            <v>493</v>
          </cell>
          <cell r="C11">
            <v>436</v>
          </cell>
          <cell r="D11">
            <v>336</v>
          </cell>
        </row>
        <row r="43">
          <cell r="A43" t="str">
            <v>Chêne -  (PARDE 1962) SECTEUR LIGERIEN</v>
          </cell>
        </row>
        <row r="44">
          <cell r="A44" t="str">
            <v>Douglas - (DECOURT 1972) OUEST DU MASSIF CENTRAL</v>
          </cell>
        </row>
        <row r="45">
          <cell r="A45" t="str">
            <v>Pin Maritime - (DECOURT - LEMOINE - 1969) SUD OUEST LANDES</v>
          </cell>
        </row>
        <row r="46">
          <cell r="A46" t="str">
            <v>Chataignier - Bilan des essais forestiers consacrés au chataignier en Bretagne CRPF</v>
          </cell>
        </row>
        <row r="47">
          <cell r="A47" t="str">
            <v>Pin Laricio - (DECOURT - 1965) SOLOGNE</v>
          </cell>
        </row>
        <row r="48">
          <cell r="A48" t="str">
            <v>Pin Sylvestre - (DECOURT 1965) SOLOGNE</v>
          </cell>
        </row>
        <row r="49">
          <cell r="A49" t="str">
            <v>Cèdre de l'Atlas - technique et forêt "Première approche de la production potentielle du cèdre de l'atlas" J.TOTH</v>
          </cell>
        </row>
        <row r="50">
          <cell r="A50" t="str">
            <v>Epicéa sitka - CRPF Bretagne 1986</v>
          </cell>
        </row>
        <row r="51">
          <cell r="A51" t="str">
            <v>Mélèze</v>
          </cell>
        </row>
        <row r="52">
          <cell r="A52" t="str">
            <v>Thuya - Douglas - (DECOURT 1972) OUEST DU MASSIF CENTRAL</v>
          </cell>
        </row>
        <row r="55">
          <cell r="A55">
            <v>0</v>
          </cell>
        </row>
        <row r="56">
          <cell r="A56">
            <v>0.05</v>
          </cell>
        </row>
        <row r="57">
          <cell r="A57">
            <v>0.1</v>
          </cell>
        </row>
        <row r="58">
          <cell r="A58">
            <v>0.15</v>
          </cell>
        </row>
      </sheetData>
      <sheetData sheetId="6"/>
      <sheetData sheetId="7">
        <row r="11">
          <cell r="B11" t="str">
            <v>Vt (Volume sur pied)</v>
          </cell>
        </row>
        <row r="12">
          <cell r="A12">
            <v>30</v>
          </cell>
          <cell r="B12">
            <v>15</v>
          </cell>
          <cell r="L12" t="str">
            <v>Vt (Volume sur pied)</v>
          </cell>
        </row>
        <row r="13">
          <cell r="A13">
            <v>36</v>
          </cell>
          <cell r="B13">
            <v>50</v>
          </cell>
          <cell r="K13">
            <v>12</v>
          </cell>
          <cell r="L13">
            <v>36</v>
          </cell>
        </row>
        <row r="14">
          <cell r="A14">
            <v>42</v>
          </cell>
          <cell r="B14">
            <v>83</v>
          </cell>
          <cell r="K14">
            <v>16</v>
          </cell>
          <cell r="L14">
            <v>66</v>
          </cell>
        </row>
        <row r="15">
          <cell r="A15">
            <v>48</v>
          </cell>
          <cell r="B15">
            <v>114</v>
          </cell>
          <cell r="K15">
            <v>20</v>
          </cell>
          <cell r="L15">
            <v>97</v>
          </cell>
        </row>
        <row r="16">
          <cell r="A16">
            <v>54</v>
          </cell>
          <cell r="B16">
            <v>141</v>
          </cell>
          <cell r="K16">
            <v>24</v>
          </cell>
          <cell r="L16">
            <v>126</v>
          </cell>
        </row>
        <row r="17">
          <cell r="A17">
            <v>60</v>
          </cell>
          <cell r="B17">
            <v>169</v>
          </cell>
          <cell r="K17">
            <v>28</v>
          </cell>
          <cell r="L17">
            <v>155</v>
          </cell>
        </row>
        <row r="18">
          <cell r="A18">
            <v>66</v>
          </cell>
          <cell r="B18">
            <v>197</v>
          </cell>
          <cell r="K18">
            <v>34</v>
          </cell>
          <cell r="L18">
            <v>198</v>
          </cell>
        </row>
        <row r="19">
          <cell r="A19">
            <v>72</v>
          </cell>
          <cell r="B19">
            <v>221</v>
          </cell>
          <cell r="K19">
            <v>40</v>
          </cell>
          <cell r="L19">
            <v>234</v>
          </cell>
        </row>
        <row r="20">
          <cell r="A20">
            <v>78</v>
          </cell>
          <cell r="B20">
            <v>242</v>
          </cell>
          <cell r="K20">
            <v>46</v>
          </cell>
          <cell r="L20">
            <v>264</v>
          </cell>
        </row>
        <row r="21">
          <cell r="A21">
            <v>84</v>
          </cell>
          <cell r="B21">
            <v>265</v>
          </cell>
          <cell r="K21">
            <v>54</v>
          </cell>
          <cell r="L21">
            <v>295</v>
          </cell>
        </row>
        <row r="22">
          <cell r="A22">
            <v>90</v>
          </cell>
          <cell r="B22">
            <v>286</v>
          </cell>
          <cell r="K22">
            <v>62</v>
          </cell>
          <cell r="L22">
            <v>309</v>
          </cell>
        </row>
        <row r="23">
          <cell r="A23">
            <v>98</v>
          </cell>
          <cell r="B23">
            <v>314</v>
          </cell>
        </row>
        <row r="24">
          <cell r="A24">
            <v>106</v>
          </cell>
          <cell r="B24">
            <v>341</v>
          </cell>
        </row>
        <row r="25">
          <cell r="A25">
            <v>114</v>
          </cell>
          <cell r="B25">
            <v>364</v>
          </cell>
        </row>
        <row r="26">
          <cell r="A26">
            <v>122</v>
          </cell>
          <cell r="B26">
            <v>388</v>
          </cell>
        </row>
        <row r="27">
          <cell r="A27">
            <v>130</v>
          </cell>
          <cell r="B27">
            <v>412</v>
          </cell>
        </row>
        <row r="28">
          <cell r="A28">
            <v>140</v>
          </cell>
          <cell r="B28">
            <v>440</v>
          </cell>
        </row>
        <row r="29">
          <cell r="A29">
            <v>150</v>
          </cell>
          <cell r="B29">
            <v>468</v>
          </cell>
        </row>
        <row r="30">
          <cell r="A30">
            <v>160</v>
          </cell>
          <cell r="B30">
            <v>491</v>
          </cell>
        </row>
        <row r="31">
          <cell r="A31">
            <v>170</v>
          </cell>
          <cell r="B31">
            <v>514</v>
          </cell>
        </row>
        <row r="32">
          <cell r="A32">
            <v>180</v>
          </cell>
          <cell r="B32">
            <v>528</v>
          </cell>
        </row>
        <row r="33">
          <cell r="A33">
            <v>190</v>
          </cell>
          <cell r="B33">
            <v>547</v>
          </cell>
        </row>
      </sheetData>
      <sheetData sheetId="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héodore Perrin" refreshedDate="43810.582779976852" createdVersion="5" refreshedVersion="5" minRefreshableVersion="3" recordCount="20">
  <cacheSource type="worksheet">
    <worksheetSource ref="B163:H183" sheet="2-RECONSTITUTION"/>
  </cacheSource>
  <cacheFields count="7">
    <cacheField name="Propriétaire" numFmtId="0">
      <sharedItems containsBlank="1"/>
    </cacheField>
    <cacheField name="Commune" numFmtId="0">
      <sharedItems containsBlank="1"/>
    </cacheField>
    <cacheField name="Références cadastrales" numFmtId="0">
      <sharedItems containsBlank="1"/>
    </cacheField>
    <cacheField name="Surface à boiser (ha)" numFmtId="0">
      <sharedItems containsBlank="1" containsMixedTypes="1" containsNumber="1" minValue="0.2" maxValue="4.3099999999999996"/>
    </cacheField>
    <cacheField name="Essence" numFmtId="0">
      <sharedItems containsBlank="1" count="3">
        <m/>
        <s v="Pin Maritime"/>
        <s v="Chêne"/>
      </sharedItems>
    </cacheField>
    <cacheField name="Coût des travaux (€/ha)" numFmtId="0">
      <sharedItems containsBlank="1" containsMixedTypes="1" containsNumber="1" minValue="4795.97" maxValue="5852.98"/>
    </cacheField>
    <cacheField name="Coût total des travaux (€)" numFmtId="0">
      <sharedItems containsBlank="1" containsMixedTypes="1" containsNumber="1" minValue="1170.596" maxValue="20670.630699999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m/>
    <m/>
    <m/>
    <s v="[A]"/>
    <x v="0"/>
    <s v="[B]"/>
    <s v="[C=AxB]"/>
  </r>
  <r>
    <s v="DETROYAT"/>
    <s v="Lavaré"/>
    <s v="A488"/>
    <n v="4.3099999999999996"/>
    <x v="1"/>
    <n v="4795.97"/>
    <n v="20670.630699999998"/>
  </r>
  <r>
    <s v="DETROYAT"/>
    <s v="Lavaré"/>
    <s v="A488"/>
    <n v="0.2"/>
    <x v="2"/>
    <n v="5852.98"/>
    <n v="1170.596"/>
  </r>
  <r>
    <s v="DETROYAT"/>
    <s v="Lavaré"/>
    <s v="A558"/>
    <n v="3.16"/>
    <x v="2"/>
    <n v="5852.98"/>
    <n v="18495.416799999999"/>
  </r>
  <r>
    <m/>
    <m/>
    <m/>
    <m/>
    <x v="0"/>
    <m/>
    <m/>
  </r>
  <r>
    <m/>
    <m/>
    <m/>
    <m/>
    <x v="0"/>
    <m/>
    <m/>
  </r>
  <r>
    <m/>
    <m/>
    <m/>
    <m/>
    <x v="0"/>
    <m/>
    <m/>
  </r>
  <r>
    <m/>
    <m/>
    <m/>
    <m/>
    <x v="0"/>
    <m/>
    <m/>
  </r>
  <r>
    <m/>
    <m/>
    <m/>
    <m/>
    <x v="0"/>
    <m/>
    <m/>
  </r>
  <r>
    <m/>
    <m/>
    <m/>
    <m/>
    <x v="0"/>
    <m/>
    <m/>
  </r>
  <r>
    <m/>
    <m/>
    <m/>
    <m/>
    <x v="0"/>
    <m/>
    <m/>
  </r>
  <r>
    <m/>
    <m/>
    <m/>
    <m/>
    <x v="0"/>
    <m/>
    <m/>
  </r>
  <r>
    <m/>
    <m/>
    <m/>
    <m/>
    <x v="0"/>
    <m/>
    <m/>
  </r>
  <r>
    <m/>
    <m/>
    <m/>
    <m/>
    <x v="0"/>
    <m/>
    <m/>
  </r>
  <r>
    <m/>
    <m/>
    <m/>
    <m/>
    <x v="0"/>
    <m/>
    <m/>
  </r>
  <r>
    <m/>
    <m/>
    <m/>
    <m/>
    <x v="0"/>
    <m/>
    <m/>
  </r>
  <r>
    <m/>
    <m/>
    <m/>
    <m/>
    <x v="0"/>
    <m/>
    <m/>
  </r>
  <r>
    <m/>
    <m/>
    <m/>
    <m/>
    <x v="0"/>
    <m/>
    <m/>
  </r>
  <r>
    <m/>
    <m/>
    <m/>
    <m/>
    <x v="0"/>
    <m/>
    <m/>
  </r>
  <r>
    <m/>
    <m/>
    <m/>
    <m/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0" cacheId="7" applyNumberFormats="0" applyBorderFormats="0" applyFontFormats="0" applyPatternFormats="0" applyAlignmentFormats="0" applyWidthHeightFormats="1" dataCaption="Valeurs" updatedVersion="5" minRefreshableVersion="3" useAutoFormatting="1" itemPrintTitles="1" createdVersion="5" indent="0" outline="1" outlineData="1" multipleFieldFilters="0">
  <location ref="E5:F9" firstHeaderRow="1" firstDataRow="1" firstDataCol="1"/>
  <pivotFields count="7">
    <pivotField showAll="0"/>
    <pivotField showAll="0"/>
    <pivotField showAll="0"/>
    <pivotField dataField="1" showAll="0"/>
    <pivotField axis="axisRow" showAll="0">
      <items count="4">
        <item x="2"/>
        <item x="1"/>
        <item x="0"/>
        <item t="default"/>
      </items>
    </pivotField>
    <pivotField showAll="0"/>
    <pivotField showAll="0"/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me de Surface à boiser (ha)" fld="3" baseField="4" baseItem="0"/>
  </dataFields>
  <pivotTableStyleInfo name="PivotStyleMedium2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9" name="Tableau920" displayName="Tableau920" ref="A23:C29" totalsRowShown="0">
  <autoFilter ref="A23:C29"/>
  <tableColumns count="3">
    <tableColumn id="1" name="V"/>
    <tableColumn id="2" name="Variables"/>
    <tableColumn id="3" name="ha" dataDxfId="24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id="21" name="Tableau91722" displayName="Tableau91722" ref="F23:H29" totalsRowShown="0">
  <autoFilter ref="F23:H29"/>
  <tableColumns count="3">
    <tableColumn id="1" name="V"/>
    <tableColumn id="2" name="Variables"/>
    <tableColumn id="3" name="ha" dataDxfId="23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id="7" name="Tableau912" displayName="Tableau912" ref="A43:C49" totalsRowShown="0">
  <autoFilter ref="A43:C49"/>
  <tableColumns count="3">
    <tableColumn id="1" name="V"/>
    <tableColumn id="2" name="Variables"/>
    <tableColumn id="3" name="ha" dataDxfId="22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id="14" name="Tableau14" displayName="Tableau14" ref="B10:H20" totalsRowShown="0">
  <autoFilter ref="B10:H20"/>
  <tableColumns count="7">
    <tableColumn id="1" name="VAN Boisement">
      <calculatedColumnFormula>Liste!I2</calculatedColumnFormula>
    </tableColumn>
    <tableColumn id="2" name="1" dataDxfId="21">
      <calculatedColumnFormula>Liste!J2</calculatedColumnFormula>
    </tableColumn>
    <tableColumn id="3" name="2" dataDxfId="20">
      <calculatedColumnFormula>Liste!K2</calculatedColumnFormula>
    </tableColumn>
    <tableColumn id="4" name="3" dataDxfId="19">
      <calculatedColumnFormula>Liste!L2</calculatedColumnFormula>
    </tableColumn>
    <tableColumn id="5" name="4" dataDxfId="18">
      <calculatedColumnFormula>Liste!M2</calculatedColumnFormula>
    </tableColumn>
    <tableColumn id="6" name="5" dataDxfId="17">
      <calculatedColumnFormula>Liste!N2</calculatedColumnFormula>
    </tableColumn>
    <tableColumn id="7" name="6" dataDxfId="16">
      <calculatedColumnFormula>Liste!O2</calculatedColumnFormula>
    </tableColumn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id="3" name="Tableau3" displayName="Tableau3" ref="A1:B15" totalsRowShown="0" headerRowDxfId="15">
  <autoFilter ref="A1:B15"/>
  <tableColumns count="2">
    <tableColumn id="1" name="Frais divers de gestion forestière / Ha"/>
    <tableColumn id="2" name="Colonne1" dataDxfId="14"/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id="22" name="Tableau22" displayName="Tableau22" ref="B17:K40" totalsRowShown="0" headerRowDxfId="13" dataDxfId="11" headerRowBorderDxfId="12" tableBorderDxfId="10">
  <autoFilter ref="B17:K40"/>
  <tableColumns count="10">
    <tableColumn id="1" name="Chêne" dataDxfId="9">
      <calculatedColumnFormula>M18*0.8</calculatedColumnFormula>
    </tableColumn>
    <tableColumn id="2" name="Douglas " dataDxfId="8">
      <calculatedColumnFormula>N18*0.8</calculatedColumnFormula>
    </tableColumn>
    <tableColumn id="3" name="Pin Maritime" dataDxfId="7">
      <calculatedColumnFormula>O18*0.8</calculatedColumnFormula>
    </tableColumn>
    <tableColumn id="4" name="Chataignier" dataDxfId="6">
      <calculatedColumnFormula>P18*0.8</calculatedColumnFormula>
    </tableColumn>
    <tableColumn id="5" name="Pin Laricio" dataDxfId="5">
      <calculatedColumnFormula>Q18*0.8</calculatedColumnFormula>
    </tableColumn>
    <tableColumn id="6" name="Pin Sylvestre" dataDxfId="4">
      <calculatedColumnFormula>R18*0.8</calculatedColumnFormula>
    </tableColumn>
    <tableColumn id="7" name="Cèdre" dataDxfId="3">
      <calculatedColumnFormula>S18*0.8</calculatedColumnFormula>
    </tableColumn>
    <tableColumn id="8" name="Epicéa sitka" dataDxfId="2">
      <calculatedColumnFormula>T18*0.8</calculatedColumnFormula>
    </tableColumn>
    <tableColumn id="9" name="Mélèze" dataDxfId="1">
      <calculatedColumnFormula>U18*0.8</calculatedColumnFormula>
    </tableColumn>
    <tableColumn id="10" name="Thuya" dataDxfId="0">
      <calculatedColumnFormula>V18*0.8</calculatedColumnFormula>
    </tableColumn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id="2" name="Tableau2" displayName="Tableau2" ref="A14:B24" totalsRowShown="0">
  <autoFilter ref="A14:B24"/>
  <tableColumns count="2">
    <tableColumn id="1" name="Infradensité de l'Essence (tMS/m3)"/>
    <tableColumn id="2" name="Colonne1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id="4" name="Tableau4" displayName="Tableau4" ref="A26:B29" totalsRowShown="0">
  <autoFilter ref="A26:B29"/>
  <tableColumns count="2">
    <tableColumn id="1" name="Catégorie de produit "/>
    <tableColumn id="2" name="Coeff de substitution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id="8" name="Tableau8" displayName="Tableau8" ref="A31:B41" totalsRowShown="0">
  <autoFilter ref="A31:B41"/>
  <tableColumns count="2">
    <tableColumn id="1" name="C.F existantes (Voir table)"/>
    <tableColumn id="2" name="Colonne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7"/>
  <sheetViews>
    <sheetView tabSelected="1" workbookViewId="0">
      <selection activeCell="C21" sqref="C21"/>
    </sheetView>
  </sheetViews>
  <sheetFormatPr baseColWidth="10" defaultRowHeight="14.4" x14ac:dyDescent="0.3"/>
  <cols>
    <col min="1" max="1" width="15.33203125" customWidth="1"/>
    <col min="2" max="2" width="18.44140625" customWidth="1"/>
    <col min="3" max="3" width="27.109375" bestFit="1" customWidth="1"/>
    <col min="4" max="4" width="26.33203125" bestFit="1" customWidth="1"/>
    <col min="13" max="13" width="13" bestFit="1" customWidth="1"/>
    <col min="14" max="14" width="17.44140625" bestFit="1" customWidth="1"/>
  </cols>
  <sheetData>
    <row r="1" spans="1:27" x14ac:dyDescent="0.3">
      <c r="A1" s="12" t="s">
        <v>166</v>
      </c>
    </row>
    <row r="3" spans="1:27" x14ac:dyDescent="0.3">
      <c r="A3" s="23"/>
      <c r="B3" s="23" t="s">
        <v>167</v>
      </c>
      <c r="C3" s="23" t="s">
        <v>168</v>
      </c>
      <c r="D3" s="23" t="s">
        <v>169</v>
      </c>
    </row>
    <row r="4" spans="1:27" x14ac:dyDescent="0.3">
      <c r="A4" s="23" t="s">
        <v>29</v>
      </c>
      <c r="B4" s="23">
        <f>'[1]2-REA'!B19</f>
        <v>3.36</v>
      </c>
      <c r="C4" s="134">
        <f>C237</f>
        <v>681.68280043527056</v>
      </c>
      <c r="D4" s="23">
        <f>B4*C4</f>
        <v>2290.454209462509</v>
      </c>
    </row>
    <row r="5" spans="1:27" x14ac:dyDescent="0.3">
      <c r="A5" s="23" t="s">
        <v>152</v>
      </c>
      <c r="B5" s="23">
        <f>'[1]2-REA'!G19</f>
        <v>4.3099999999999996</v>
      </c>
      <c r="C5" s="134">
        <f>O100</f>
        <v>508.70834329526082</v>
      </c>
      <c r="D5" s="23">
        <f>B5*C5</f>
        <v>2192.532959602574</v>
      </c>
    </row>
    <row r="6" spans="1:27" x14ac:dyDescent="0.3">
      <c r="A6" s="23" t="s">
        <v>170</v>
      </c>
      <c r="B6" s="23">
        <f>SUM(B4:B5)</f>
        <v>7.67</v>
      </c>
      <c r="C6" s="134">
        <f>AA64</f>
        <v>216.03337081331068</v>
      </c>
      <c r="D6" s="23">
        <f>B6*C6</f>
        <v>1656.9759541380929</v>
      </c>
    </row>
    <row r="8" spans="1:27" x14ac:dyDescent="0.3">
      <c r="C8" s="135" t="s">
        <v>171</v>
      </c>
      <c r="D8" s="135">
        <f>D4+D5-D6</f>
        <v>2826.0112149269908</v>
      </c>
      <c r="E8" t="s">
        <v>85</v>
      </c>
    </row>
    <row r="10" spans="1:27" x14ac:dyDescent="0.3">
      <c r="A10" s="136" t="s">
        <v>172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M10" s="136" t="s">
        <v>173</v>
      </c>
      <c r="N10" s="136" t="s">
        <v>174</v>
      </c>
      <c r="O10" s="136"/>
      <c r="P10" s="136"/>
      <c r="Q10" s="136"/>
      <c r="R10" s="136"/>
      <c r="S10" s="136"/>
      <c r="T10" s="136"/>
      <c r="U10" s="136"/>
      <c r="V10" s="136"/>
      <c r="W10" s="136"/>
      <c r="Y10" s="137" t="s">
        <v>74</v>
      </c>
      <c r="Z10" s="137"/>
      <c r="AA10" s="137"/>
    </row>
    <row r="11" spans="1:27" x14ac:dyDescent="0.3">
      <c r="A11" t="s">
        <v>175</v>
      </c>
      <c r="B11" t="s">
        <v>176</v>
      </c>
    </row>
    <row r="12" spans="1:27" x14ac:dyDescent="0.3">
      <c r="A12" s="23">
        <v>30</v>
      </c>
      <c r="B12" s="23">
        <v>15</v>
      </c>
      <c r="K12" t="s">
        <v>175</v>
      </c>
      <c r="L12" t="s">
        <v>176</v>
      </c>
      <c r="W12">
        <v>1</v>
      </c>
      <c r="X12" t="s">
        <v>177</v>
      </c>
    </row>
    <row r="13" spans="1:27" x14ac:dyDescent="0.3">
      <c r="A13" s="23">
        <v>36</v>
      </c>
      <c r="B13" s="23">
        <v>50</v>
      </c>
      <c r="K13" s="23">
        <v>12</v>
      </c>
      <c r="L13" s="23">
        <v>36</v>
      </c>
      <c r="W13" t="s">
        <v>175</v>
      </c>
      <c r="X13" t="s">
        <v>178</v>
      </c>
    </row>
    <row r="14" spans="1:27" x14ac:dyDescent="0.3">
      <c r="A14" s="23">
        <v>42</v>
      </c>
      <c r="B14" s="23">
        <v>83</v>
      </c>
      <c r="K14" s="23">
        <v>16</v>
      </c>
      <c r="L14" s="23">
        <v>66</v>
      </c>
      <c r="W14" s="23">
        <v>1</v>
      </c>
      <c r="X14" s="23">
        <v>1</v>
      </c>
      <c r="Y14" s="134">
        <f>IF(X14&gt;0,(((X14*0.58) +EXP(-1.0587+(0.8836*LN(X14*0.58))+0.284))*0.475+70+10)*(44/11),0)</f>
        <v>321.64309141188346</v>
      </c>
    </row>
    <row r="15" spans="1:27" x14ac:dyDescent="0.3">
      <c r="A15" s="23">
        <v>48</v>
      </c>
      <c r="B15" s="23">
        <v>114</v>
      </c>
      <c r="K15" s="23">
        <v>20</v>
      </c>
      <c r="L15" s="23">
        <v>97</v>
      </c>
      <c r="W15" s="23">
        <v>2</v>
      </c>
      <c r="X15" s="23">
        <v>2</v>
      </c>
      <c r="Y15" s="134">
        <f t="shared" ref="Y15:AA30" si="0">IF(X15&gt;0,(((X15*0.58) +EXP(-1.0587+(0.8836*LN(X15*0.58))+0.284))*0.475+70+10)*(44/11),0)</f>
        <v>323.20229925061108</v>
      </c>
    </row>
    <row r="16" spans="1:27" x14ac:dyDescent="0.3">
      <c r="A16" s="23">
        <v>54</v>
      </c>
      <c r="B16" s="23">
        <v>141</v>
      </c>
      <c r="K16" s="23">
        <v>24</v>
      </c>
      <c r="L16" s="23">
        <v>126</v>
      </c>
      <c r="W16" s="23">
        <v>3</v>
      </c>
      <c r="X16" s="23">
        <v>3</v>
      </c>
      <c r="Y16" s="134">
        <f t="shared" si="0"/>
        <v>324.7344169059013</v>
      </c>
    </row>
    <row r="17" spans="1:25" x14ac:dyDescent="0.3">
      <c r="A17" s="23">
        <v>60</v>
      </c>
      <c r="B17" s="23">
        <v>169</v>
      </c>
      <c r="K17" s="23">
        <v>28</v>
      </c>
      <c r="L17" s="23">
        <v>155</v>
      </c>
      <c r="W17" s="23">
        <v>4</v>
      </c>
      <c r="X17" s="23">
        <v>4</v>
      </c>
      <c r="Y17" s="134">
        <f t="shared" si="0"/>
        <v>326.24983554180164</v>
      </c>
    </row>
    <row r="18" spans="1:25" x14ac:dyDescent="0.3">
      <c r="A18" s="23">
        <v>66</v>
      </c>
      <c r="B18" s="23">
        <v>197</v>
      </c>
      <c r="K18" s="23">
        <v>34</v>
      </c>
      <c r="L18" s="23">
        <v>198</v>
      </c>
      <c r="W18" s="23">
        <v>5</v>
      </c>
      <c r="X18" s="23">
        <v>5</v>
      </c>
      <c r="Y18" s="134">
        <f t="shared" si="0"/>
        <v>327.75326477450341</v>
      </c>
    </row>
    <row r="19" spans="1:25" x14ac:dyDescent="0.3">
      <c r="A19" s="23">
        <v>72</v>
      </c>
      <c r="B19" s="23">
        <v>221</v>
      </c>
      <c r="K19" s="23">
        <v>40</v>
      </c>
      <c r="L19" s="23">
        <v>234</v>
      </c>
      <c r="W19" s="23">
        <v>6</v>
      </c>
      <c r="X19" s="23">
        <v>6</v>
      </c>
      <c r="Y19" s="134">
        <f t="shared" si="0"/>
        <v>329.24739116571396</v>
      </c>
    </row>
    <row r="20" spans="1:25" x14ac:dyDescent="0.3">
      <c r="A20" s="23">
        <v>78</v>
      </c>
      <c r="B20" s="23">
        <v>242</v>
      </c>
      <c r="K20" s="23">
        <v>46</v>
      </c>
      <c r="L20" s="23">
        <v>264</v>
      </c>
      <c r="W20" s="23">
        <v>7</v>
      </c>
      <c r="X20" s="23">
        <v>7</v>
      </c>
      <c r="Y20" s="134">
        <f t="shared" si="0"/>
        <v>330.73394663788872</v>
      </c>
    </row>
    <row r="21" spans="1:25" x14ac:dyDescent="0.3">
      <c r="A21" s="23">
        <v>84</v>
      </c>
      <c r="B21" s="23">
        <v>265</v>
      </c>
      <c r="K21" s="23">
        <v>54</v>
      </c>
      <c r="L21" s="23">
        <v>295</v>
      </c>
      <c r="W21" s="23">
        <v>8</v>
      </c>
      <c r="X21" s="23">
        <v>8</v>
      </c>
      <c r="Y21" s="134">
        <f t="shared" si="0"/>
        <v>332.21413754339414</v>
      </c>
    </row>
    <row r="22" spans="1:25" x14ac:dyDescent="0.3">
      <c r="A22" s="23">
        <v>90</v>
      </c>
      <c r="B22" s="23">
        <v>286</v>
      </c>
      <c r="K22" s="23">
        <v>62</v>
      </c>
      <c r="L22" s="23">
        <v>309</v>
      </c>
      <c r="W22" s="23">
        <v>9</v>
      </c>
      <c r="X22" s="23">
        <v>9</v>
      </c>
      <c r="Y22" s="134">
        <f t="shared" si="0"/>
        <v>333.68885056656552</v>
      </c>
    </row>
    <row r="23" spans="1:25" x14ac:dyDescent="0.3">
      <c r="A23" s="23">
        <v>98</v>
      </c>
      <c r="B23" s="23">
        <v>314</v>
      </c>
      <c r="W23" s="23">
        <v>10</v>
      </c>
      <c r="X23" s="23">
        <v>10</v>
      </c>
      <c r="Y23" s="134">
        <f t="shared" si="0"/>
        <v>335.15876379134102</v>
      </c>
    </row>
    <row r="24" spans="1:25" x14ac:dyDescent="0.3">
      <c r="A24" s="23">
        <v>106</v>
      </c>
      <c r="B24" s="23">
        <v>341</v>
      </c>
      <c r="W24" s="23">
        <v>11</v>
      </c>
      <c r="X24" s="23">
        <v>11</v>
      </c>
      <c r="Y24" s="134">
        <f t="shared" si="0"/>
        <v>336.62441183709007</v>
      </c>
    </row>
    <row r="25" spans="1:25" x14ac:dyDescent="0.3">
      <c r="A25" s="23">
        <v>114</v>
      </c>
      <c r="B25" s="23">
        <v>364</v>
      </c>
      <c r="W25" s="23">
        <v>12</v>
      </c>
      <c r="X25" s="23">
        <v>12</v>
      </c>
      <c r="Y25" s="134">
        <f t="shared" si="0"/>
        <v>338.08622654438625</v>
      </c>
    </row>
    <row r="26" spans="1:25" x14ac:dyDescent="0.3">
      <c r="A26" s="23">
        <v>122</v>
      </c>
      <c r="B26" s="23">
        <v>388</v>
      </c>
      <c r="W26" s="23">
        <v>13</v>
      </c>
      <c r="X26" s="23">
        <v>13</v>
      </c>
      <c r="Y26" s="134">
        <f t="shared" si="0"/>
        <v>339.54456367614546</v>
      </c>
    </row>
    <row r="27" spans="1:25" x14ac:dyDescent="0.3">
      <c r="A27" s="23">
        <v>130</v>
      </c>
      <c r="B27" s="23">
        <v>412</v>
      </c>
      <c r="W27" s="23">
        <v>14</v>
      </c>
      <c r="X27" s="23">
        <v>14</v>
      </c>
      <c r="Y27" s="134">
        <f t="shared" si="0"/>
        <v>340.9997211533547</v>
      </c>
    </row>
    <row r="28" spans="1:25" x14ac:dyDescent="0.3">
      <c r="A28" s="23">
        <v>140</v>
      </c>
      <c r="B28" s="23">
        <v>440</v>
      </c>
      <c r="W28" s="23">
        <v>15</v>
      </c>
      <c r="X28" s="23">
        <v>15</v>
      </c>
      <c r="Y28" s="134">
        <f t="shared" si="0"/>
        <v>342.45195192520163</v>
      </c>
    </row>
    <row r="29" spans="1:25" x14ac:dyDescent="0.3">
      <c r="A29" s="23">
        <v>150</v>
      </c>
      <c r="B29" s="23">
        <v>468</v>
      </c>
      <c r="W29" s="23">
        <v>16</v>
      </c>
      <c r="X29" s="23">
        <v>16</v>
      </c>
      <c r="Y29" s="134">
        <f t="shared" si="0"/>
        <v>343.90147330624836</v>
      </c>
    </row>
    <row r="30" spans="1:25" x14ac:dyDescent="0.3">
      <c r="A30" s="23">
        <v>160</v>
      </c>
      <c r="B30" s="23">
        <v>491</v>
      </c>
      <c r="W30" s="23">
        <v>17</v>
      </c>
      <c r="X30" s="23">
        <v>17</v>
      </c>
      <c r="Y30" s="134">
        <f t="shared" si="0"/>
        <v>345.34847391140454</v>
      </c>
    </row>
    <row r="31" spans="1:25" x14ac:dyDescent="0.3">
      <c r="A31" s="23">
        <v>170</v>
      </c>
      <c r="B31" s="23">
        <v>514</v>
      </c>
      <c r="W31" s="23">
        <v>18</v>
      </c>
      <c r="X31" s="23">
        <v>18</v>
      </c>
      <c r="Y31" s="134">
        <f t="shared" ref="Y31:AA46" si="1">IF(X31&gt;0,(((X31*0.58) +EXP(-1.0587+(0.8836*LN(X31*0.58))+0.284))*0.475+70+10)*(44/11),0)</f>
        <v>346.79311891206163</v>
      </c>
    </row>
    <row r="32" spans="1:25" x14ac:dyDescent="0.3">
      <c r="A32" s="23">
        <v>180</v>
      </c>
      <c r="B32" s="23">
        <v>528</v>
      </c>
      <c r="W32" s="23">
        <v>19</v>
      </c>
      <c r="X32" s="23">
        <v>19</v>
      </c>
      <c r="Y32" s="134">
        <f t="shared" si="1"/>
        <v>348.2355540907115</v>
      </c>
    </row>
    <row r="33" spans="1:27" x14ac:dyDescent="0.3">
      <c r="A33" s="23">
        <v>190</v>
      </c>
      <c r="B33" s="23">
        <v>547</v>
      </c>
      <c r="W33" s="23">
        <v>20</v>
      </c>
      <c r="X33" s="23">
        <v>20</v>
      </c>
      <c r="Y33" s="134">
        <f t="shared" si="1"/>
        <v>349.67590901760917</v>
      </c>
    </row>
    <row r="34" spans="1:27" x14ac:dyDescent="0.3">
      <c r="A34" s="23">
        <v>200</v>
      </c>
      <c r="B34" s="23" t="s">
        <v>179</v>
      </c>
      <c r="W34" s="23">
        <v>21</v>
      </c>
      <c r="X34" s="23">
        <v>21</v>
      </c>
      <c r="Y34" s="134">
        <f t="shared" si="1"/>
        <v>351.11429957404852</v>
      </c>
    </row>
    <row r="35" spans="1:27" x14ac:dyDescent="0.3">
      <c r="Y35" s="23">
        <v>22</v>
      </c>
      <c r="Z35" s="23">
        <v>22</v>
      </c>
      <c r="AA35" s="134">
        <f t="shared" si="1"/>
        <v>352.55082998139574</v>
      </c>
    </row>
    <row r="36" spans="1:27" x14ac:dyDescent="0.3">
      <c r="A36" s="12" t="s">
        <v>180</v>
      </c>
      <c r="M36" s="12" t="s">
        <v>181</v>
      </c>
      <c r="Y36" s="23">
        <v>23</v>
      </c>
      <c r="Z36" s="23">
        <v>23</v>
      </c>
      <c r="AA36" s="134">
        <f t="shared" si="1"/>
        <v>353.9855944507795</v>
      </c>
    </row>
    <row r="37" spans="1:27" x14ac:dyDescent="0.3">
      <c r="A37" s="23" t="s">
        <v>182</v>
      </c>
      <c r="B37" s="23" t="s">
        <v>22</v>
      </c>
      <c r="C37" s="23" t="s">
        <v>183</v>
      </c>
      <c r="M37" t="s">
        <v>182</v>
      </c>
      <c r="N37" t="s">
        <v>22</v>
      </c>
      <c r="O37" t="s">
        <v>183</v>
      </c>
      <c r="Y37" s="23">
        <v>24</v>
      </c>
      <c r="Z37" s="23">
        <v>24</v>
      </c>
      <c r="AA37" s="134">
        <f t="shared" si="1"/>
        <v>355.41867853778331</v>
      </c>
    </row>
    <row r="38" spans="1:27" x14ac:dyDescent="0.3">
      <c r="A38" s="23">
        <v>1</v>
      </c>
      <c r="B38" s="134">
        <f>(-0.0112*(A38^2))+(5.7083*A38)-137.38</f>
        <v>-131.68289999999999</v>
      </c>
      <c r="C38" s="134">
        <f>IF(B38&gt;0,(((B38*0.58) +EXP(-1.0587+(0.8836*LN(B38*0.58))+0.284))*0.475+70+10)*(44/11),0)</f>
        <v>0</v>
      </c>
      <c r="M38">
        <v>1</v>
      </c>
      <c r="N38" s="14">
        <f>(-0.069*(M38^2))+(10.75*M38)-88.097</f>
        <v>-77.415999999999997</v>
      </c>
      <c r="O38" s="14">
        <f>IF(N38&gt;0,(((N38*0.58) +EXP(-1.0587+(0.8836*LN(N38*0.58))+0.284))*0.475+70+10)*(44/11),0)</f>
        <v>0</v>
      </c>
      <c r="Y38" s="23">
        <v>25</v>
      </c>
      <c r="Z38" s="23">
        <v>25</v>
      </c>
      <c r="AA38" s="134">
        <f t="shared" si="1"/>
        <v>356.85016026499301</v>
      </c>
    </row>
    <row r="39" spans="1:27" x14ac:dyDescent="0.3">
      <c r="A39" s="23">
        <v>2</v>
      </c>
      <c r="B39" s="134">
        <f t="shared" ref="B39:B102" si="2">(-0.0112*(A39^2))+(5.7083*A39)-137.38</f>
        <v>-126.00819999999999</v>
      </c>
      <c r="C39" s="134">
        <f t="shared" ref="C39:C102" si="3">IF(B39&gt;0,(((B39*0.58) +EXP(-1.0587+(0.8836*LN(B39*0.58))+0.284))*0.475+70+10)*(44/11),0)</f>
        <v>0</v>
      </c>
      <c r="M39">
        <v>2</v>
      </c>
      <c r="N39" s="14">
        <f t="shared" ref="N39:N99" si="4">(-0.069*(M39^2))+(10.75*M39)-88.097</f>
        <v>-66.87299999999999</v>
      </c>
      <c r="O39" s="14">
        <f t="shared" ref="O39:O99" si="5">IF(N39&gt;0,(((N39*0.58) +EXP(-1.0587+(0.8836*LN(N39*0.58))+0.284))*0.475+70+10)*(44/11),0)</f>
        <v>0</v>
      </c>
      <c r="Y39" s="23">
        <v>26</v>
      </c>
      <c r="Z39" s="23">
        <v>26</v>
      </c>
      <c r="AA39" s="134">
        <f t="shared" si="1"/>
        <v>358.28011105988134</v>
      </c>
    </row>
    <row r="40" spans="1:27" x14ac:dyDescent="0.3">
      <c r="A40" s="23">
        <v>3</v>
      </c>
      <c r="B40" s="134">
        <f t="shared" si="2"/>
        <v>-120.35589999999999</v>
      </c>
      <c r="C40" s="134">
        <f t="shared" si="3"/>
        <v>0</v>
      </c>
      <c r="M40">
        <v>3</v>
      </c>
      <c r="N40" s="14">
        <f t="shared" si="4"/>
        <v>-56.467999999999989</v>
      </c>
      <c r="O40" s="14">
        <f t="shared" si="5"/>
        <v>0</v>
      </c>
      <c r="Y40" s="23">
        <v>27</v>
      </c>
      <c r="Z40" s="23">
        <v>27</v>
      </c>
      <c r="AA40" s="134">
        <f t="shared" si="1"/>
        <v>359.70859654434412</v>
      </c>
    </row>
    <row r="41" spans="1:27" x14ac:dyDescent="0.3">
      <c r="A41" s="23">
        <v>4</v>
      </c>
      <c r="B41" s="134">
        <f t="shared" si="2"/>
        <v>-114.726</v>
      </c>
      <c r="C41" s="134">
        <f t="shared" si="3"/>
        <v>0</v>
      </c>
      <c r="M41">
        <v>4</v>
      </c>
      <c r="N41" s="14">
        <f t="shared" si="4"/>
        <v>-46.200999999999993</v>
      </c>
      <c r="O41" s="14">
        <f t="shared" si="5"/>
        <v>0</v>
      </c>
      <c r="Y41" s="23">
        <v>28</v>
      </c>
      <c r="Z41" s="23">
        <v>28</v>
      </c>
      <c r="AA41" s="134">
        <f t="shared" si="1"/>
        <v>361.13567720397975</v>
      </c>
    </row>
    <row r="42" spans="1:27" x14ac:dyDescent="0.3">
      <c r="A42" s="23">
        <v>5</v>
      </c>
      <c r="B42" s="134">
        <f t="shared" si="2"/>
        <v>-109.1185</v>
      </c>
      <c r="C42" s="134">
        <f t="shared" si="3"/>
        <v>0</v>
      </c>
      <c r="M42">
        <v>5</v>
      </c>
      <c r="N42" s="14">
        <f t="shared" si="4"/>
        <v>-36.071999999999996</v>
      </c>
      <c r="O42" s="14">
        <f t="shared" si="5"/>
        <v>0</v>
      </c>
      <c r="Y42" s="23">
        <v>29</v>
      </c>
      <c r="Z42" s="23">
        <v>29</v>
      </c>
      <c r="AA42" s="134">
        <f t="shared" si="1"/>
        <v>362.56140895907066</v>
      </c>
    </row>
    <row r="43" spans="1:27" x14ac:dyDescent="0.3">
      <c r="A43" s="23">
        <v>6</v>
      </c>
      <c r="B43" s="134">
        <f t="shared" si="2"/>
        <v>-103.5334</v>
      </c>
      <c r="C43" s="134">
        <f t="shared" si="3"/>
        <v>0</v>
      </c>
      <c r="M43">
        <v>6</v>
      </c>
      <c r="N43" s="14">
        <f t="shared" si="4"/>
        <v>-26.080999999999996</v>
      </c>
      <c r="O43" s="14">
        <f t="shared" si="5"/>
        <v>0</v>
      </c>
      <c r="Y43" s="23">
        <v>30</v>
      </c>
      <c r="Z43" s="23">
        <v>30</v>
      </c>
      <c r="AA43" s="134">
        <f t="shared" si="1"/>
        <v>363.98584365459607</v>
      </c>
    </row>
    <row r="44" spans="1:27" x14ac:dyDescent="0.3">
      <c r="A44" s="23">
        <v>7</v>
      </c>
      <c r="B44" s="134">
        <f t="shared" si="2"/>
        <v>-97.970699999999994</v>
      </c>
      <c r="C44" s="134">
        <f t="shared" si="3"/>
        <v>0</v>
      </c>
      <c r="M44">
        <v>7</v>
      </c>
      <c r="N44" s="14">
        <f t="shared" si="4"/>
        <v>-16.227999999999994</v>
      </c>
      <c r="O44" s="14">
        <f t="shared" si="5"/>
        <v>0</v>
      </c>
      <c r="Y44" s="23">
        <v>31</v>
      </c>
      <c r="Z44" s="23">
        <v>31</v>
      </c>
      <c r="AA44" s="134">
        <f t="shared" si="1"/>
        <v>365.40902948307428</v>
      </c>
    </row>
    <row r="45" spans="1:27" x14ac:dyDescent="0.3">
      <c r="A45" s="23">
        <v>8</v>
      </c>
      <c r="B45" s="134">
        <f t="shared" si="2"/>
        <v>-92.430399999999992</v>
      </c>
      <c r="C45" s="134">
        <f t="shared" si="3"/>
        <v>0</v>
      </c>
      <c r="M45">
        <v>8</v>
      </c>
      <c r="N45" s="14">
        <f t="shared" si="4"/>
        <v>-6.512999999999991</v>
      </c>
      <c r="O45" s="14">
        <f t="shared" si="5"/>
        <v>0</v>
      </c>
      <c r="Y45" s="23">
        <v>32</v>
      </c>
      <c r="Z45" s="23">
        <v>32</v>
      </c>
      <c r="AA45" s="134">
        <f t="shared" si="1"/>
        <v>366.83101135131233</v>
      </c>
    </row>
    <row r="46" spans="1:27" x14ac:dyDescent="0.3">
      <c r="A46" s="23">
        <v>9</v>
      </c>
      <c r="B46" s="134">
        <f t="shared" si="2"/>
        <v>-86.912499999999994</v>
      </c>
      <c r="C46" s="134">
        <f t="shared" si="3"/>
        <v>0</v>
      </c>
      <c r="M46">
        <v>9</v>
      </c>
      <c r="N46" s="14">
        <f t="shared" si="4"/>
        <v>3.0640000000000072</v>
      </c>
      <c r="O46" s="14">
        <f t="shared" si="5"/>
        <v>324.83183758634692</v>
      </c>
      <c r="Y46" s="23">
        <v>33</v>
      </c>
      <c r="Z46" s="23">
        <v>33</v>
      </c>
      <c r="AA46" s="134">
        <f t="shared" si="1"/>
        <v>368.25183120002356</v>
      </c>
    </row>
    <row r="47" spans="1:27" x14ac:dyDescent="0.3">
      <c r="A47" s="23">
        <v>10</v>
      </c>
      <c r="B47" s="134">
        <f t="shared" si="2"/>
        <v>-81.416999999999987</v>
      </c>
      <c r="C47" s="134">
        <f t="shared" si="3"/>
        <v>0</v>
      </c>
      <c r="M47">
        <v>10</v>
      </c>
      <c r="N47" s="14">
        <f t="shared" si="4"/>
        <v>12.503</v>
      </c>
      <c r="O47" s="14">
        <f t="shared" si="5"/>
        <v>338.82018496246252</v>
      </c>
      <c r="Y47" s="23">
        <v>34</v>
      </c>
      <c r="Z47" s="23">
        <v>34</v>
      </c>
      <c r="AA47" s="134">
        <f t="shared" ref="AA47:AC62" si="6">IF(Z47&gt;0,(((Z47*0.58) +EXP(-1.0587+(0.8836*LN(Z47*0.58))+0.284))*0.475+70+10)*(44/11),0)</f>
        <v>369.67152828361566</v>
      </c>
    </row>
    <row r="48" spans="1:27" x14ac:dyDescent="0.3">
      <c r="A48" s="23">
        <v>11</v>
      </c>
      <c r="B48" s="134">
        <f t="shared" si="2"/>
        <v>-75.943899999999985</v>
      </c>
      <c r="C48" s="134">
        <f t="shared" si="3"/>
        <v>0</v>
      </c>
      <c r="M48">
        <v>11</v>
      </c>
      <c r="N48" s="14">
        <f t="shared" si="4"/>
        <v>21.804000000000002</v>
      </c>
      <c r="O48" s="14">
        <f t="shared" si="5"/>
        <v>352.26941199237342</v>
      </c>
      <c r="Y48" s="23">
        <v>35</v>
      </c>
      <c r="Z48" s="23">
        <v>35</v>
      </c>
      <c r="AA48" s="134">
        <f t="shared" si="6"/>
        <v>371.09013941613728</v>
      </c>
    </row>
    <row r="49" spans="1:27" x14ac:dyDescent="0.3">
      <c r="A49" s="23">
        <v>12</v>
      </c>
      <c r="B49" s="134">
        <f t="shared" si="2"/>
        <v>-70.493200000000002</v>
      </c>
      <c r="C49" s="134">
        <f t="shared" si="3"/>
        <v>0</v>
      </c>
      <c r="M49">
        <v>12</v>
      </c>
      <c r="N49" s="14">
        <f t="shared" si="4"/>
        <v>30.966999999999999</v>
      </c>
      <c r="O49" s="14">
        <f t="shared" si="5"/>
        <v>365.36208379889922</v>
      </c>
      <c r="Y49" s="23">
        <v>36</v>
      </c>
      <c r="Z49" s="23">
        <v>36</v>
      </c>
      <c r="AA49" s="134">
        <f t="shared" si="6"/>
        <v>372.50769918832646</v>
      </c>
    </row>
    <row r="50" spans="1:27" x14ac:dyDescent="0.3">
      <c r="A50" s="23">
        <v>13</v>
      </c>
      <c r="B50" s="134">
        <f t="shared" si="2"/>
        <v>-65.06489999999998</v>
      </c>
      <c r="C50" s="134">
        <f t="shared" si="3"/>
        <v>0</v>
      </c>
      <c r="M50">
        <v>13</v>
      </c>
      <c r="N50" s="14">
        <f t="shared" si="4"/>
        <v>39.992000000000004</v>
      </c>
      <c r="O50" s="14">
        <f t="shared" si="5"/>
        <v>378.15674319411471</v>
      </c>
      <c r="Y50" s="23">
        <v>37</v>
      </c>
      <c r="Z50" s="23">
        <v>37</v>
      </c>
      <c r="AA50" s="134">
        <f t="shared" si="6"/>
        <v>373.9242401598645</v>
      </c>
    </row>
    <row r="51" spans="1:27" x14ac:dyDescent="0.3">
      <c r="A51" s="23">
        <v>14</v>
      </c>
      <c r="B51" s="134">
        <f t="shared" si="2"/>
        <v>-59.658999999999992</v>
      </c>
      <c r="C51" s="134">
        <f t="shared" si="3"/>
        <v>0</v>
      </c>
      <c r="M51">
        <v>14</v>
      </c>
      <c r="N51" s="14">
        <f t="shared" si="4"/>
        <v>48.879000000000005</v>
      </c>
      <c r="O51" s="14">
        <f t="shared" si="5"/>
        <v>390.68284263652981</v>
      </c>
      <c r="Y51" s="23">
        <v>38</v>
      </c>
      <c r="Z51" s="23">
        <v>38</v>
      </c>
      <c r="AA51" s="134">
        <f t="shared" si="6"/>
        <v>375.33979303026121</v>
      </c>
    </row>
    <row r="52" spans="1:27" x14ac:dyDescent="0.3">
      <c r="A52" s="23">
        <v>15</v>
      </c>
      <c r="B52" s="134">
        <f t="shared" si="2"/>
        <v>-54.27549999999998</v>
      </c>
      <c r="C52" s="134">
        <f t="shared" si="3"/>
        <v>0</v>
      </c>
      <c r="M52">
        <v>15</v>
      </c>
      <c r="N52" s="14">
        <f t="shared" si="4"/>
        <v>57.628</v>
      </c>
      <c r="O52" s="14">
        <f t="shared" si="5"/>
        <v>402.95815375908109</v>
      </c>
      <c r="Y52" s="23">
        <v>39</v>
      </c>
      <c r="Z52" s="23">
        <v>39</v>
      </c>
      <c r="AA52" s="134">
        <f t="shared" si="6"/>
        <v>376.75438679124642</v>
      </c>
    </row>
    <row r="53" spans="1:27" x14ac:dyDescent="0.3">
      <c r="A53" s="23">
        <v>16</v>
      </c>
      <c r="B53" s="134">
        <f t="shared" si="2"/>
        <v>-48.914399999999986</v>
      </c>
      <c r="C53" s="134">
        <f t="shared" si="3"/>
        <v>0</v>
      </c>
      <c r="M53">
        <v>16</v>
      </c>
      <c r="N53" s="14">
        <f t="shared" si="4"/>
        <v>66.239000000000019</v>
      </c>
      <c r="O53" s="14">
        <f t="shared" si="5"/>
        <v>414.994571807726</v>
      </c>
      <c r="Y53" s="23">
        <v>40</v>
      </c>
      <c r="Z53" s="23">
        <v>40</v>
      </c>
      <c r="AA53" s="134">
        <f t="shared" si="6"/>
        <v>378.16804886309137</v>
      </c>
    </row>
    <row r="54" spans="1:27" x14ac:dyDescent="0.3">
      <c r="A54" s="23">
        <v>17</v>
      </c>
      <c r="B54" s="134">
        <f t="shared" si="2"/>
        <v>-43.575699999999998</v>
      </c>
      <c r="C54" s="134">
        <f t="shared" si="3"/>
        <v>0</v>
      </c>
      <c r="M54">
        <v>17</v>
      </c>
      <c r="N54" s="14">
        <f t="shared" si="4"/>
        <v>74.712000000000003</v>
      </c>
      <c r="O54" s="14">
        <f t="shared" si="5"/>
        <v>426.80061798970195</v>
      </c>
      <c r="Y54" s="23">
        <v>41</v>
      </c>
      <c r="Z54" s="23">
        <v>41</v>
      </c>
      <c r="AA54" s="134">
        <f t="shared" si="6"/>
        <v>379.58080521691443</v>
      </c>
    </row>
    <row r="55" spans="1:27" x14ac:dyDescent="0.3">
      <c r="A55" s="23">
        <v>18</v>
      </c>
      <c r="B55" s="134">
        <f t="shared" si="2"/>
        <v>-38.259399999999985</v>
      </c>
      <c r="C55" s="134">
        <f t="shared" si="3"/>
        <v>0</v>
      </c>
      <c r="M55">
        <v>18</v>
      </c>
      <c r="N55" s="14">
        <f t="shared" si="4"/>
        <v>83.047000000000011</v>
      </c>
      <c r="O55" s="14">
        <f t="shared" si="5"/>
        <v>438.38269731344832</v>
      </c>
      <c r="Y55" s="23">
        <v>42</v>
      </c>
      <c r="Z55" s="23">
        <v>42</v>
      </c>
      <c r="AA55" s="134">
        <f t="shared" si="6"/>
        <v>380.99268048471896</v>
      </c>
    </row>
    <row r="56" spans="1:27" x14ac:dyDescent="0.3">
      <c r="A56" s="23">
        <v>19</v>
      </c>
      <c r="B56" s="134">
        <f t="shared" si="2"/>
        <v>-32.965499999999992</v>
      </c>
      <c r="C56" s="134">
        <f t="shared" si="3"/>
        <v>0</v>
      </c>
      <c r="M56">
        <v>19</v>
      </c>
      <c r="N56" s="14">
        <f t="shared" si="4"/>
        <v>91.244000000000014</v>
      </c>
      <c r="O56" s="14">
        <f t="shared" si="5"/>
        <v>449.74580026099238</v>
      </c>
      <c r="Y56" s="23">
        <v>43</v>
      </c>
      <c r="Z56" s="23">
        <v>43</v>
      </c>
      <c r="AA56" s="134">
        <f t="shared" si="6"/>
        <v>382.40369805865544</v>
      </c>
    </row>
    <row r="57" spans="1:27" x14ac:dyDescent="0.3">
      <c r="A57" s="23">
        <v>20</v>
      </c>
      <c r="B57" s="134">
        <f t="shared" si="2"/>
        <v>-27.693999999999988</v>
      </c>
      <c r="C57" s="134">
        <f t="shared" si="3"/>
        <v>0</v>
      </c>
      <c r="M57">
        <v>20</v>
      </c>
      <c r="N57" s="14">
        <f t="shared" si="4"/>
        <v>99.303000000000011</v>
      </c>
      <c r="O57" s="14">
        <f t="shared" si="5"/>
        <v>460.89392508464755</v>
      </c>
      <c r="Y57" s="23">
        <v>44</v>
      </c>
      <c r="Z57" s="23">
        <v>44</v>
      </c>
      <c r="AA57" s="134">
        <f t="shared" si="6"/>
        <v>383.81388018079031</v>
      </c>
    </row>
    <row r="58" spans="1:27" x14ac:dyDescent="0.3">
      <c r="A58" s="23">
        <v>21</v>
      </c>
      <c r="B58" s="134">
        <f t="shared" si="2"/>
        <v>-22.44489999999999</v>
      </c>
      <c r="C58" s="134">
        <f t="shared" si="3"/>
        <v>0</v>
      </c>
      <c r="M58">
        <v>21</v>
      </c>
      <c r="N58" s="14">
        <f t="shared" si="4"/>
        <v>107.224</v>
      </c>
      <c r="O58" s="14">
        <f t="shared" si="5"/>
        <v>471.83034715672545</v>
      </c>
      <c r="Y58" s="23">
        <v>45</v>
      </c>
      <c r="Z58" s="23">
        <v>45</v>
      </c>
      <c r="AA58" s="134">
        <f t="shared" si="6"/>
        <v>385.22324802448378</v>
      </c>
    </row>
    <row r="59" spans="1:27" x14ac:dyDescent="0.3">
      <c r="A59" s="23">
        <v>22</v>
      </c>
      <c r="B59" s="134">
        <f t="shared" si="2"/>
        <v>-17.218199999999982</v>
      </c>
      <c r="C59" s="134">
        <f t="shared" si="3"/>
        <v>0</v>
      </c>
      <c r="M59">
        <v>22</v>
      </c>
      <c r="N59" s="14">
        <f t="shared" si="4"/>
        <v>115.00699999999999</v>
      </c>
      <c r="O59" s="14">
        <f t="shared" si="5"/>
        <v>482.55779884522633</v>
      </c>
      <c r="Y59" s="23">
        <v>46</v>
      </c>
      <c r="Z59" s="23">
        <v>46</v>
      </c>
      <c r="AA59" s="134">
        <f t="shared" si="6"/>
        <v>386.63182176833004</v>
      </c>
    </row>
    <row r="60" spans="1:27" x14ac:dyDescent="0.3">
      <c r="A60" s="23">
        <v>23</v>
      </c>
      <c r="B60" s="134">
        <f t="shared" si="2"/>
        <v>-12.013899999999978</v>
      </c>
      <c r="C60" s="134">
        <f t="shared" si="3"/>
        <v>0</v>
      </c>
      <c r="M60">
        <v>23</v>
      </c>
      <c r="N60" s="14">
        <f t="shared" si="4"/>
        <v>122.652</v>
      </c>
      <c r="O60" s="14">
        <f t="shared" si="5"/>
        <v>493.07859420673674</v>
      </c>
      <c r="Y60" s="23">
        <v>47</v>
      </c>
      <c r="Z60" s="23">
        <v>47</v>
      </c>
      <c r="AA60" s="134">
        <f t="shared" si="6"/>
        <v>388.03962066348663</v>
      </c>
    </row>
    <row r="61" spans="1:27" x14ac:dyDescent="0.3">
      <c r="A61" s="23">
        <v>24</v>
      </c>
      <c r="B61" s="134">
        <f t="shared" si="2"/>
        <v>-6.8319999999999936</v>
      </c>
      <c r="C61" s="134">
        <f t="shared" si="3"/>
        <v>0</v>
      </c>
      <c r="M61">
        <v>24</v>
      </c>
      <c r="N61" s="14">
        <f t="shared" si="4"/>
        <v>130.15899999999999</v>
      </c>
      <c r="O61" s="14">
        <f t="shared" si="5"/>
        <v>503.3947181437162</v>
      </c>
      <c r="Y61" s="23">
        <v>48</v>
      </c>
      <c r="Z61" s="23">
        <v>48</v>
      </c>
      <c r="AA61" s="134">
        <f t="shared" si="6"/>
        <v>389.44666309511183</v>
      </c>
    </row>
    <row r="62" spans="1:27" x14ac:dyDescent="0.3">
      <c r="A62" s="23">
        <v>25</v>
      </c>
      <c r="B62" s="134">
        <f t="shared" si="2"/>
        <v>-1.6724999999999852</v>
      </c>
      <c r="C62" s="134">
        <f t="shared" si="3"/>
        <v>0</v>
      </c>
      <c r="M62">
        <v>25</v>
      </c>
      <c r="N62" s="14">
        <f t="shared" si="4"/>
        <v>137.52800000000002</v>
      </c>
      <c r="O62" s="14">
        <f t="shared" si="5"/>
        <v>513.50789183957511</v>
      </c>
      <c r="Y62" s="23">
        <v>49</v>
      </c>
      <c r="Z62" s="23">
        <v>49</v>
      </c>
      <c r="AA62" s="134">
        <f t="shared" si="6"/>
        <v>390.85296663853808</v>
      </c>
    </row>
    <row r="63" spans="1:27" x14ac:dyDescent="0.3">
      <c r="A63" s="23">
        <v>26</v>
      </c>
      <c r="B63" s="134">
        <f t="shared" si="2"/>
        <v>3.4646000000000186</v>
      </c>
      <c r="C63" s="134">
        <f t="shared" si="3"/>
        <v>325.4402031099807</v>
      </c>
      <c r="M63">
        <v>26</v>
      </c>
      <c r="N63" s="14">
        <f t="shared" si="4"/>
        <v>144.75900000000001</v>
      </c>
      <c r="O63" s="14">
        <f t="shared" si="5"/>
        <v>523.41962186747173</v>
      </c>
      <c r="Y63" s="23">
        <v>50</v>
      </c>
      <c r="Z63" s="23">
        <v>50</v>
      </c>
      <c r="AA63" s="134">
        <f t="shared" ref="AA63:AC63" si="7">IF(Z63&gt;0,(((Z63*0.58) +EXP(-1.0587+(0.8836*LN(Z63*0.58))+0.284))*0.475+70+10)*(44/11),0)</f>
        <v>392.25854811072969</v>
      </c>
    </row>
    <row r="64" spans="1:27" x14ac:dyDescent="0.3">
      <c r="A64" s="23">
        <v>27</v>
      </c>
      <c r="B64" s="134">
        <f t="shared" si="2"/>
        <v>8.5792999999999893</v>
      </c>
      <c r="C64" s="134">
        <f t="shared" si="3"/>
        <v>333.06905897326845</v>
      </c>
      <c r="M64">
        <v>27</v>
      </c>
      <c r="N64" s="14">
        <f t="shared" si="4"/>
        <v>151.85200000000003</v>
      </c>
      <c r="O64" s="14">
        <f t="shared" si="5"/>
        <v>533.13123776494172</v>
      </c>
      <c r="Y64" s="138" t="s">
        <v>184</v>
      </c>
      <c r="Z64" s="138"/>
      <c r="AA64" s="134">
        <f>SUM(AA14:AA63)/Z63</f>
        <v>216.03337081331068</v>
      </c>
    </row>
    <row r="65" spans="1:15" x14ac:dyDescent="0.3">
      <c r="A65" s="23">
        <v>28</v>
      </c>
      <c r="B65" s="134">
        <f t="shared" si="2"/>
        <v>13.671600000000012</v>
      </c>
      <c r="C65" s="134">
        <f t="shared" si="3"/>
        <v>340.52218173301986</v>
      </c>
      <c r="M65">
        <v>28</v>
      </c>
      <c r="N65" s="14">
        <f t="shared" si="4"/>
        <v>158.80700000000002</v>
      </c>
      <c r="O65" s="14">
        <f t="shared" si="5"/>
        <v>542.64392127257884</v>
      </c>
    </row>
    <row r="66" spans="1:15" x14ac:dyDescent="0.3">
      <c r="A66" s="23">
        <v>29</v>
      </c>
      <c r="B66" s="134">
        <f t="shared" si="2"/>
        <v>18.74150000000003</v>
      </c>
      <c r="C66" s="134">
        <f t="shared" si="3"/>
        <v>347.86288891776377</v>
      </c>
      <c r="M66">
        <v>29</v>
      </c>
      <c r="N66" s="14">
        <f t="shared" si="4"/>
        <v>165.62400000000002</v>
      </c>
      <c r="O66" s="14">
        <f t="shared" si="5"/>
        <v>551.95872942694314</v>
      </c>
    </row>
    <row r="67" spans="1:15" x14ac:dyDescent="0.3">
      <c r="A67" s="23">
        <v>30</v>
      </c>
      <c r="B67" s="134">
        <f t="shared" si="2"/>
        <v>23.789000000000016</v>
      </c>
      <c r="C67" s="134">
        <f t="shared" si="3"/>
        <v>355.11643369185055</v>
      </c>
      <c r="M67">
        <v>30</v>
      </c>
      <c r="N67" s="14">
        <f t="shared" si="4"/>
        <v>172.303</v>
      </c>
      <c r="O67" s="14">
        <f t="shared" si="5"/>
        <v>561.07661304189969</v>
      </c>
    </row>
    <row r="68" spans="1:15" x14ac:dyDescent="0.3">
      <c r="A68" s="23">
        <v>31</v>
      </c>
      <c r="B68" s="134">
        <f t="shared" si="2"/>
        <v>28.814099999999996</v>
      </c>
      <c r="C68" s="134">
        <f t="shared" si="3"/>
        <v>362.2964650739969</v>
      </c>
      <c r="M68">
        <v>31</v>
      </c>
      <c r="N68" s="14">
        <f t="shared" si="4"/>
        <v>178.84399999999999</v>
      </c>
      <c r="O68" s="14">
        <f t="shared" si="5"/>
        <v>569.99843167487734</v>
      </c>
    </row>
    <row r="69" spans="1:15" x14ac:dyDescent="0.3">
      <c r="A69" s="23">
        <v>32</v>
      </c>
      <c r="B69" s="134">
        <f t="shared" si="2"/>
        <v>33.816800000000029</v>
      </c>
      <c r="C69" s="134">
        <f t="shared" si="3"/>
        <v>369.41152208287826</v>
      </c>
      <c r="M69">
        <v>32</v>
      </c>
      <c r="N69" s="14">
        <f t="shared" si="4"/>
        <v>185.24700000000001</v>
      </c>
      <c r="O69" s="14">
        <f t="shared" si="5"/>
        <v>578.72496587586284</v>
      </c>
    </row>
    <row r="70" spans="1:15" x14ac:dyDescent="0.3">
      <c r="A70" s="23">
        <v>33</v>
      </c>
      <c r="B70" s="134">
        <f t="shared" si="2"/>
        <v>38.797100000000029</v>
      </c>
      <c r="C70" s="134">
        <f t="shared" si="3"/>
        <v>376.46744192615722</v>
      </c>
      <c r="M70">
        <v>33</v>
      </c>
      <c r="N70" s="14">
        <f t="shared" si="4"/>
        <v>191.512</v>
      </c>
      <c r="O70" s="14">
        <f t="shared" si="5"/>
        <v>587.25692730905007</v>
      </c>
    </row>
    <row r="71" spans="1:15" x14ac:dyDescent="0.3">
      <c r="A71" s="23">
        <v>34</v>
      </c>
      <c r="B71" s="134">
        <f t="shared" si="2"/>
        <v>43.754999999999995</v>
      </c>
      <c r="C71" s="134">
        <f t="shared" si="3"/>
        <v>383.4684616668402</v>
      </c>
      <c r="M71">
        <v>34</v>
      </c>
      <c r="N71" s="14">
        <f t="shared" si="4"/>
        <v>197.63900000000001</v>
      </c>
      <c r="O71" s="14">
        <f t="shared" si="5"/>
        <v>595.59496718971923</v>
      </c>
    </row>
    <row r="72" spans="1:15" x14ac:dyDescent="0.3">
      <c r="A72" s="23">
        <v>35</v>
      </c>
      <c r="B72" s="134">
        <f t="shared" si="2"/>
        <v>48.690500000000014</v>
      </c>
      <c r="C72" s="134">
        <f t="shared" si="3"/>
        <v>390.41779361862683</v>
      </c>
      <c r="M72">
        <v>35</v>
      </c>
      <c r="N72" s="14">
        <f t="shared" si="4"/>
        <v>203.62800000000004</v>
      </c>
      <c r="O72" s="14">
        <f t="shared" si="5"/>
        <v>603.73968337279427</v>
      </c>
    </row>
    <row r="73" spans="1:15" x14ac:dyDescent="0.3">
      <c r="A73" s="23">
        <v>36</v>
      </c>
      <c r="B73" s="134">
        <f t="shared" si="2"/>
        <v>53.603600000000029</v>
      </c>
      <c r="C73" s="134">
        <f t="shared" si="3"/>
        <v>397.31795502194507</v>
      </c>
      <c r="M73">
        <v>36</v>
      </c>
      <c r="N73" s="14">
        <f t="shared" si="4"/>
        <v>209.47900000000004</v>
      </c>
      <c r="O73" s="14">
        <f t="shared" si="5"/>
        <v>611.69162635194209</v>
      </c>
    </row>
    <row r="74" spans="1:15" x14ac:dyDescent="0.3">
      <c r="A74" s="23">
        <v>37</v>
      </c>
      <c r="B74" s="134">
        <f t="shared" si="2"/>
        <v>58.494300000000038</v>
      </c>
      <c r="C74" s="134">
        <f t="shared" si="3"/>
        <v>404.17097038263637</v>
      </c>
      <c r="M74">
        <v>37</v>
      </c>
      <c r="N74" s="14">
        <f t="shared" si="4"/>
        <v>215.19200000000001</v>
      </c>
      <c r="O74" s="14">
        <f t="shared" si="5"/>
        <v>619.45130437059129</v>
      </c>
    </row>
    <row r="75" spans="1:15" x14ac:dyDescent="0.3">
      <c r="A75" s="23">
        <v>38</v>
      </c>
      <c r="B75" s="134">
        <f t="shared" si="2"/>
        <v>63.362600000000015</v>
      </c>
      <c r="C75" s="134">
        <f t="shared" si="3"/>
        <v>410.9785024567762</v>
      </c>
      <c r="M75">
        <v>38</v>
      </c>
      <c r="N75" s="14">
        <f t="shared" si="4"/>
        <v>220.767</v>
      </c>
      <c r="O75" s="14">
        <f t="shared" si="5"/>
        <v>627.01918780311848</v>
      </c>
    </row>
    <row r="76" spans="1:15" x14ac:dyDescent="0.3">
      <c r="A76" s="23">
        <v>39</v>
      </c>
      <c r="B76" s="134">
        <f t="shared" si="2"/>
        <v>68.208500000000015</v>
      </c>
      <c r="C76" s="134">
        <f t="shared" si="3"/>
        <v>417.74194073608709</v>
      </c>
      <c r="M76">
        <v>39</v>
      </c>
      <c r="N76" s="14">
        <f t="shared" si="4"/>
        <v>226.20400000000001</v>
      </c>
      <c r="O76" s="14">
        <f t="shared" si="5"/>
        <v>634.39571293172889</v>
      </c>
    </row>
    <row r="77" spans="1:15" x14ac:dyDescent="0.3">
      <c r="A77" s="23">
        <v>40</v>
      </c>
      <c r="B77" s="134">
        <f t="shared" si="2"/>
        <v>73.032000000000039</v>
      </c>
      <c r="C77" s="134">
        <f t="shared" si="3"/>
        <v>424.46246334625295</v>
      </c>
      <c r="M77">
        <v>40</v>
      </c>
      <c r="N77" s="14">
        <f t="shared" si="4"/>
        <v>231.50300000000004</v>
      </c>
      <c r="O77" s="14">
        <f t="shared" si="5"/>
        <v>641.58128521946605</v>
      </c>
    </row>
    <row r="78" spans="1:15" x14ac:dyDescent="0.3">
      <c r="A78" s="23">
        <v>41</v>
      </c>
      <c r="B78" s="134">
        <f t="shared" si="2"/>
        <v>77.833100000000002</v>
      </c>
      <c r="C78" s="134">
        <f t="shared" si="3"/>
        <v>431.14108162658323</v>
      </c>
      <c r="M78">
        <v>41</v>
      </c>
      <c r="N78" s="14">
        <f t="shared" si="4"/>
        <v>236.66399999999999</v>
      </c>
      <c r="O78" s="14">
        <f t="shared" si="5"/>
        <v>648.57628216035164</v>
      </c>
    </row>
    <row r="79" spans="1:15" x14ac:dyDescent="0.3">
      <c r="A79" s="23">
        <v>42</v>
      </c>
      <c r="B79" s="134">
        <f t="shared" si="2"/>
        <v>82.611800000000017</v>
      </c>
      <c r="C79" s="134">
        <f t="shared" si="3"/>
        <v>437.7786730394713</v>
      </c>
      <c r="M79">
        <v>42</v>
      </c>
      <c r="N79" s="14">
        <f t="shared" si="4"/>
        <v>241.68700000000001</v>
      </c>
      <c r="O79" s="14">
        <f t="shared" si="5"/>
        <v>655.38105577247643</v>
      </c>
    </row>
    <row r="80" spans="1:15" x14ac:dyDescent="0.3">
      <c r="A80" s="23">
        <v>43</v>
      </c>
      <c r="B80" s="134">
        <f t="shared" si="2"/>
        <v>87.368100000000027</v>
      </c>
      <c r="C80" s="134">
        <f t="shared" si="3"/>
        <v>444.37600598561812</v>
      </c>
      <c r="M80">
        <v>43</v>
      </c>
      <c r="N80" s="14">
        <f t="shared" si="4"/>
        <v>246.572</v>
      </c>
      <c r="O80" s="14">
        <f t="shared" si="5"/>
        <v>661.99593478789711</v>
      </c>
    </row>
    <row r="81" spans="1:15" x14ac:dyDescent="0.3">
      <c r="A81" s="23">
        <v>44</v>
      </c>
      <c r="B81" s="134">
        <f t="shared" si="2"/>
        <v>92.102000000000032</v>
      </c>
      <c r="C81" s="134">
        <f t="shared" si="3"/>
        <v>450.9337588638308</v>
      </c>
      <c r="M81">
        <v>44</v>
      </c>
      <c r="N81" s="14">
        <f t="shared" si="4"/>
        <v>251.31900000000002</v>
      </c>
      <c r="O81" s="14">
        <f t="shared" si="5"/>
        <v>668.4212265836951</v>
      </c>
    </row>
    <row r="82" spans="1:15" x14ac:dyDescent="0.3">
      <c r="A82" s="23">
        <v>45</v>
      </c>
      <c r="B82" s="134">
        <f t="shared" si="2"/>
        <v>96.813500000000033</v>
      </c>
      <c r="C82" s="134">
        <f t="shared" si="3"/>
        <v>457.45253494872651</v>
      </c>
      <c r="M82">
        <v>45</v>
      </c>
      <c r="N82" s="14">
        <f t="shared" si="4"/>
        <v>255.928</v>
      </c>
      <c r="O82" s="14">
        <f t="shared" si="5"/>
        <v>674.65721889094561</v>
      </c>
    </row>
    <row r="83" spans="1:15" x14ac:dyDescent="0.3">
      <c r="A83" s="23">
        <v>46</v>
      </c>
      <c r="B83" s="134">
        <f t="shared" si="2"/>
        <v>101.50260000000006</v>
      </c>
      <c r="C83" s="134">
        <f t="shared" si="3"/>
        <v>463.93287417108968</v>
      </c>
      <c r="M83">
        <v>46</v>
      </c>
      <c r="N83" s="14">
        <f t="shared" si="4"/>
        <v>260.399</v>
      </c>
      <c r="O83" s="14">
        <f t="shared" si="5"/>
        <v>680.70418131222209</v>
      </c>
    </row>
    <row r="84" spans="1:15" x14ac:dyDescent="0.3">
      <c r="A84" s="23">
        <v>47</v>
      </c>
      <c r="B84" s="134">
        <f t="shared" si="2"/>
        <v>106.16929999999999</v>
      </c>
      <c r="C84" s="134">
        <f t="shared" si="3"/>
        <v>470.37526256516935</v>
      </c>
      <c r="M84">
        <v>47</v>
      </c>
      <c r="N84" s="14">
        <f t="shared" si="4"/>
        <v>264.73199999999997</v>
      </c>
      <c r="O84" s="14">
        <f t="shared" si="5"/>
        <v>686.56236667329199</v>
      </c>
    </row>
    <row r="85" spans="1:15" x14ac:dyDescent="0.3">
      <c r="A85" s="23">
        <v>48</v>
      </c>
      <c r="B85" s="134">
        <f t="shared" si="2"/>
        <v>110.81360000000001</v>
      </c>
      <c r="C85" s="134">
        <f t="shared" si="3"/>
        <v>476.78013993189745</v>
      </c>
      <c r="M85">
        <v>48</v>
      </c>
      <c r="N85" s="14">
        <f t="shared" si="4"/>
        <v>268.92700000000002</v>
      </c>
      <c r="O85" s="14">
        <f t="shared" si="5"/>
        <v>692.23201223060732</v>
      </c>
    </row>
    <row r="86" spans="1:15" x14ac:dyDescent="0.3">
      <c r="A86" s="23">
        <v>49</v>
      </c>
      <c r="B86" s="134">
        <f t="shared" si="2"/>
        <v>115.43550000000002</v>
      </c>
      <c r="C86" s="134">
        <f t="shared" si="3"/>
        <v>483.14790611920552</v>
      </c>
      <c r="M86">
        <v>49</v>
      </c>
      <c r="N86" s="14">
        <f t="shared" si="4"/>
        <v>272.98400000000004</v>
      </c>
      <c r="O86" s="14">
        <f t="shared" si="5"/>
        <v>697.713340752862</v>
      </c>
    </row>
    <row r="87" spans="1:15" x14ac:dyDescent="0.3">
      <c r="A87" s="23">
        <v>50</v>
      </c>
      <c r="B87" s="134">
        <f t="shared" si="2"/>
        <v>120.03500000000003</v>
      </c>
      <c r="C87" s="134">
        <f t="shared" si="3"/>
        <v>489.47892621720769</v>
      </c>
      <c r="M87">
        <v>50</v>
      </c>
      <c r="N87" s="14">
        <f t="shared" si="4"/>
        <v>276.90300000000002</v>
      </c>
      <c r="O87" s="14">
        <f t="shared" si="5"/>
        <v>703.00656149215035</v>
      </c>
    </row>
    <row r="88" spans="1:15" x14ac:dyDescent="0.3">
      <c r="A88" s="23">
        <v>51</v>
      </c>
      <c r="B88" s="134">
        <f t="shared" si="2"/>
        <v>124.61210000000005</v>
      </c>
      <c r="C88" s="134">
        <f t="shared" si="3"/>
        <v>495.77353489237316</v>
      </c>
      <c r="M88">
        <v>51</v>
      </c>
      <c r="N88" s="14">
        <f t="shared" si="4"/>
        <v>280.68399999999997</v>
      </c>
      <c r="O88" s="14">
        <f t="shared" si="5"/>
        <v>708.1118710579708</v>
      </c>
    </row>
    <row r="89" spans="1:15" x14ac:dyDescent="0.3">
      <c r="A89" s="23">
        <v>52</v>
      </c>
      <c r="B89" s="134">
        <f t="shared" si="2"/>
        <v>129.16680000000002</v>
      </c>
      <c r="C89" s="134">
        <f t="shared" si="3"/>
        <v>502.03204003156497</v>
      </c>
      <c r="M89">
        <v>52</v>
      </c>
      <c r="N89" s="14">
        <f t="shared" si="4"/>
        <v>284.327</v>
      </c>
      <c r="O89" s="14">
        <f t="shared" si="5"/>
        <v>713.02945420543369</v>
      </c>
    </row>
    <row r="90" spans="1:15" x14ac:dyDescent="0.3">
      <c r="A90" s="23">
        <v>53</v>
      </c>
      <c r="B90" s="134">
        <f t="shared" si="2"/>
        <v>133.69910000000004</v>
      </c>
      <c r="C90" s="134">
        <f t="shared" si="3"/>
        <v>508.25472582774228</v>
      </c>
      <c r="M90">
        <v>53</v>
      </c>
      <c r="N90" s="14">
        <f t="shared" si="4"/>
        <v>287.83199999999999</v>
      </c>
      <c r="O90" s="14">
        <f t="shared" si="5"/>
        <v>717.75948454742775</v>
      </c>
    </row>
    <row r="91" spans="1:15" x14ac:dyDescent="0.3">
      <c r="A91" s="23">
        <v>54</v>
      </c>
      <c r="B91" s="134">
        <f t="shared" si="2"/>
        <v>138.209</v>
      </c>
      <c r="C91" s="134">
        <f t="shared" si="3"/>
        <v>514.44185541008437</v>
      </c>
      <c r="M91">
        <v>54</v>
      </c>
      <c r="N91" s="14">
        <f t="shared" si="4"/>
        <v>291.19900000000001</v>
      </c>
      <c r="O91" s="14">
        <f t="shared" si="5"/>
        <v>722.30212519917211</v>
      </c>
    </row>
    <row r="92" spans="1:15" x14ac:dyDescent="0.3">
      <c r="A92" s="23">
        <v>55</v>
      </c>
      <c r="B92" s="134">
        <f t="shared" si="2"/>
        <v>142.69650000000001</v>
      </c>
      <c r="C92" s="134">
        <f t="shared" si="3"/>
        <v>520.59367309944173</v>
      </c>
      <c r="M92">
        <v>55</v>
      </c>
      <c r="N92" s="14">
        <f t="shared" si="4"/>
        <v>294.428</v>
      </c>
      <c r="O92" s="14">
        <f t="shared" si="5"/>
        <v>726.65752936244201</v>
      </c>
    </row>
    <row r="93" spans="1:15" x14ac:dyDescent="0.3">
      <c r="A93" s="23">
        <v>56</v>
      </c>
      <c r="B93" s="134">
        <f t="shared" si="2"/>
        <v>147.16160000000002</v>
      </c>
      <c r="C93" s="134">
        <f t="shared" si="3"/>
        <v>526.71040635339637</v>
      </c>
      <c r="M93">
        <v>56</v>
      </c>
      <c r="N93" s="14">
        <f t="shared" si="4"/>
        <v>297.51900000000001</v>
      </c>
      <c r="O93" s="14">
        <f t="shared" si="5"/>
        <v>730.82584085579742</v>
      </c>
    </row>
    <row r="94" spans="1:15" x14ac:dyDescent="0.3">
      <c r="A94" s="23">
        <v>57</v>
      </c>
      <c r="B94" s="134">
        <f t="shared" si="2"/>
        <v>151.60430000000002</v>
      </c>
      <c r="C94" s="134">
        <f t="shared" si="3"/>
        <v>532.79226745244205</v>
      </c>
      <c r="M94">
        <v>57</v>
      </c>
      <c r="N94" s="14">
        <f t="shared" si="4"/>
        <v>300.47199999999998</v>
      </c>
      <c r="O94" s="14">
        <f t="shared" si="5"/>
        <v>734.80719459632951</v>
      </c>
    </row>
    <row r="95" spans="1:15" x14ac:dyDescent="0.3">
      <c r="A95" s="23">
        <v>58</v>
      </c>
      <c r="B95" s="134">
        <f t="shared" si="2"/>
        <v>156.02460000000002</v>
      </c>
      <c r="C95" s="134">
        <f t="shared" si="3"/>
        <v>538.83945496888145</v>
      </c>
      <c r="M95">
        <v>58</v>
      </c>
      <c r="N95" s="14">
        <f t="shared" si="4"/>
        <v>303.28700000000003</v>
      </c>
      <c r="O95" s="14">
        <f t="shared" si="5"/>
        <v>738.60171703773335</v>
      </c>
    </row>
    <row r="96" spans="1:15" x14ac:dyDescent="0.3">
      <c r="A96" s="23">
        <v>59</v>
      </c>
      <c r="B96" s="134">
        <f t="shared" si="2"/>
        <v>160.42250000000001</v>
      </c>
      <c r="C96" s="134">
        <f t="shared" si="3"/>
        <v>544.85215505227848</v>
      </c>
      <c r="M96">
        <v>59</v>
      </c>
      <c r="N96" s="14">
        <f t="shared" si="4"/>
        <v>305.964</v>
      </c>
      <c r="O96" s="14">
        <f t="shared" si="5"/>
        <v>742.20952656891939</v>
      </c>
    </row>
    <row r="97" spans="1:15" x14ac:dyDescent="0.3">
      <c r="A97" s="23">
        <v>60</v>
      </c>
      <c r="B97" s="134">
        <f t="shared" si="2"/>
        <v>164.79800000000006</v>
      </c>
      <c r="C97" s="134">
        <f t="shared" si="3"/>
        <v>550.83054255918319</v>
      </c>
      <c r="M97">
        <v>60</v>
      </c>
      <c r="N97" s="14">
        <f t="shared" si="4"/>
        <v>308.50299999999999</v>
      </c>
      <c r="O97" s="14">
        <f t="shared" si="5"/>
        <v>745.63073387685745</v>
      </c>
    </row>
    <row r="98" spans="1:15" x14ac:dyDescent="0.3">
      <c r="A98" s="23">
        <v>61</v>
      </c>
      <c r="B98" s="134">
        <f t="shared" si="2"/>
        <v>169.15109999999999</v>
      </c>
      <c r="C98" s="134">
        <f t="shared" si="3"/>
        <v>556.77478204997362</v>
      </c>
      <c r="M98">
        <v>61</v>
      </c>
      <c r="N98" s="14">
        <f t="shared" si="4"/>
        <v>310.904</v>
      </c>
      <c r="O98" s="14">
        <f t="shared" si="5"/>
        <v>748.86544227689365</v>
      </c>
    </row>
    <row r="99" spans="1:15" x14ac:dyDescent="0.3">
      <c r="A99" s="23">
        <v>62</v>
      </c>
      <c r="B99" s="134">
        <f t="shared" si="2"/>
        <v>173.48180000000002</v>
      </c>
      <c r="C99" s="134">
        <f t="shared" si="3"/>
        <v>562.68502867176267</v>
      </c>
      <c r="M99">
        <v>62</v>
      </c>
      <c r="N99" s="14">
        <f t="shared" si="4"/>
        <v>313.16699999999997</v>
      </c>
      <c r="O99" s="14">
        <f t="shared" si="5"/>
        <v>751.91374801339998</v>
      </c>
    </row>
    <row r="100" spans="1:15" x14ac:dyDescent="0.3">
      <c r="A100" s="23">
        <v>63</v>
      </c>
      <c r="B100" s="134">
        <f t="shared" si="2"/>
        <v>177.79010000000005</v>
      </c>
      <c r="C100" s="134">
        <f t="shared" si="3"/>
        <v>568.56142894316429</v>
      </c>
      <c r="O100" s="14">
        <f>SUM(O38:O99)/M99</f>
        <v>508.70834329526082</v>
      </c>
    </row>
    <row r="101" spans="1:15" x14ac:dyDescent="0.3">
      <c r="A101" s="23">
        <v>64</v>
      </c>
      <c r="B101" s="134">
        <f t="shared" si="2"/>
        <v>182.07600000000002</v>
      </c>
      <c r="C101" s="134">
        <f t="shared" si="3"/>
        <v>574.40412145416678</v>
      </c>
    </row>
    <row r="102" spans="1:15" x14ac:dyDescent="0.3">
      <c r="A102" s="23">
        <v>65</v>
      </c>
      <c r="B102" s="134">
        <f t="shared" si="2"/>
        <v>186.33950000000004</v>
      </c>
      <c r="C102" s="134">
        <f t="shared" si="3"/>
        <v>580.21323749227167</v>
      </c>
    </row>
    <row r="103" spans="1:15" x14ac:dyDescent="0.3">
      <c r="A103" s="23">
        <v>66</v>
      </c>
      <c r="B103" s="134">
        <f t="shared" ref="B103:B166" si="8">(-0.0112*(A103^2))+(5.7083*A103)-137.38</f>
        <v>190.58060000000006</v>
      </c>
      <c r="C103" s="134">
        <f t="shared" ref="C103:C166" si="9">IF(B103&gt;0,(((B103*0.58) +EXP(-1.0587+(0.8836*LN(B103*0.58))+0.284))*0.475+70+10)*(44/11),0)</f>
        <v>585.98890160434325</v>
      </c>
    </row>
    <row r="104" spans="1:15" x14ac:dyDescent="0.3">
      <c r="A104" s="23">
        <v>67</v>
      </c>
      <c r="B104" s="134">
        <f t="shared" si="8"/>
        <v>194.79930000000007</v>
      </c>
      <c r="C104" s="134">
        <f t="shared" si="9"/>
        <v>591.73123210220206</v>
      </c>
    </row>
    <row r="105" spans="1:15" x14ac:dyDescent="0.3">
      <c r="A105" s="23">
        <v>68</v>
      </c>
      <c r="B105" s="134">
        <f t="shared" si="8"/>
        <v>198.99560000000002</v>
      </c>
      <c r="C105" s="134">
        <f t="shared" si="9"/>
        <v>597.44034151882249</v>
      </c>
    </row>
    <row r="106" spans="1:15" x14ac:dyDescent="0.3">
      <c r="A106" s="23">
        <v>69</v>
      </c>
      <c r="B106" s="134">
        <f t="shared" si="8"/>
        <v>203.16950000000003</v>
      </c>
      <c r="C106" s="134">
        <f t="shared" si="9"/>
        <v>603.11633702101358</v>
      </c>
    </row>
    <row r="107" spans="1:15" x14ac:dyDescent="0.3">
      <c r="A107" s="23">
        <v>70</v>
      </c>
      <c r="B107" s="134">
        <f t="shared" si="8"/>
        <v>207.32100000000003</v>
      </c>
      <c r="C107" s="134">
        <f t="shared" si="9"/>
        <v>608.75932078364508</v>
      </c>
    </row>
    <row r="108" spans="1:15" x14ac:dyDescent="0.3">
      <c r="A108" s="23">
        <v>71</v>
      </c>
      <c r="B108" s="134">
        <f t="shared" si="8"/>
        <v>211.45010000000002</v>
      </c>
      <c r="C108" s="134">
        <f t="shared" si="9"/>
        <v>614.36939032978989</v>
      </c>
    </row>
    <row r="109" spans="1:15" x14ac:dyDescent="0.3">
      <c r="A109" s="23">
        <v>72</v>
      </c>
      <c r="B109" s="134">
        <f t="shared" si="8"/>
        <v>215.55680000000007</v>
      </c>
      <c r="C109" s="134">
        <f t="shared" si="9"/>
        <v>619.94663884057491</v>
      </c>
    </row>
    <row r="110" spans="1:15" x14ac:dyDescent="0.3">
      <c r="A110" s="23">
        <v>73</v>
      </c>
      <c r="B110" s="134">
        <f t="shared" si="8"/>
        <v>219.64110000000005</v>
      </c>
      <c r="C110" s="134">
        <f t="shared" si="9"/>
        <v>625.49115543803032</v>
      </c>
    </row>
    <row r="111" spans="1:15" x14ac:dyDescent="0.3">
      <c r="A111" s="23">
        <v>74</v>
      </c>
      <c r="B111" s="134">
        <f t="shared" si="8"/>
        <v>223.70300000000003</v>
      </c>
      <c r="C111" s="134">
        <f t="shared" si="9"/>
        <v>631.00302544381861</v>
      </c>
    </row>
    <row r="112" spans="1:15" x14ac:dyDescent="0.3">
      <c r="A112" s="23">
        <v>75</v>
      </c>
      <c r="B112" s="134">
        <f t="shared" si="8"/>
        <v>227.74250000000001</v>
      </c>
      <c r="C112" s="134">
        <f t="shared" si="9"/>
        <v>636.48233061635335</v>
      </c>
    </row>
    <row r="113" spans="1:3" x14ac:dyDescent="0.3">
      <c r="A113" s="23">
        <v>76</v>
      </c>
      <c r="B113" s="134">
        <f t="shared" si="8"/>
        <v>231.75960000000003</v>
      </c>
      <c r="C113" s="134">
        <f t="shared" si="9"/>
        <v>641.9291493685198</v>
      </c>
    </row>
    <row r="114" spans="1:3" x14ac:dyDescent="0.3">
      <c r="A114" s="23">
        <v>77</v>
      </c>
      <c r="B114" s="134">
        <f t="shared" si="8"/>
        <v>235.75430000000006</v>
      </c>
      <c r="C114" s="134">
        <f t="shared" si="9"/>
        <v>647.3435569679358</v>
      </c>
    </row>
    <row r="115" spans="1:3" x14ac:dyDescent="0.3">
      <c r="A115" s="23">
        <v>78</v>
      </c>
      <c r="B115" s="134">
        <f t="shared" si="8"/>
        <v>239.72660000000002</v>
      </c>
      <c r="C115" s="134">
        <f t="shared" si="9"/>
        <v>652.72562572147024</v>
      </c>
    </row>
    <row r="116" spans="1:3" x14ac:dyDescent="0.3">
      <c r="A116" s="23">
        <v>79</v>
      </c>
      <c r="B116" s="134">
        <f t="shared" si="8"/>
        <v>243.67650000000003</v>
      </c>
      <c r="C116" s="134">
        <f t="shared" si="9"/>
        <v>658.07542514553415</v>
      </c>
    </row>
    <row r="117" spans="1:3" x14ac:dyDescent="0.3">
      <c r="A117" s="23">
        <v>80</v>
      </c>
      <c r="B117" s="134">
        <f t="shared" si="8"/>
        <v>247.60400000000004</v>
      </c>
      <c r="C117" s="134">
        <f t="shared" si="9"/>
        <v>663.39302212348775</v>
      </c>
    </row>
    <row r="118" spans="1:3" x14ac:dyDescent="0.3">
      <c r="A118" s="23">
        <v>81</v>
      </c>
      <c r="B118" s="134">
        <f t="shared" si="8"/>
        <v>251.50910000000005</v>
      </c>
      <c r="C118" s="134">
        <f t="shared" si="9"/>
        <v>668.67848105136022</v>
      </c>
    </row>
    <row r="119" spans="1:3" x14ac:dyDescent="0.3">
      <c r="A119" s="23">
        <v>82</v>
      </c>
      <c r="B119" s="134">
        <f t="shared" si="8"/>
        <v>255.39179999999999</v>
      </c>
      <c r="C119" s="134">
        <f t="shared" si="9"/>
        <v>673.93186397294517</v>
      </c>
    </row>
    <row r="120" spans="1:3" x14ac:dyDescent="0.3">
      <c r="A120" s="23">
        <v>83</v>
      </c>
      <c r="B120" s="134">
        <f t="shared" si="8"/>
        <v>259.25210000000004</v>
      </c>
      <c r="C120" s="134">
        <f t="shared" si="9"/>
        <v>679.15323070522311</v>
      </c>
    </row>
    <row r="121" spans="1:3" x14ac:dyDescent="0.3">
      <c r="A121" s="23">
        <v>84</v>
      </c>
      <c r="B121" s="134">
        <f t="shared" si="8"/>
        <v>263.09000000000003</v>
      </c>
      <c r="C121" s="134">
        <f t="shared" si="9"/>
        <v>684.34263895495997</v>
      </c>
    </row>
    <row r="122" spans="1:3" x14ac:dyDescent="0.3">
      <c r="A122" s="23">
        <v>85</v>
      </c>
      <c r="B122" s="134">
        <f t="shared" si="8"/>
        <v>266.90550000000002</v>
      </c>
      <c r="C122" s="134">
        <f t="shared" si="9"/>
        <v>689.500144427245</v>
      </c>
    </row>
    <row r="123" spans="1:3" x14ac:dyDescent="0.3">
      <c r="A123" s="23">
        <v>86</v>
      </c>
      <c r="B123" s="134">
        <f t="shared" si="8"/>
        <v>270.69860000000006</v>
      </c>
      <c r="C123" s="134">
        <f t="shared" si="9"/>
        <v>694.62580092665246</v>
      </c>
    </row>
    <row r="124" spans="1:3" x14ac:dyDescent="0.3">
      <c r="A124" s="23">
        <v>87</v>
      </c>
      <c r="B124" s="134">
        <f t="shared" si="8"/>
        <v>274.46930000000003</v>
      </c>
      <c r="C124" s="134">
        <f t="shared" si="9"/>
        <v>699.71966045164152</v>
      </c>
    </row>
    <row r="125" spans="1:3" x14ac:dyDescent="0.3">
      <c r="A125" s="23">
        <v>88</v>
      </c>
      <c r="B125" s="134">
        <f t="shared" si="8"/>
        <v>278.21760000000006</v>
      </c>
      <c r="C125" s="134">
        <f t="shared" si="9"/>
        <v>704.78177328275149</v>
      </c>
    </row>
    <row r="126" spans="1:3" x14ac:dyDescent="0.3">
      <c r="A126" s="23">
        <v>89</v>
      </c>
      <c r="B126" s="134">
        <f t="shared" si="8"/>
        <v>281.94350000000003</v>
      </c>
      <c r="C126" s="134">
        <f t="shared" si="9"/>
        <v>709.81218806509241</v>
      </c>
    </row>
    <row r="127" spans="1:3" x14ac:dyDescent="0.3">
      <c r="A127" s="23">
        <v>90</v>
      </c>
      <c r="B127" s="134">
        <f t="shared" si="8"/>
        <v>285.64700000000005</v>
      </c>
      <c r="C127" s="134">
        <f t="shared" si="9"/>
        <v>714.8109518855872</v>
      </c>
    </row>
    <row r="128" spans="1:3" x14ac:dyDescent="0.3">
      <c r="A128" s="23">
        <v>91</v>
      </c>
      <c r="B128" s="134">
        <f t="shared" si="8"/>
        <v>289.32810000000006</v>
      </c>
      <c r="C128" s="134">
        <f t="shared" si="9"/>
        <v>719.77811034537137</v>
      </c>
    </row>
    <row r="129" spans="1:3" x14ac:dyDescent="0.3">
      <c r="A129" s="23">
        <v>92</v>
      </c>
      <c r="B129" s="134">
        <f t="shared" si="8"/>
        <v>292.98680000000007</v>
      </c>
      <c r="C129" s="134">
        <f t="shared" si="9"/>
        <v>724.71370762773006</v>
      </c>
    </row>
    <row r="130" spans="1:3" x14ac:dyDescent="0.3">
      <c r="A130" s="23">
        <v>93</v>
      </c>
      <c r="B130" s="134">
        <f t="shared" si="8"/>
        <v>296.62310000000002</v>
      </c>
      <c r="C130" s="134">
        <f t="shared" si="9"/>
        <v>729.6177865619054</v>
      </c>
    </row>
    <row r="131" spans="1:3" x14ac:dyDescent="0.3">
      <c r="A131" s="23">
        <v>94</v>
      </c>
      <c r="B131" s="134">
        <f t="shared" si="8"/>
        <v>300.23699999999997</v>
      </c>
      <c r="C131" s="134">
        <f t="shared" si="9"/>
        <v>734.49038868308571</v>
      </c>
    </row>
    <row r="132" spans="1:3" x14ac:dyDescent="0.3">
      <c r="A132" s="23">
        <v>95</v>
      </c>
      <c r="B132" s="134">
        <f t="shared" si="8"/>
        <v>303.82850000000002</v>
      </c>
      <c r="C132" s="134">
        <f t="shared" si="9"/>
        <v>739.33155428885971</v>
      </c>
    </row>
    <row r="133" spans="1:3" x14ac:dyDescent="0.3">
      <c r="A133" s="23">
        <v>96</v>
      </c>
      <c r="B133" s="134">
        <f t="shared" si="8"/>
        <v>307.39760000000001</v>
      </c>
      <c r="C133" s="134">
        <f t="shared" si="9"/>
        <v>744.14132249238628</v>
      </c>
    </row>
    <row r="134" spans="1:3" x14ac:dyDescent="0.3">
      <c r="A134" s="23">
        <v>97</v>
      </c>
      <c r="B134" s="134">
        <f t="shared" si="8"/>
        <v>310.9443</v>
      </c>
      <c r="C134" s="134">
        <f t="shared" si="9"/>
        <v>748.91973127252334</v>
      </c>
    </row>
    <row r="135" spans="1:3" x14ac:dyDescent="0.3">
      <c r="A135" s="23">
        <v>98</v>
      </c>
      <c r="B135" s="134">
        <f t="shared" si="8"/>
        <v>314.46860000000004</v>
      </c>
      <c r="C135" s="134">
        <f t="shared" si="9"/>
        <v>753.66681752112265</v>
      </c>
    </row>
    <row r="136" spans="1:3" x14ac:dyDescent="0.3">
      <c r="A136" s="23">
        <v>99</v>
      </c>
      <c r="B136" s="134">
        <f t="shared" si="8"/>
        <v>317.97050000000002</v>
      </c>
      <c r="C136" s="134">
        <f t="shared" si="9"/>
        <v>758.3826170876921</v>
      </c>
    </row>
    <row r="137" spans="1:3" x14ac:dyDescent="0.3">
      <c r="A137" s="23">
        <v>100</v>
      </c>
      <c r="B137" s="134">
        <f t="shared" si="8"/>
        <v>321.45000000000005</v>
      </c>
      <c r="C137" s="134">
        <f t="shared" si="9"/>
        <v>763.06716482160618</v>
      </c>
    </row>
    <row r="138" spans="1:3" x14ac:dyDescent="0.3">
      <c r="A138" s="23">
        <v>101</v>
      </c>
      <c r="B138" s="134">
        <f t="shared" si="8"/>
        <v>324.90710000000007</v>
      </c>
      <c r="C138" s="134">
        <f t="shared" si="9"/>
        <v>767.72049461202687</v>
      </c>
    </row>
    <row r="139" spans="1:3" x14ac:dyDescent="0.3">
      <c r="A139" s="23">
        <v>102</v>
      </c>
      <c r="B139" s="134">
        <f t="shared" si="8"/>
        <v>328.34180000000003</v>
      </c>
      <c r="C139" s="134">
        <f t="shared" si="9"/>
        <v>772.34263942569373</v>
      </c>
    </row>
    <row r="140" spans="1:3" x14ac:dyDescent="0.3">
      <c r="A140" s="23">
        <v>103</v>
      </c>
      <c r="B140" s="134">
        <f t="shared" si="8"/>
        <v>331.75410000000005</v>
      </c>
      <c r="C140" s="134">
        <f t="shared" si="9"/>
        <v>776.93363134271749</v>
      </c>
    </row>
    <row r="141" spans="1:3" x14ac:dyDescent="0.3">
      <c r="A141" s="23">
        <v>104</v>
      </c>
      <c r="B141" s="134">
        <f t="shared" si="8"/>
        <v>335.14400000000006</v>
      </c>
      <c r="C141" s="134">
        <f t="shared" si="9"/>
        <v>781.49350159051232</v>
      </c>
    </row>
    <row r="142" spans="1:3" x14ac:dyDescent="0.3">
      <c r="A142" s="23">
        <v>105</v>
      </c>
      <c r="B142" s="134">
        <f t="shared" si="8"/>
        <v>338.51150000000007</v>
      </c>
      <c r="C142" s="134">
        <f t="shared" si="9"/>
        <v>786.02228057598131</v>
      </c>
    </row>
    <row r="143" spans="1:3" x14ac:dyDescent="0.3">
      <c r="A143" s="23">
        <v>106</v>
      </c>
      <c r="B143" s="134">
        <f t="shared" si="8"/>
        <v>341.85660000000007</v>
      </c>
      <c r="C143" s="134">
        <f t="shared" si="9"/>
        <v>790.51999791607159</v>
      </c>
    </row>
    <row r="144" spans="1:3" x14ac:dyDescent="0.3">
      <c r="A144" s="23">
        <v>107</v>
      </c>
      <c r="B144" s="134">
        <f t="shared" si="8"/>
        <v>345.17930000000001</v>
      </c>
      <c r="C144" s="134">
        <f t="shared" si="9"/>
        <v>794.98668246679506</v>
      </c>
    </row>
    <row r="145" spans="1:3" x14ac:dyDescent="0.3">
      <c r="A145" s="23">
        <v>108</v>
      </c>
      <c r="B145" s="134">
        <f t="shared" si="8"/>
        <v>348.4796</v>
      </c>
      <c r="C145" s="134">
        <f t="shared" si="9"/>
        <v>799.4223623508143</v>
      </c>
    </row>
    <row r="146" spans="1:3" x14ac:dyDescent="0.3">
      <c r="A146" s="23">
        <v>109</v>
      </c>
      <c r="B146" s="134">
        <f t="shared" si="8"/>
        <v>351.75750000000005</v>
      </c>
      <c r="C146" s="134">
        <f t="shared" si="9"/>
        <v>803.82706498367918</v>
      </c>
    </row>
    <row r="147" spans="1:3" x14ac:dyDescent="0.3">
      <c r="A147" s="23">
        <v>110</v>
      </c>
      <c r="B147" s="134">
        <f t="shared" si="8"/>
        <v>355.01300000000003</v>
      </c>
      <c r="C147" s="134">
        <f t="shared" si="9"/>
        <v>808.2008170987956</v>
      </c>
    </row>
    <row r="148" spans="1:3" x14ac:dyDescent="0.3">
      <c r="A148" s="23">
        <v>111</v>
      </c>
      <c r="B148" s="134">
        <f t="shared" si="8"/>
        <v>358.24610000000001</v>
      </c>
      <c r="C148" s="134">
        <f t="shared" si="9"/>
        <v>812.54364477120271</v>
      </c>
    </row>
    <row r="149" spans="1:3" x14ac:dyDescent="0.3">
      <c r="A149" s="23">
        <v>112</v>
      </c>
      <c r="B149" s="134">
        <f t="shared" si="8"/>
        <v>361.45680000000004</v>
      </c>
      <c r="C149" s="134">
        <f t="shared" si="9"/>
        <v>816.85557344022732</v>
      </c>
    </row>
    <row r="150" spans="1:3" x14ac:dyDescent="0.3">
      <c r="A150" s="23">
        <v>113</v>
      </c>
      <c r="B150" s="134">
        <f t="shared" si="8"/>
        <v>364.64510000000007</v>
      </c>
      <c r="C150" s="134">
        <f t="shared" si="9"/>
        <v>821.13662793108347</v>
      </c>
    </row>
    <row r="151" spans="1:3" x14ac:dyDescent="0.3">
      <c r="A151" s="23">
        <v>114</v>
      </c>
      <c r="B151" s="134">
        <f t="shared" si="8"/>
        <v>367.81100000000004</v>
      </c>
      <c r="C151" s="134">
        <f t="shared" si="9"/>
        <v>825.38683247547362</v>
      </c>
    </row>
    <row r="152" spans="1:3" x14ac:dyDescent="0.3">
      <c r="A152" s="23">
        <v>115</v>
      </c>
      <c r="B152" s="134">
        <f t="shared" si="8"/>
        <v>370.95450000000005</v>
      </c>
      <c r="C152" s="134">
        <f t="shared" si="9"/>
        <v>829.60621073125458</v>
      </c>
    </row>
    <row r="153" spans="1:3" x14ac:dyDescent="0.3">
      <c r="A153" s="23">
        <v>116</v>
      </c>
      <c r="B153" s="134">
        <f t="shared" si="8"/>
        <v>374.07560000000007</v>
      </c>
      <c r="C153" s="134">
        <f t="shared" si="9"/>
        <v>833.79478580121247</v>
      </c>
    </row>
    <row r="154" spans="1:3" x14ac:dyDescent="0.3">
      <c r="A154" s="23">
        <v>117</v>
      </c>
      <c r="B154" s="134">
        <f t="shared" si="8"/>
        <v>377.17430000000002</v>
      </c>
      <c r="C154" s="134">
        <f t="shared" si="9"/>
        <v>837.95258025100418</v>
      </c>
    </row>
    <row r="155" spans="1:3" x14ac:dyDescent="0.3">
      <c r="A155" s="23">
        <v>118</v>
      </c>
      <c r="B155" s="134">
        <f t="shared" si="8"/>
        <v>380.25060000000008</v>
      </c>
      <c r="C155" s="134">
        <f t="shared" si="9"/>
        <v>842.07961612630697</v>
      </c>
    </row>
    <row r="156" spans="1:3" x14ac:dyDescent="0.3">
      <c r="A156" s="23">
        <v>119</v>
      </c>
      <c r="B156" s="134">
        <f t="shared" si="8"/>
        <v>383.30450000000008</v>
      </c>
      <c r="C156" s="134">
        <f t="shared" si="9"/>
        <v>846.17591496921807</v>
      </c>
    </row>
    <row r="157" spans="1:3" x14ac:dyDescent="0.3">
      <c r="A157" s="23">
        <v>120</v>
      </c>
      <c r="B157" s="134">
        <f t="shared" si="8"/>
        <v>386.33600000000013</v>
      </c>
      <c r="C157" s="134">
        <f t="shared" si="9"/>
        <v>850.24149783394898</v>
      </c>
    </row>
    <row r="158" spans="1:3" x14ac:dyDescent="0.3">
      <c r="A158" s="23">
        <v>121</v>
      </c>
      <c r="B158" s="134">
        <f t="shared" si="8"/>
        <v>389.3451</v>
      </c>
      <c r="C158" s="134">
        <f t="shared" si="9"/>
        <v>854.27638530184811</v>
      </c>
    </row>
    <row r="159" spans="1:3" x14ac:dyDescent="0.3">
      <c r="A159" s="23">
        <v>122</v>
      </c>
      <c r="B159" s="134">
        <f t="shared" si="8"/>
        <v>392.33180000000004</v>
      </c>
      <c r="C159" s="134">
        <f t="shared" si="9"/>
        <v>858.28059749578983</v>
      </c>
    </row>
    <row r="160" spans="1:3" x14ac:dyDescent="0.3">
      <c r="A160" s="23">
        <v>123</v>
      </c>
      <c r="B160" s="134">
        <f t="shared" si="8"/>
        <v>395.29610000000002</v>
      </c>
      <c r="C160" s="134">
        <f t="shared" si="9"/>
        <v>862.25415409395907</v>
      </c>
    </row>
    <row r="161" spans="1:3" x14ac:dyDescent="0.3">
      <c r="A161" s="23">
        <v>124</v>
      </c>
      <c r="B161" s="134">
        <f t="shared" si="8"/>
        <v>398.23800000000006</v>
      </c>
      <c r="C161" s="134">
        <f t="shared" si="9"/>
        <v>866.19707434306827</v>
      </c>
    </row>
    <row r="162" spans="1:3" x14ac:dyDescent="0.3">
      <c r="A162" s="23">
        <v>125</v>
      </c>
      <c r="B162" s="134">
        <f t="shared" si="8"/>
        <v>401.15750000000003</v>
      </c>
      <c r="C162" s="134">
        <f t="shared" si="9"/>
        <v>870.10937707103017</v>
      </c>
    </row>
    <row r="163" spans="1:3" x14ac:dyDescent="0.3">
      <c r="A163" s="23">
        <v>126</v>
      </c>
      <c r="B163" s="134">
        <f t="shared" si="8"/>
        <v>404.05460000000005</v>
      </c>
      <c r="C163" s="134">
        <f t="shared" si="9"/>
        <v>873.99108069911767</v>
      </c>
    </row>
    <row r="164" spans="1:3" x14ac:dyDescent="0.3">
      <c r="A164" s="23">
        <v>127</v>
      </c>
      <c r="B164" s="134">
        <f t="shared" si="8"/>
        <v>406.92930000000001</v>
      </c>
      <c r="C164" s="134">
        <f t="shared" si="9"/>
        <v>877.84220325363344</v>
      </c>
    </row>
    <row r="165" spans="1:3" x14ac:dyDescent="0.3">
      <c r="A165" s="23">
        <v>128</v>
      </c>
      <c r="B165" s="134">
        <f t="shared" si="8"/>
        <v>409.78160000000003</v>
      </c>
      <c r="C165" s="134">
        <f t="shared" si="9"/>
        <v>881.66276237711713</v>
      </c>
    </row>
    <row r="166" spans="1:3" x14ac:dyDescent="0.3">
      <c r="A166" s="23">
        <v>129</v>
      </c>
      <c r="B166" s="134">
        <f t="shared" si="8"/>
        <v>412.61150000000009</v>
      </c>
      <c r="C166" s="134">
        <f t="shared" si="9"/>
        <v>885.4527753391086</v>
      </c>
    </row>
    <row r="167" spans="1:3" x14ac:dyDescent="0.3">
      <c r="A167" s="23">
        <v>130</v>
      </c>
      <c r="B167" s="134">
        <f t="shared" ref="B167:B230" si="10">(-0.0112*(A167^2))+(5.7083*A167)-137.38</f>
        <v>415.4190000000001</v>
      </c>
      <c r="C167" s="134">
        <f t="shared" ref="C167:C230" si="11">IF(B167&gt;0,(((B167*0.58) +EXP(-1.0587+(0.8836*LN(B167*0.58))+0.284))*0.475+70+10)*(44/11),0)</f>
        <v>889.21225904649168</v>
      </c>
    </row>
    <row r="168" spans="1:3" x14ac:dyDescent="0.3">
      <c r="A168" s="23">
        <v>131</v>
      </c>
      <c r="B168" s="134">
        <f t="shared" si="10"/>
        <v>418.20410000000004</v>
      </c>
      <c r="C168" s="134">
        <f t="shared" si="11"/>
        <v>892.94123005343818</v>
      </c>
    </row>
    <row r="169" spans="1:3" x14ac:dyDescent="0.3">
      <c r="A169" s="23">
        <v>132</v>
      </c>
      <c r="B169" s="134">
        <f t="shared" si="10"/>
        <v>420.96680000000003</v>
      </c>
      <c r="C169" s="134">
        <f t="shared" si="11"/>
        <v>896.63970457097025</v>
      </c>
    </row>
    <row r="170" spans="1:3" x14ac:dyDescent="0.3">
      <c r="A170" s="23">
        <v>133</v>
      </c>
      <c r="B170" s="134">
        <f t="shared" si="10"/>
        <v>423.70710000000008</v>
      </c>
      <c r="C170" s="134">
        <f t="shared" si="11"/>
        <v>900.30769847615852</v>
      </c>
    </row>
    <row r="171" spans="1:3" x14ac:dyDescent="0.3">
      <c r="A171" s="23">
        <v>134</v>
      </c>
      <c r="B171" s="134">
        <f t="shared" si="10"/>
        <v>426.42500000000007</v>
      </c>
      <c r="C171" s="134">
        <f t="shared" si="11"/>
        <v>903.94522732097562</v>
      </c>
    </row>
    <row r="172" spans="1:3" x14ac:dyDescent="0.3">
      <c r="A172" s="23">
        <v>135</v>
      </c>
      <c r="B172" s="134">
        <f t="shared" si="10"/>
        <v>429.12050000000011</v>
      </c>
      <c r="C172" s="134">
        <f t="shared" si="11"/>
        <v>907.55230634081818</v>
      </c>
    </row>
    <row r="173" spans="1:3" x14ac:dyDescent="0.3">
      <c r="A173" s="23">
        <v>136</v>
      </c>
      <c r="B173" s="134">
        <f t="shared" si="10"/>
        <v>431.79359999999997</v>
      </c>
      <c r="C173" s="134">
        <f t="shared" si="11"/>
        <v>911.12895046271342</v>
      </c>
    </row>
    <row r="174" spans="1:3" x14ac:dyDescent="0.3">
      <c r="A174" s="23">
        <v>137</v>
      </c>
      <c r="B174" s="134">
        <f t="shared" si="10"/>
        <v>434.4443</v>
      </c>
      <c r="C174" s="134">
        <f t="shared" si="11"/>
        <v>914.67517431322653</v>
      </c>
    </row>
    <row r="175" spans="1:3" x14ac:dyDescent="0.3">
      <c r="A175" s="23">
        <v>138</v>
      </c>
      <c r="B175" s="134">
        <f t="shared" si="10"/>
        <v>437.07260000000008</v>
      </c>
      <c r="C175" s="134">
        <f t="shared" si="11"/>
        <v>918.19099222607736</v>
      </c>
    </row>
    <row r="176" spans="1:3" x14ac:dyDescent="0.3">
      <c r="A176" s="23">
        <v>139</v>
      </c>
      <c r="B176" s="134">
        <f t="shared" si="10"/>
        <v>439.6785000000001</v>
      </c>
      <c r="C176" s="134">
        <f t="shared" si="11"/>
        <v>921.67641824948532</v>
      </c>
    </row>
    <row r="177" spans="1:3" x14ac:dyDescent="0.3">
      <c r="A177" s="23">
        <v>140</v>
      </c>
      <c r="B177" s="134">
        <f t="shared" si="10"/>
        <v>442.26200000000006</v>
      </c>
      <c r="C177" s="134">
        <f t="shared" si="11"/>
        <v>925.13146615325081</v>
      </c>
    </row>
    <row r="178" spans="1:3" x14ac:dyDescent="0.3">
      <c r="A178" s="23">
        <v>141</v>
      </c>
      <c r="B178" s="134">
        <f t="shared" si="10"/>
        <v>444.82310000000007</v>
      </c>
      <c r="C178" s="134">
        <f t="shared" si="11"/>
        <v>928.55614943558544</v>
      </c>
    </row>
    <row r="179" spans="1:3" x14ac:dyDescent="0.3">
      <c r="A179" s="23">
        <v>142</v>
      </c>
      <c r="B179" s="134">
        <f t="shared" si="10"/>
        <v>447.36180000000002</v>
      </c>
      <c r="C179" s="134">
        <f t="shared" si="11"/>
        <v>931.95048132970078</v>
      </c>
    </row>
    <row r="180" spans="1:3" x14ac:dyDescent="0.3">
      <c r="A180" s="23">
        <v>143</v>
      </c>
      <c r="B180" s="134">
        <f t="shared" si="10"/>
        <v>449.87810000000002</v>
      </c>
      <c r="C180" s="134">
        <f t="shared" si="11"/>
        <v>935.3144748101696</v>
      </c>
    </row>
    <row r="181" spans="1:3" x14ac:dyDescent="0.3">
      <c r="A181" s="23">
        <v>144</v>
      </c>
      <c r="B181" s="134">
        <f t="shared" si="10"/>
        <v>452.37200000000007</v>
      </c>
      <c r="C181" s="134">
        <f t="shared" si="11"/>
        <v>938.64814259906404</v>
      </c>
    </row>
    <row r="182" spans="1:3" x14ac:dyDescent="0.3">
      <c r="A182" s="23">
        <v>145</v>
      </c>
      <c r="B182" s="134">
        <f t="shared" si="10"/>
        <v>454.84350000000006</v>
      </c>
      <c r="C182" s="134">
        <f t="shared" si="11"/>
        <v>941.9514971718861</v>
      </c>
    </row>
    <row r="183" spans="1:3" x14ac:dyDescent="0.3">
      <c r="A183" s="23">
        <v>146</v>
      </c>
      <c r="B183" s="134">
        <f t="shared" si="10"/>
        <v>457.29260000000011</v>
      </c>
      <c r="C183" s="134">
        <f t="shared" si="11"/>
        <v>945.22455076329265</v>
      </c>
    </row>
    <row r="184" spans="1:3" x14ac:dyDescent="0.3">
      <c r="A184" s="23">
        <v>147</v>
      </c>
      <c r="B184" s="134">
        <f t="shared" si="10"/>
        <v>459.71930000000009</v>
      </c>
      <c r="C184" s="134">
        <f t="shared" si="11"/>
        <v>948.4673153726286</v>
      </c>
    </row>
    <row r="185" spans="1:3" x14ac:dyDescent="0.3">
      <c r="A185" s="23">
        <v>148</v>
      </c>
      <c r="B185" s="134">
        <f t="shared" si="10"/>
        <v>462.12360000000012</v>
      </c>
      <c r="C185" s="134">
        <f t="shared" si="11"/>
        <v>951.6798027692746</v>
      </c>
    </row>
    <row r="186" spans="1:3" x14ac:dyDescent="0.3">
      <c r="A186" s="23">
        <v>149</v>
      </c>
      <c r="B186" s="134">
        <f t="shared" si="10"/>
        <v>464.5055000000001</v>
      </c>
      <c r="C186" s="134">
        <f t="shared" si="11"/>
        <v>954.86202449781456</v>
      </c>
    </row>
    <row r="187" spans="1:3" x14ac:dyDescent="0.3">
      <c r="A187" s="23">
        <v>150</v>
      </c>
      <c r="B187" s="134">
        <f t="shared" si="10"/>
        <v>466.86500000000001</v>
      </c>
      <c r="C187" s="134">
        <f t="shared" si="11"/>
        <v>958.01399188303378</v>
      </c>
    </row>
    <row r="188" spans="1:3" x14ac:dyDescent="0.3">
      <c r="A188" s="23">
        <v>151</v>
      </c>
      <c r="B188" s="134">
        <f t="shared" si="10"/>
        <v>469.20210000000009</v>
      </c>
      <c r="C188" s="134">
        <f t="shared" si="11"/>
        <v>961.13571603475214</v>
      </c>
    </row>
    <row r="189" spans="1:3" x14ac:dyDescent="0.3">
      <c r="A189" s="23">
        <v>152</v>
      </c>
      <c r="B189" s="134">
        <f t="shared" si="10"/>
        <v>471.51679999999999</v>
      </c>
      <c r="C189" s="134">
        <f t="shared" si="11"/>
        <v>964.22720785249953</v>
      </c>
    </row>
    <row r="190" spans="1:3" x14ac:dyDescent="0.3">
      <c r="A190" s="23">
        <v>153</v>
      </c>
      <c r="B190" s="134">
        <f t="shared" si="10"/>
        <v>473.80910000000006</v>
      </c>
      <c r="C190" s="134">
        <f t="shared" si="11"/>
        <v>967.28847803003987</v>
      </c>
    </row>
    <row r="191" spans="1:3" x14ac:dyDescent="0.3">
      <c r="A191" s="23">
        <v>154</v>
      </c>
      <c r="B191" s="134">
        <f t="shared" si="10"/>
        <v>476.07900000000006</v>
      </c>
      <c r="C191" s="134">
        <f t="shared" si="11"/>
        <v>970.31953705974854</v>
      </c>
    </row>
    <row r="192" spans="1:3" x14ac:dyDescent="0.3">
      <c r="A192" s="23">
        <v>155</v>
      </c>
      <c r="B192" s="134">
        <f t="shared" si="10"/>
        <v>478.32650000000001</v>
      </c>
      <c r="C192" s="134">
        <f t="shared" si="11"/>
        <v>973.3203952368516</v>
      </c>
    </row>
    <row r="193" spans="1:3" x14ac:dyDescent="0.3">
      <c r="A193" s="23">
        <v>156</v>
      </c>
      <c r="B193" s="134">
        <f t="shared" si="10"/>
        <v>480.55160000000012</v>
      </c>
      <c r="C193" s="134">
        <f t="shared" si="11"/>
        <v>976.29106266352892</v>
      </c>
    </row>
    <row r="194" spans="1:3" x14ac:dyDescent="0.3">
      <c r="A194" s="23">
        <v>157</v>
      </c>
      <c r="B194" s="134">
        <f t="shared" si="10"/>
        <v>482.75430000000006</v>
      </c>
      <c r="C194" s="134">
        <f t="shared" si="11"/>
        <v>979.23154925288702</v>
      </c>
    </row>
    <row r="195" spans="1:3" x14ac:dyDescent="0.3">
      <c r="A195" s="23">
        <v>158</v>
      </c>
      <c r="B195" s="134">
        <f t="shared" si="10"/>
        <v>484.93460000000016</v>
      </c>
      <c r="C195" s="134">
        <f t="shared" si="11"/>
        <v>982.14186473281018</v>
      </c>
    </row>
    <row r="196" spans="1:3" x14ac:dyDescent="0.3">
      <c r="A196" s="23">
        <v>159</v>
      </c>
      <c r="B196" s="134">
        <f t="shared" si="10"/>
        <v>487.09250000000009</v>
      </c>
      <c r="C196" s="134">
        <f t="shared" si="11"/>
        <v>985.02201864968742</v>
      </c>
    </row>
    <row r="197" spans="1:3" x14ac:dyDescent="0.3">
      <c r="A197" s="23">
        <v>160</v>
      </c>
      <c r="B197" s="134">
        <f t="shared" si="10"/>
        <v>489.22800000000018</v>
      </c>
      <c r="C197" s="134">
        <f t="shared" si="11"/>
        <v>987.87202037202701</v>
      </c>
    </row>
    <row r="198" spans="1:3" x14ac:dyDescent="0.3">
      <c r="A198" s="23">
        <v>161</v>
      </c>
      <c r="B198" s="134">
        <f t="shared" si="10"/>
        <v>491.3411000000001</v>
      </c>
      <c r="C198" s="134">
        <f t="shared" si="11"/>
        <v>990.69187909395828</v>
      </c>
    </row>
    <row r="199" spans="1:3" x14ac:dyDescent="0.3">
      <c r="A199" s="23">
        <v>162</v>
      </c>
      <c r="B199" s="134">
        <f t="shared" si="10"/>
        <v>493.43180000000018</v>
      </c>
      <c r="C199" s="134">
        <f t="shared" si="11"/>
        <v>993.48160383862648</v>
      </c>
    </row>
    <row r="200" spans="1:3" x14ac:dyDescent="0.3">
      <c r="A200" s="23">
        <v>163</v>
      </c>
      <c r="B200" s="134">
        <f t="shared" si="10"/>
        <v>495.50010000000009</v>
      </c>
      <c r="C200" s="134">
        <f t="shared" si="11"/>
        <v>996.24120346148356</v>
      </c>
    </row>
    <row r="201" spans="1:3" x14ac:dyDescent="0.3">
      <c r="A201" s="23">
        <v>164</v>
      </c>
      <c r="B201" s="134">
        <f t="shared" si="10"/>
        <v>497.54599999999994</v>
      </c>
      <c r="C201" s="134">
        <f t="shared" si="11"/>
        <v>998.97068665348024</v>
      </c>
    </row>
    <row r="202" spans="1:3" x14ac:dyDescent="0.3">
      <c r="A202" s="23">
        <v>165</v>
      </c>
      <c r="B202" s="134">
        <f t="shared" si="10"/>
        <v>499.56949999999995</v>
      </c>
      <c r="C202" s="134">
        <f t="shared" si="11"/>
        <v>1001.6700619441608</v>
      </c>
    </row>
    <row r="203" spans="1:3" x14ac:dyDescent="0.3">
      <c r="A203" s="23">
        <v>166</v>
      </c>
      <c r="B203" s="134">
        <f t="shared" si="10"/>
        <v>501.57060000000001</v>
      </c>
      <c r="C203" s="134">
        <f t="shared" si="11"/>
        <v>1004.3393377046651</v>
      </c>
    </row>
    <row r="204" spans="1:3" x14ac:dyDescent="0.3">
      <c r="A204" s="23">
        <v>167</v>
      </c>
      <c r="B204" s="134">
        <f t="shared" si="10"/>
        <v>503.54930000000002</v>
      </c>
      <c r="C204" s="134">
        <f t="shared" si="11"/>
        <v>1006.9785221506422</v>
      </c>
    </row>
    <row r="205" spans="1:3" x14ac:dyDescent="0.3">
      <c r="A205" s="23">
        <v>168</v>
      </c>
      <c r="B205" s="134">
        <f t="shared" si="10"/>
        <v>505.50560000000007</v>
      </c>
      <c r="C205" s="134">
        <f t="shared" si="11"/>
        <v>1009.5876233450763</v>
      </c>
    </row>
    <row r="206" spans="1:3" x14ac:dyDescent="0.3">
      <c r="A206" s="23">
        <v>169</v>
      </c>
      <c r="B206" s="134">
        <f t="shared" si="10"/>
        <v>507.43950000000007</v>
      </c>
      <c r="C206" s="134">
        <f t="shared" si="11"/>
        <v>1012.1666492010287</v>
      </c>
    </row>
    <row r="207" spans="1:3" x14ac:dyDescent="0.3">
      <c r="A207" s="23">
        <v>170</v>
      </c>
      <c r="B207" s="134">
        <f t="shared" si="10"/>
        <v>509.351</v>
      </c>
      <c r="C207" s="134">
        <f t="shared" si="11"/>
        <v>1014.7156074843015</v>
      </c>
    </row>
    <row r="208" spans="1:3" x14ac:dyDescent="0.3">
      <c r="A208" s="23">
        <v>171</v>
      </c>
      <c r="B208" s="134">
        <f t="shared" si="10"/>
        <v>511.2401000000001</v>
      </c>
      <c r="C208" s="134">
        <f t="shared" si="11"/>
        <v>1017.2345058160197</v>
      </c>
    </row>
    <row r="209" spans="1:3" x14ac:dyDescent="0.3">
      <c r="A209" s="23">
        <v>172</v>
      </c>
      <c r="B209" s="134">
        <f t="shared" si="10"/>
        <v>513.10680000000013</v>
      </c>
      <c r="C209" s="134">
        <f t="shared" si="11"/>
        <v>1019.7233516751411</v>
      </c>
    </row>
    <row r="210" spans="1:3" x14ac:dyDescent="0.3">
      <c r="A210" s="23">
        <v>173</v>
      </c>
      <c r="B210" s="134">
        <f t="shared" si="10"/>
        <v>514.95110000000011</v>
      </c>
      <c r="C210" s="134">
        <f t="shared" si="11"/>
        <v>1022.1821524008911</v>
      </c>
    </row>
    <row r="211" spans="1:3" x14ac:dyDescent="0.3">
      <c r="A211" s="23">
        <v>174</v>
      </c>
      <c r="B211" s="134">
        <f t="shared" si="10"/>
        <v>516.77300000000002</v>
      </c>
      <c r="C211" s="134">
        <f t="shared" si="11"/>
        <v>1024.61091519513</v>
      </c>
    </row>
    <row r="212" spans="1:3" x14ac:dyDescent="0.3">
      <c r="A212" s="23">
        <v>175</v>
      </c>
      <c r="B212" s="134">
        <f t="shared" si="10"/>
        <v>518.5725000000001</v>
      </c>
      <c r="C212" s="134">
        <f t="shared" si="11"/>
        <v>1027.0096471246475</v>
      </c>
    </row>
    <row r="213" spans="1:3" x14ac:dyDescent="0.3">
      <c r="A213" s="23">
        <v>176</v>
      </c>
      <c r="B213" s="134">
        <f t="shared" si="10"/>
        <v>520.34960000000012</v>
      </c>
      <c r="C213" s="134">
        <f t="shared" si="11"/>
        <v>1029.3783551233953</v>
      </c>
    </row>
    <row r="214" spans="1:3" x14ac:dyDescent="0.3">
      <c r="A214" s="23">
        <v>177</v>
      </c>
      <c r="B214" s="134">
        <f t="shared" si="10"/>
        <v>522.10430000000008</v>
      </c>
      <c r="C214" s="134">
        <f t="shared" si="11"/>
        <v>1031.7170459946537</v>
      </c>
    </row>
    <row r="215" spans="1:3" x14ac:dyDescent="0.3">
      <c r="A215" s="23">
        <v>178</v>
      </c>
      <c r="B215" s="134">
        <f t="shared" si="10"/>
        <v>523.83659999999998</v>
      </c>
      <c r="C215" s="134">
        <f t="shared" si="11"/>
        <v>1034.0257264131387</v>
      </c>
    </row>
    <row r="216" spans="1:3" x14ac:dyDescent="0.3">
      <c r="A216" s="23">
        <v>179</v>
      </c>
      <c r="B216" s="134">
        <f t="shared" si="10"/>
        <v>525.54650000000004</v>
      </c>
      <c r="C216" s="134">
        <f t="shared" si="11"/>
        <v>1036.304402927045</v>
      </c>
    </row>
    <row r="217" spans="1:3" x14ac:dyDescent="0.3">
      <c r="A217" s="23">
        <v>180</v>
      </c>
      <c r="B217" s="134">
        <f t="shared" si="10"/>
        <v>527.23400000000015</v>
      </c>
      <c r="C217" s="134">
        <f t="shared" si="11"/>
        <v>1038.5530819600351</v>
      </c>
    </row>
    <row r="218" spans="1:3" x14ac:dyDescent="0.3">
      <c r="A218" s="23">
        <v>181</v>
      </c>
      <c r="B218" s="134">
        <f t="shared" si="10"/>
        <v>528.8991000000002</v>
      </c>
      <c r="C218" s="134">
        <f t="shared" si="11"/>
        <v>1040.7717698131701</v>
      </c>
    </row>
    <row r="219" spans="1:3" x14ac:dyDescent="0.3">
      <c r="A219" s="23">
        <v>182</v>
      </c>
      <c r="B219" s="134">
        <f t="shared" si="10"/>
        <v>530.54180000000019</v>
      </c>
      <c r="C219" s="134">
        <f t="shared" si="11"/>
        <v>1042.9604726667862</v>
      </c>
    </row>
    <row r="220" spans="1:3" x14ac:dyDescent="0.3">
      <c r="A220" s="23">
        <v>183</v>
      </c>
      <c r="B220" s="134">
        <f t="shared" si="10"/>
        <v>532.16210000000012</v>
      </c>
      <c r="C220" s="134">
        <f t="shared" si="11"/>
        <v>1045.1191965823195</v>
      </c>
    </row>
    <row r="221" spans="1:3" x14ac:dyDescent="0.3">
      <c r="A221" s="23">
        <v>184</v>
      </c>
      <c r="B221" s="134">
        <f t="shared" si="10"/>
        <v>533.7600000000001</v>
      </c>
      <c r="C221" s="134">
        <f t="shared" si="11"/>
        <v>1047.2479475040777</v>
      </c>
    </row>
    <row r="222" spans="1:3" x14ac:dyDescent="0.3">
      <c r="A222" s="23">
        <v>185</v>
      </c>
      <c r="B222" s="134">
        <f t="shared" si="10"/>
        <v>535.33550000000002</v>
      </c>
      <c r="C222" s="134">
        <f t="shared" si="11"/>
        <v>1049.3467312609637</v>
      </c>
    </row>
    <row r="223" spans="1:3" x14ac:dyDescent="0.3">
      <c r="A223" s="23">
        <v>186</v>
      </c>
      <c r="B223" s="134">
        <f t="shared" si="10"/>
        <v>536.8886</v>
      </c>
      <c r="C223" s="134">
        <f t="shared" si="11"/>
        <v>1051.4155535681489</v>
      </c>
    </row>
    <row r="224" spans="1:3" x14ac:dyDescent="0.3">
      <c r="A224" s="23">
        <v>187</v>
      </c>
      <c r="B224" s="134">
        <f t="shared" si="10"/>
        <v>538.41929999999991</v>
      </c>
      <c r="C224" s="134">
        <f t="shared" si="11"/>
        <v>1053.4544200287025</v>
      </c>
    </row>
    <row r="225" spans="1:3" x14ac:dyDescent="0.3">
      <c r="A225" s="23">
        <v>188</v>
      </c>
      <c r="B225" s="134">
        <f t="shared" si="10"/>
        <v>539.92759999999998</v>
      </c>
      <c r="C225" s="134">
        <f t="shared" si="11"/>
        <v>1055.4633361351741</v>
      </c>
    </row>
    <row r="226" spans="1:3" x14ac:dyDescent="0.3">
      <c r="A226" s="23">
        <v>189</v>
      </c>
      <c r="B226" s="134">
        <f t="shared" si="10"/>
        <v>541.4135</v>
      </c>
      <c r="C226" s="134">
        <f t="shared" si="11"/>
        <v>1057.4423072711293</v>
      </c>
    </row>
    <row r="227" spans="1:3" x14ac:dyDescent="0.3">
      <c r="A227" s="23">
        <v>190</v>
      </c>
      <c r="B227" s="134">
        <f t="shared" si="10"/>
        <v>542.87700000000007</v>
      </c>
      <c r="C227" s="134">
        <f t="shared" si="11"/>
        <v>1059.3913387126472</v>
      </c>
    </row>
    <row r="228" spans="1:3" x14ac:dyDescent="0.3">
      <c r="A228" s="23">
        <v>191</v>
      </c>
      <c r="B228" s="134">
        <f t="shared" si="10"/>
        <v>544.31810000000007</v>
      </c>
      <c r="C228" s="134">
        <f t="shared" si="11"/>
        <v>1061.3104356297733</v>
      </c>
    </row>
    <row r="229" spans="1:3" x14ac:dyDescent="0.3">
      <c r="A229" s="23">
        <v>192</v>
      </c>
      <c r="B229" s="134">
        <f t="shared" si="10"/>
        <v>545.73680000000002</v>
      </c>
      <c r="C229" s="134">
        <f t="shared" si="11"/>
        <v>1063.1996030879318</v>
      </c>
    </row>
    <row r="230" spans="1:3" x14ac:dyDescent="0.3">
      <c r="A230" s="23">
        <v>193</v>
      </c>
      <c r="B230" s="134">
        <f t="shared" si="10"/>
        <v>547.13310000000001</v>
      </c>
      <c r="C230" s="134">
        <f t="shared" si="11"/>
        <v>1065.0588460492995</v>
      </c>
    </row>
    <row r="231" spans="1:3" x14ac:dyDescent="0.3">
      <c r="A231" s="23">
        <v>194</v>
      </c>
      <c r="B231" s="134">
        <f t="shared" ref="B231:B236" si="12">(-0.0112*(A231^2))+(5.7083*A231)-137.38</f>
        <v>548.50700000000006</v>
      </c>
      <c r="C231" s="134">
        <f t="shared" ref="C231:C236" si="13">IF(B231&gt;0,(((B231*0.58) +EXP(-1.0587+(0.8836*LN(B231*0.58))+0.284))*0.475+70+10)*(44/11),0)</f>
        <v>1066.8881693741405</v>
      </c>
    </row>
    <row r="232" spans="1:3" x14ac:dyDescent="0.3">
      <c r="A232" s="23">
        <v>195</v>
      </c>
      <c r="B232" s="134">
        <f t="shared" si="12"/>
        <v>549.85850000000005</v>
      </c>
      <c r="C232" s="134">
        <f t="shared" si="13"/>
        <v>1068.6875778221047</v>
      </c>
    </row>
    <row r="233" spans="1:3" x14ac:dyDescent="0.3">
      <c r="A233" s="23">
        <v>196</v>
      </c>
      <c r="B233" s="134">
        <f t="shared" si="12"/>
        <v>551.18760000000009</v>
      </c>
      <c r="C233" s="134">
        <f t="shared" si="13"/>
        <v>1070.457076053488</v>
      </c>
    </row>
    <row r="234" spans="1:3" x14ac:dyDescent="0.3">
      <c r="A234" s="23">
        <v>197</v>
      </c>
      <c r="B234" s="134">
        <f t="shared" si="12"/>
        <v>552.49430000000007</v>
      </c>
      <c r="C234" s="134">
        <f t="shared" si="13"/>
        <v>1072.1966686304595</v>
      </c>
    </row>
    <row r="235" spans="1:3" x14ac:dyDescent="0.3">
      <c r="A235" s="23">
        <v>198</v>
      </c>
      <c r="B235" s="134">
        <f t="shared" si="12"/>
        <v>553.7786000000001</v>
      </c>
      <c r="C235" s="134">
        <f t="shared" si="13"/>
        <v>1073.9063600182526</v>
      </c>
    </row>
    <row r="236" spans="1:3" x14ac:dyDescent="0.3">
      <c r="A236" s="23">
        <v>199</v>
      </c>
      <c r="B236" s="134">
        <f t="shared" si="12"/>
        <v>555.04050000000007</v>
      </c>
      <c r="C236" s="134">
        <f t="shared" si="13"/>
        <v>1075.5861545863227</v>
      </c>
    </row>
    <row r="237" spans="1:3" x14ac:dyDescent="0.3">
      <c r="A237" s="139" t="s">
        <v>185</v>
      </c>
      <c r="B237" s="140"/>
      <c r="C237" s="134">
        <f>SUM(C38:C236)/A236</f>
        <v>681.68280043527056</v>
      </c>
    </row>
  </sheetData>
  <mergeCells count="4">
    <mergeCell ref="A10:K10"/>
    <mergeCell ref="M10:W10"/>
    <mergeCell ref="Y64:Z64"/>
    <mergeCell ref="A237:B23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3"/>
  <sheetViews>
    <sheetView workbookViewId="0">
      <selection activeCell="G51" sqref="G51"/>
    </sheetView>
  </sheetViews>
  <sheetFormatPr baseColWidth="10" defaultRowHeight="14.4" x14ac:dyDescent="0.3"/>
  <cols>
    <col min="2" max="2" width="43.77734375" bestFit="1" customWidth="1"/>
    <col min="3" max="3" width="14" customWidth="1"/>
    <col min="4" max="4" width="9" bestFit="1" customWidth="1"/>
    <col min="5" max="5" width="21" bestFit="1" customWidth="1"/>
    <col min="6" max="6" width="9.77734375" customWidth="1"/>
    <col min="7" max="7" width="35.77734375" customWidth="1"/>
    <col min="8" max="8" width="9.77734375" customWidth="1"/>
    <col min="9" max="9" width="13.77734375" bestFit="1" customWidth="1"/>
    <col min="10" max="10" width="11.5546875" bestFit="1" customWidth="1"/>
    <col min="12" max="12" width="21" bestFit="1" customWidth="1"/>
  </cols>
  <sheetData>
    <row r="2" spans="1:17" x14ac:dyDescent="0.3">
      <c r="A2" s="122" t="s">
        <v>131</v>
      </c>
      <c r="B2" s="122"/>
      <c r="C2" s="122"/>
      <c r="D2" s="122"/>
      <c r="E2" s="29"/>
      <c r="F2" s="29"/>
      <c r="G2" s="29"/>
      <c r="H2" s="29"/>
      <c r="I2" s="29"/>
      <c r="J2" s="29"/>
      <c r="K2" s="79"/>
      <c r="L2" s="79"/>
    </row>
    <row r="3" spans="1:17" x14ac:dyDescent="0.3">
      <c r="D3" s="33"/>
      <c r="F3" s="76"/>
      <c r="G3" s="74"/>
      <c r="H3" s="30"/>
      <c r="I3" s="30"/>
      <c r="J3" s="30"/>
    </row>
    <row r="4" spans="1:17" x14ac:dyDescent="0.3">
      <c r="B4" s="49"/>
      <c r="C4" s="33"/>
      <c r="D4" s="33"/>
      <c r="F4" s="27"/>
      <c r="H4" s="78" t="s">
        <v>130</v>
      </c>
      <c r="I4" s="78"/>
    </row>
    <row r="5" spans="1:17" x14ac:dyDescent="0.3">
      <c r="D5" s="33"/>
      <c r="E5" s="75" t="s">
        <v>126</v>
      </c>
      <c r="F5" t="s">
        <v>129</v>
      </c>
      <c r="H5" s="77" t="s">
        <v>29</v>
      </c>
      <c r="I5" s="77">
        <v>2</v>
      </c>
    </row>
    <row r="6" spans="1:17" x14ac:dyDescent="0.3">
      <c r="B6" s="49"/>
      <c r="C6" s="33"/>
      <c r="D6" s="33"/>
      <c r="E6" s="76" t="s">
        <v>29</v>
      </c>
      <c r="F6" s="74">
        <v>3.3600000000000003</v>
      </c>
      <c r="H6" s="77" t="s">
        <v>32</v>
      </c>
      <c r="I6" s="77">
        <v>3</v>
      </c>
    </row>
    <row r="7" spans="1:17" x14ac:dyDescent="0.3">
      <c r="B7" s="50" t="s">
        <v>86</v>
      </c>
      <c r="C7" s="62">
        <f>B19+G19</f>
        <v>7.67</v>
      </c>
      <c r="D7" s="33"/>
      <c r="E7" s="76" t="s">
        <v>31</v>
      </c>
      <c r="F7" s="74">
        <v>4.3099999999999996</v>
      </c>
      <c r="H7" s="77" t="s">
        <v>31</v>
      </c>
      <c r="I7" s="77">
        <v>3</v>
      </c>
    </row>
    <row r="8" spans="1:17" x14ac:dyDescent="0.3">
      <c r="B8" s="49"/>
      <c r="C8" s="33"/>
      <c r="D8" s="33"/>
      <c r="E8" s="76" t="s">
        <v>127</v>
      </c>
      <c r="F8" s="74">
        <v>0</v>
      </c>
      <c r="H8" s="77" t="s">
        <v>21</v>
      </c>
      <c r="I8" s="77">
        <v>5</v>
      </c>
    </row>
    <row r="9" spans="1:17" x14ac:dyDescent="0.3">
      <c r="B9" s="49"/>
      <c r="C9" s="33"/>
      <c r="D9" s="33"/>
      <c r="E9" s="76" t="s">
        <v>128</v>
      </c>
      <c r="F9" s="74">
        <v>7.67</v>
      </c>
      <c r="H9" s="77" t="s">
        <v>30</v>
      </c>
      <c r="I9" s="77">
        <v>3</v>
      </c>
    </row>
    <row r="10" spans="1:17" x14ac:dyDescent="0.3">
      <c r="B10" s="49"/>
      <c r="C10" s="33"/>
      <c r="D10" s="33"/>
      <c r="E10" s="76"/>
      <c r="F10" s="74"/>
      <c r="H10" s="77" t="s">
        <v>64</v>
      </c>
      <c r="I10" s="77">
        <v>5</v>
      </c>
    </row>
    <row r="11" spans="1:17" x14ac:dyDescent="0.3">
      <c r="B11" s="49"/>
      <c r="C11" s="33"/>
      <c r="D11" s="33"/>
      <c r="F11" s="76"/>
      <c r="G11" s="74"/>
      <c r="H11" s="77" t="s">
        <v>59</v>
      </c>
      <c r="I11" s="77">
        <v>2</v>
      </c>
    </row>
    <row r="12" spans="1:17" x14ac:dyDescent="0.3">
      <c r="B12" s="49"/>
      <c r="C12" s="33"/>
      <c r="D12" s="33"/>
      <c r="F12" s="76"/>
      <c r="G12" s="74"/>
      <c r="H12" s="77" t="s">
        <v>62</v>
      </c>
      <c r="I12" s="77">
        <v>6</v>
      </c>
    </row>
    <row r="13" spans="1:17" x14ac:dyDescent="0.3">
      <c r="B13" s="49"/>
      <c r="C13" s="33"/>
      <c r="D13" s="33"/>
      <c r="F13" s="76"/>
      <c r="G13" s="74"/>
      <c r="H13" s="77" t="s">
        <v>60</v>
      </c>
      <c r="I13" s="77">
        <v>3</v>
      </c>
    </row>
    <row r="14" spans="1:17" x14ac:dyDescent="0.3">
      <c r="B14" s="49"/>
      <c r="C14" s="33"/>
      <c r="D14" s="33"/>
      <c r="F14" s="76"/>
      <c r="G14" s="74"/>
      <c r="H14" s="74"/>
      <c r="I14" s="74"/>
    </row>
    <row r="15" spans="1:17" x14ac:dyDescent="0.3">
      <c r="A15" s="122" t="s">
        <v>75</v>
      </c>
      <c r="B15" s="122"/>
      <c r="C15" s="122"/>
      <c r="D15" s="122"/>
      <c r="E15" s="122"/>
      <c r="F15" s="29"/>
      <c r="G15" s="29"/>
      <c r="H15" s="29"/>
      <c r="I15" s="29"/>
      <c r="J15" s="29"/>
      <c r="K15" s="29"/>
    </row>
    <row r="16" spans="1:17" x14ac:dyDescent="0.3">
      <c r="A16" s="34"/>
      <c r="B16" s="34"/>
      <c r="C16" s="81"/>
      <c r="D16" s="34"/>
      <c r="E16" s="34"/>
      <c r="F16" s="34"/>
      <c r="G16" s="34"/>
      <c r="H16" s="34"/>
      <c r="I16" s="81"/>
      <c r="J16" s="34"/>
      <c r="K16" s="34"/>
      <c r="M16" s="34"/>
      <c r="N16" s="34"/>
      <c r="O16" s="81"/>
      <c r="P16" s="34"/>
      <c r="Q16" s="34"/>
    </row>
    <row r="17" spans="1:17" x14ac:dyDescent="0.3">
      <c r="C17" s="13" t="s">
        <v>69</v>
      </c>
      <c r="E17" s="34"/>
      <c r="H17" s="13" t="s">
        <v>69</v>
      </c>
      <c r="J17" s="34"/>
      <c r="K17" s="34"/>
      <c r="M17" s="81"/>
      <c r="N17" s="81"/>
      <c r="O17" s="89"/>
      <c r="P17" s="34"/>
      <c r="Q17" s="34"/>
    </row>
    <row r="18" spans="1:17" x14ac:dyDescent="0.3">
      <c r="A18" s="13" t="s">
        <v>73</v>
      </c>
      <c r="B18" s="17" t="s">
        <v>29</v>
      </c>
      <c r="C18" s="65">
        <v>1</v>
      </c>
      <c r="E18" s="34"/>
      <c r="F18" s="13" t="s">
        <v>132</v>
      </c>
      <c r="G18" s="17" t="s">
        <v>31</v>
      </c>
      <c r="H18" s="65">
        <v>2</v>
      </c>
      <c r="J18" s="34"/>
      <c r="K18" s="34"/>
      <c r="M18" s="81"/>
      <c r="N18" s="81"/>
      <c r="O18" s="34"/>
      <c r="P18" s="34"/>
      <c r="Q18" s="34"/>
    </row>
    <row r="19" spans="1:17" x14ac:dyDescent="0.3">
      <c r="A19" s="12" t="s">
        <v>47</v>
      </c>
      <c r="B19" s="17">
        <v>3.36</v>
      </c>
      <c r="E19" s="34"/>
      <c r="F19" s="12" t="s">
        <v>47</v>
      </c>
      <c r="G19" s="17">
        <v>4.3099999999999996</v>
      </c>
      <c r="J19" s="34"/>
      <c r="K19" s="34"/>
      <c r="M19" s="34"/>
      <c r="N19" s="34"/>
      <c r="O19" s="34"/>
      <c r="P19" s="34"/>
      <c r="Q19" s="34"/>
    </row>
    <row r="20" spans="1:17" x14ac:dyDescent="0.3">
      <c r="E20" s="88"/>
      <c r="J20" s="35"/>
      <c r="K20" s="35"/>
      <c r="M20" s="88"/>
      <c r="N20" s="88"/>
      <c r="O20" s="88"/>
      <c r="P20" s="88"/>
      <c r="Q20" s="34"/>
    </row>
    <row r="21" spans="1:17" x14ac:dyDescent="0.3">
      <c r="A21" s="123" t="s">
        <v>51</v>
      </c>
      <c r="B21" s="123"/>
      <c r="C21" s="123"/>
      <c r="D21" s="123"/>
      <c r="E21" s="34"/>
      <c r="F21" s="123" t="s">
        <v>51</v>
      </c>
      <c r="G21" s="123"/>
      <c r="H21" s="123"/>
      <c r="I21" s="123"/>
      <c r="J21" s="34"/>
      <c r="K21" s="34"/>
      <c r="M21" s="34"/>
      <c r="N21" s="34"/>
      <c r="O21" s="34"/>
      <c r="P21" s="34"/>
      <c r="Q21" s="34"/>
    </row>
    <row r="22" spans="1:17" x14ac:dyDescent="0.3">
      <c r="E22" s="34"/>
      <c r="J22" s="34"/>
      <c r="K22" s="34"/>
      <c r="M22" s="34"/>
      <c r="N22" s="34"/>
      <c r="O22" s="34"/>
      <c r="P22" s="34"/>
      <c r="Q22" s="34"/>
    </row>
    <row r="23" spans="1:17" x14ac:dyDescent="0.3">
      <c r="A23" t="s">
        <v>50</v>
      </c>
      <c r="B23" t="s">
        <v>49</v>
      </c>
      <c r="C23" t="s">
        <v>48</v>
      </c>
      <c r="E23" s="34"/>
      <c r="F23" t="s">
        <v>50</v>
      </c>
      <c r="G23" t="s">
        <v>49</v>
      </c>
      <c r="H23" t="s">
        <v>48</v>
      </c>
      <c r="J23" s="82"/>
      <c r="K23" s="34"/>
      <c r="M23" s="34"/>
      <c r="N23" s="34"/>
      <c r="O23" s="82"/>
      <c r="P23" s="34"/>
      <c r="Q23" s="34"/>
    </row>
    <row r="24" spans="1:17" x14ac:dyDescent="0.3">
      <c r="A24" t="s">
        <v>22</v>
      </c>
      <c r="B24" t="s">
        <v>44</v>
      </c>
      <c r="C24" s="14">
        <v>15</v>
      </c>
      <c r="E24" s="34"/>
      <c r="F24" t="s">
        <v>22</v>
      </c>
      <c r="G24" t="s">
        <v>44</v>
      </c>
      <c r="H24" s="14">
        <v>185</v>
      </c>
      <c r="J24" s="82"/>
      <c r="K24" s="34"/>
      <c r="M24" s="34"/>
      <c r="N24" s="34"/>
      <c r="O24" s="82"/>
      <c r="P24" s="34"/>
      <c r="Q24" s="34"/>
    </row>
    <row r="25" spans="1:17" x14ac:dyDescent="0.3">
      <c r="A25" t="s">
        <v>33</v>
      </c>
      <c r="B25" t="s">
        <v>34</v>
      </c>
      <c r="C25" s="14">
        <f>C24*C32</f>
        <v>8.6999999999999993</v>
      </c>
      <c r="E25" s="34"/>
      <c r="F25" t="s">
        <v>33</v>
      </c>
      <c r="G25" t="s">
        <v>34</v>
      </c>
      <c r="H25" s="14">
        <f>H24*H32</f>
        <v>85.100000000000009</v>
      </c>
      <c r="J25" s="82"/>
      <c r="K25" s="34"/>
      <c r="M25" s="34"/>
      <c r="N25" s="34"/>
      <c r="O25" s="82"/>
      <c r="P25" s="34"/>
      <c r="Q25" s="34"/>
    </row>
    <row r="26" spans="1:17" x14ac:dyDescent="0.3">
      <c r="A26" t="s">
        <v>35</v>
      </c>
      <c r="B26" t="s">
        <v>37</v>
      </c>
      <c r="C26" s="14">
        <f>EXP(-1.0587+(0.8836*LN(C25))+0.284)</f>
        <v>3.1168168027376941</v>
      </c>
      <c r="E26" s="34"/>
      <c r="F26" t="s">
        <v>35</v>
      </c>
      <c r="G26" t="s">
        <v>37</v>
      </c>
      <c r="H26" s="14">
        <f>EXP(-1.0587+(0.8836*LN(H25))+0.284)</f>
        <v>23.379640245214933</v>
      </c>
      <c r="J26" s="82"/>
      <c r="K26" s="34"/>
      <c r="M26" s="34"/>
      <c r="N26" s="34"/>
      <c r="O26" s="82"/>
      <c r="P26" s="34"/>
      <c r="Q26" s="34"/>
    </row>
    <row r="27" spans="1:17" x14ac:dyDescent="0.3">
      <c r="A27" t="s">
        <v>36</v>
      </c>
      <c r="B27" t="s">
        <v>79</v>
      </c>
      <c r="C27" s="14">
        <f>70</f>
        <v>70</v>
      </c>
      <c r="E27" s="34"/>
      <c r="F27" t="s">
        <v>36</v>
      </c>
      <c r="G27" t="s">
        <v>79</v>
      </c>
      <c r="H27" s="14">
        <v>70</v>
      </c>
      <c r="J27" s="82"/>
      <c r="K27" s="34"/>
      <c r="M27" s="34"/>
      <c r="N27" s="34"/>
      <c r="O27" s="82"/>
      <c r="P27" s="34"/>
      <c r="Q27" s="34"/>
    </row>
    <row r="28" spans="1:17" x14ac:dyDescent="0.3">
      <c r="A28" t="s">
        <v>38</v>
      </c>
      <c r="B28" t="s">
        <v>42</v>
      </c>
      <c r="C28" s="14">
        <v>10</v>
      </c>
      <c r="E28" s="34"/>
      <c r="F28" t="s">
        <v>38</v>
      </c>
      <c r="G28" t="s">
        <v>42</v>
      </c>
      <c r="H28" s="14">
        <v>10</v>
      </c>
      <c r="J28" s="82"/>
      <c r="K28" s="34"/>
      <c r="M28" s="34"/>
      <c r="N28" s="34"/>
      <c r="O28" s="82"/>
      <c r="P28" s="34"/>
      <c r="Q28" s="34"/>
    </row>
    <row r="29" spans="1:17" x14ac:dyDescent="0.3">
      <c r="A29" t="s">
        <v>39</v>
      </c>
      <c r="B29" t="s">
        <v>41</v>
      </c>
      <c r="C29" s="14">
        <v>0</v>
      </c>
      <c r="E29" s="34"/>
      <c r="F29" t="s">
        <v>39</v>
      </c>
      <c r="G29" t="s">
        <v>41</v>
      </c>
      <c r="H29" s="14">
        <v>0</v>
      </c>
      <c r="J29" s="82"/>
      <c r="K29" s="34"/>
      <c r="M29" s="34"/>
      <c r="N29" s="34"/>
      <c r="O29" s="82"/>
      <c r="P29" s="34"/>
      <c r="Q29" s="34"/>
    </row>
    <row r="30" spans="1:17" x14ac:dyDescent="0.3">
      <c r="C30" s="14"/>
      <c r="D30" s="14"/>
      <c r="E30" s="34"/>
      <c r="H30" s="14"/>
      <c r="I30" s="14"/>
      <c r="J30" s="82"/>
      <c r="K30" s="34"/>
      <c r="M30" s="34"/>
      <c r="N30" s="34"/>
      <c r="O30" s="82"/>
      <c r="P30" s="34"/>
      <c r="Q30" s="34"/>
    </row>
    <row r="31" spans="1:17" x14ac:dyDescent="0.3">
      <c r="A31" s="8" t="s">
        <v>40</v>
      </c>
      <c r="B31" s="8" t="s">
        <v>43</v>
      </c>
      <c r="C31" s="43">
        <v>0.47499999999999998</v>
      </c>
      <c r="E31" s="34"/>
      <c r="F31" s="8" t="s">
        <v>40</v>
      </c>
      <c r="G31" s="8" t="s">
        <v>43</v>
      </c>
      <c r="H31" s="43">
        <v>0.47499999999999998</v>
      </c>
      <c r="J31" s="82"/>
      <c r="K31" s="34"/>
      <c r="M31" s="34"/>
      <c r="N31" s="34"/>
      <c r="O31" s="82"/>
      <c r="P31" s="34"/>
      <c r="Q31" s="34"/>
    </row>
    <row r="32" spans="1:17" x14ac:dyDescent="0.3">
      <c r="A32" s="9" t="s">
        <v>45</v>
      </c>
      <c r="B32" s="9" t="s">
        <v>78</v>
      </c>
      <c r="C32" s="18">
        <f>VLOOKUP(B18,d,2,FALSE)</f>
        <v>0.57999999999999996</v>
      </c>
      <c r="E32" s="34"/>
      <c r="F32" s="9" t="s">
        <v>45</v>
      </c>
      <c r="G32" s="9" t="s">
        <v>78</v>
      </c>
      <c r="H32" s="18">
        <f>VLOOKUP(G18,d,2,FALSE)</f>
        <v>0.46</v>
      </c>
      <c r="J32" s="82"/>
      <c r="K32" s="34"/>
      <c r="M32" s="34"/>
      <c r="N32" s="34"/>
      <c r="O32" s="82"/>
      <c r="P32" s="82"/>
      <c r="Q32" s="34"/>
    </row>
    <row r="33" spans="1:17" x14ac:dyDescent="0.3">
      <c r="A33" s="47"/>
      <c r="B33" s="47"/>
      <c r="C33" s="48"/>
      <c r="E33" s="34"/>
      <c r="F33" s="47"/>
      <c r="G33" s="47"/>
      <c r="H33" s="48"/>
      <c r="J33" s="83"/>
      <c r="K33" s="34"/>
      <c r="M33" s="51"/>
      <c r="N33" s="51"/>
      <c r="O33" s="90"/>
      <c r="P33" s="34"/>
      <c r="Q33" s="34"/>
    </row>
    <row r="34" spans="1:17" x14ac:dyDescent="0.3">
      <c r="A34" s="47"/>
      <c r="B34" s="47"/>
      <c r="C34" s="48"/>
      <c r="E34" s="34"/>
      <c r="F34" s="47"/>
      <c r="G34" s="47"/>
      <c r="H34" s="48"/>
      <c r="J34" s="83"/>
      <c r="K34" s="34"/>
      <c r="M34" s="51"/>
      <c r="N34" s="51"/>
      <c r="O34" s="84"/>
      <c r="P34" s="34"/>
      <c r="Q34" s="34"/>
    </row>
    <row r="35" spans="1:17" x14ac:dyDescent="0.3">
      <c r="B35" s="21" t="s">
        <v>80</v>
      </c>
      <c r="C35" s="46">
        <f>((C25+C26)*C31+C27+C28+C29)</f>
        <v>85.612987981300407</v>
      </c>
      <c r="D35" t="s">
        <v>83</v>
      </c>
      <c r="E35" s="34"/>
      <c r="G35" s="21" t="s">
        <v>133</v>
      </c>
      <c r="H35" s="46">
        <f>((H25+H26)*H31+H27+H28+H29)</f>
        <v>131.52782911647711</v>
      </c>
      <c r="I35" t="s">
        <v>83</v>
      </c>
      <c r="J35" s="86"/>
      <c r="K35" s="34"/>
      <c r="M35" s="51"/>
      <c r="N35" s="51"/>
      <c r="O35" s="84"/>
      <c r="P35" s="34"/>
      <c r="Q35" s="34"/>
    </row>
    <row r="36" spans="1:17" x14ac:dyDescent="0.3">
      <c r="B36" s="44" t="s">
        <v>82</v>
      </c>
      <c r="C36" s="46">
        <f>((C25+C26)*C31+C27+C28+C29)*(44/12)</f>
        <v>313.91428926476817</v>
      </c>
      <c r="D36" t="s">
        <v>84</v>
      </c>
      <c r="E36" s="34"/>
      <c r="G36" s="44" t="s">
        <v>134</v>
      </c>
      <c r="H36" s="46">
        <f>((H25+H26)*H31+H27+H28+H29)*(44/12)</f>
        <v>482.26870676041602</v>
      </c>
      <c r="I36" t="s">
        <v>84</v>
      </c>
      <c r="J36" s="86"/>
      <c r="K36" s="87"/>
      <c r="L36" s="20"/>
      <c r="M36" s="51"/>
      <c r="N36" s="51"/>
      <c r="O36" s="84"/>
      <c r="P36" s="34"/>
      <c r="Q36" s="34"/>
    </row>
    <row r="37" spans="1:17" x14ac:dyDescent="0.3">
      <c r="B37" s="12" t="s">
        <v>81</v>
      </c>
      <c r="C37" s="45">
        <f>C36*B19</f>
        <v>1054.7520119296209</v>
      </c>
      <c r="D37" t="s">
        <v>85</v>
      </c>
      <c r="E37" s="34"/>
      <c r="G37" s="12" t="s">
        <v>135</v>
      </c>
      <c r="H37" s="45">
        <f>H36*G19</f>
        <v>2078.5781261373927</v>
      </c>
      <c r="I37" t="s">
        <v>85</v>
      </c>
      <c r="J37" s="34"/>
      <c r="K37" s="34"/>
      <c r="M37" s="34"/>
      <c r="N37" s="85"/>
      <c r="O37" s="91"/>
      <c r="P37" s="34"/>
      <c r="Q37" s="34"/>
    </row>
    <row r="38" spans="1:17" x14ac:dyDescent="0.3">
      <c r="M38" s="34"/>
      <c r="N38" s="85"/>
      <c r="O38" s="91"/>
      <c r="P38" s="34"/>
      <c r="Q38" s="34"/>
    </row>
    <row r="39" spans="1:17" x14ac:dyDescent="0.3">
      <c r="G39" s="27"/>
      <c r="H39" s="28"/>
      <c r="M39" s="34"/>
      <c r="N39" s="51"/>
      <c r="O39" s="91"/>
      <c r="P39" s="34"/>
      <c r="Q39" s="34"/>
    </row>
    <row r="40" spans="1:17" x14ac:dyDescent="0.3">
      <c r="A40" s="122" t="s">
        <v>74</v>
      </c>
      <c r="B40" s="122"/>
      <c r="C40" s="122"/>
      <c r="D40" s="122"/>
      <c r="E40" s="122"/>
      <c r="F40" s="29"/>
      <c r="G40" s="29"/>
      <c r="H40" s="29"/>
      <c r="I40" s="29"/>
      <c r="J40" s="29"/>
      <c r="K40" s="29"/>
      <c r="L40" s="29"/>
      <c r="M40" s="34"/>
      <c r="N40" s="81"/>
      <c r="O40" s="92"/>
      <c r="P40" s="34"/>
      <c r="Q40" s="34"/>
    </row>
    <row r="42" spans="1:17" x14ac:dyDescent="0.3">
      <c r="A42" t="s">
        <v>165</v>
      </c>
    </row>
    <row r="43" spans="1:17" x14ac:dyDescent="0.3">
      <c r="A43" t="s">
        <v>50</v>
      </c>
      <c r="B43" t="s">
        <v>49</v>
      </c>
      <c r="C43" t="s">
        <v>48</v>
      </c>
      <c r="D43" s="35"/>
      <c r="E43" s="35"/>
    </row>
    <row r="44" spans="1:17" x14ac:dyDescent="0.3">
      <c r="A44" t="s">
        <v>22</v>
      </c>
      <c r="B44" t="s">
        <v>44</v>
      </c>
      <c r="C44" s="14">
        <v>30</v>
      </c>
      <c r="D44" s="34"/>
    </row>
    <row r="45" spans="1:17" x14ac:dyDescent="0.3">
      <c r="A45" t="s">
        <v>33</v>
      </c>
      <c r="B45" t="s">
        <v>34</v>
      </c>
      <c r="C45" s="14">
        <f>C44*C52</f>
        <v>17.099999999999998</v>
      </c>
      <c r="D45" s="83"/>
    </row>
    <row r="46" spans="1:17" x14ac:dyDescent="0.3">
      <c r="A46" t="s">
        <v>35</v>
      </c>
      <c r="B46" t="s">
        <v>37</v>
      </c>
      <c r="C46" s="14">
        <f>EXP(-1.0587+0.8836*LN(C45)+0.284)</f>
        <v>5.6627505119764487</v>
      </c>
      <c r="D46" s="83"/>
    </row>
    <row r="47" spans="1:17" x14ac:dyDescent="0.3">
      <c r="A47" t="s">
        <v>36</v>
      </c>
      <c r="B47" t="s">
        <v>162</v>
      </c>
      <c r="C47" s="14">
        <v>70</v>
      </c>
      <c r="D47" s="83"/>
    </row>
    <row r="48" spans="1:17" x14ac:dyDescent="0.3">
      <c r="A48" t="s">
        <v>38</v>
      </c>
      <c r="B48" t="s">
        <v>42</v>
      </c>
      <c r="C48" s="14">
        <v>10</v>
      </c>
      <c r="D48" s="83"/>
    </row>
    <row r="49" spans="1:12" x14ac:dyDescent="0.3">
      <c r="A49" t="s">
        <v>39</v>
      </c>
      <c r="B49" t="s">
        <v>41</v>
      </c>
      <c r="C49" s="14">
        <v>0</v>
      </c>
      <c r="D49" s="121"/>
    </row>
    <row r="50" spans="1:12" x14ac:dyDescent="0.3">
      <c r="C50" s="14"/>
      <c r="D50" s="82"/>
    </row>
    <row r="51" spans="1:12" x14ac:dyDescent="0.3">
      <c r="A51" s="8" t="s">
        <v>40</v>
      </c>
      <c r="B51" s="8" t="s">
        <v>43</v>
      </c>
      <c r="C51" s="43">
        <v>0.47499999999999998</v>
      </c>
      <c r="D51" s="34"/>
    </row>
    <row r="52" spans="1:12" x14ac:dyDescent="0.3">
      <c r="A52" s="9" t="s">
        <v>45</v>
      </c>
      <c r="B52" s="9" t="s">
        <v>46</v>
      </c>
      <c r="C52" s="18">
        <f>0.57</f>
        <v>0.56999999999999995</v>
      </c>
      <c r="D52" s="34"/>
    </row>
    <row r="53" spans="1:12" x14ac:dyDescent="0.3">
      <c r="D53" s="34"/>
    </row>
    <row r="54" spans="1:12" x14ac:dyDescent="0.3">
      <c r="B54" s="21" t="s">
        <v>163</v>
      </c>
      <c r="C54" s="46">
        <f>((C45+C46)*C51+C47+C48+C49)*(44/12)</f>
        <v>332.97845714169233</v>
      </c>
      <c r="D54" s="34"/>
    </row>
    <row r="55" spans="1:12" x14ac:dyDescent="0.3">
      <c r="B55" s="27" t="s">
        <v>164</v>
      </c>
      <c r="C55" s="28">
        <f>C54*C7</f>
        <v>2553.9447662767802</v>
      </c>
    </row>
    <row r="56" spans="1:12" x14ac:dyDescent="0.3">
      <c r="B56" s="27"/>
      <c r="C56" s="27"/>
    </row>
    <row r="57" spans="1:12" x14ac:dyDescent="0.3">
      <c r="A57" s="122" t="s">
        <v>76</v>
      </c>
      <c r="B57" s="122"/>
      <c r="C57" s="122"/>
      <c r="D57" s="122"/>
      <c r="E57" s="122"/>
      <c r="F57" s="29"/>
      <c r="G57" s="29"/>
      <c r="H57" s="29"/>
      <c r="I57" s="29"/>
      <c r="J57" s="29"/>
      <c r="K57" s="29"/>
      <c r="L57" s="29"/>
    </row>
    <row r="59" spans="1:12" x14ac:dyDescent="0.3">
      <c r="A59" s="66" t="s">
        <v>122</v>
      </c>
      <c r="B59" s="66"/>
      <c r="C59" s="66"/>
      <c r="D59" s="66"/>
    </row>
    <row r="61" spans="1:12" x14ac:dyDescent="0.3">
      <c r="A61" s="8" t="s">
        <v>121</v>
      </c>
      <c r="B61" s="15">
        <f>C37+H37</f>
        <v>3133.3301380670136</v>
      </c>
      <c r="C61" s="15" t="s">
        <v>57</v>
      </c>
    </row>
    <row r="62" spans="1:12" x14ac:dyDescent="0.3">
      <c r="A62" s="9" t="s">
        <v>123</v>
      </c>
      <c r="B62" s="16">
        <f>C55</f>
        <v>2553.9447662767802</v>
      </c>
      <c r="C62" s="16" t="s">
        <v>57</v>
      </c>
      <c r="D62" s="31"/>
      <c r="E62" s="35"/>
    </row>
    <row r="63" spans="1:12" x14ac:dyDescent="0.3">
      <c r="A63" s="63" t="s">
        <v>122</v>
      </c>
      <c r="B63" s="64">
        <f>B61-B62</f>
        <v>579.38537179023342</v>
      </c>
      <c r="C63" s="64" t="s">
        <v>57</v>
      </c>
      <c r="E63" s="34"/>
    </row>
    <row r="64" spans="1:12" x14ac:dyDescent="0.3">
      <c r="E64" s="34"/>
    </row>
    <row r="65" spans="2:5" x14ac:dyDescent="0.3">
      <c r="B65" s="32" t="s">
        <v>159</v>
      </c>
      <c r="C65" s="1">
        <v>0.1</v>
      </c>
      <c r="E65" s="34"/>
    </row>
    <row r="66" spans="2:5" x14ac:dyDescent="0.3">
      <c r="B66" s="32" t="s">
        <v>160</v>
      </c>
      <c r="C66" s="120">
        <v>0.1</v>
      </c>
    </row>
    <row r="68" spans="2:5" x14ac:dyDescent="0.3">
      <c r="B68" s="27" t="s">
        <v>161</v>
      </c>
      <c r="C68" s="28">
        <f>B63*0.9*0.9</f>
        <v>469.30215115008906</v>
      </c>
      <c r="D68" s="27" t="s">
        <v>85</v>
      </c>
    </row>
    <row r="73" spans="2:5" x14ac:dyDescent="0.3">
      <c r="B73" s="31"/>
      <c r="C73" s="31"/>
      <c r="D73" s="31"/>
      <c r="E73" s="31"/>
    </row>
  </sheetData>
  <mergeCells count="6">
    <mergeCell ref="A2:D2"/>
    <mergeCell ref="A21:D21"/>
    <mergeCell ref="F21:I21"/>
    <mergeCell ref="A57:E57"/>
    <mergeCell ref="A15:E15"/>
    <mergeCell ref="A40:E40"/>
  </mergeCells>
  <dataValidations count="1">
    <dataValidation type="list" allowBlank="1" showInputMessage="1" showErrorMessage="1" sqref="B18 N17 G18">
      <formula1>ESS</formula1>
    </dataValidation>
  </dataValidations>
  <pageMargins left="0.7" right="0.7" top="0.75" bottom="0.75" header="0.3" footer="0.3"/>
  <pageSetup paperSize="9" orientation="landscape" r:id="rId2"/>
  <tableParts count="3"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opLeftCell="A28" workbookViewId="0">
      <selection activeCell="E80" sqref="E80"/>
    </sheetView>
  </sheetViews>
  <sheetFormatPr baseColWidth="10" defaultRowHeight="14.4" x14ac:dyDescent="0.3"/>
  <cols>
    <col min="1" max="1" width="3.77734375" bestFit="1" customWidth="1"/>
    <col min="2" max="2" width="41.77734375" bestFit="1" customWidth="1"/>
    <col min="3" max="3" width="18" bestFit="1" customWidth="1"/>
    <col min="4" max="4" width="11.77734375" customWidth="1"/>
    <col min="5" max="5" width="17.5546875" bestFit="1" customWidth="1"/>
    <col min="6" max="8" width="13.21875" bestFit="1" customWidth="1"/>
  </cols>
  <sheetData>
    <row r="1" spans="1:10" x14ac:dyDescent="0.3">
      <c r="A1" s="132" t="s">
        <v>26</v>
      </c>
      <c r="B1" s="132"/>
      <c r="C1" s="132"/>
      <c r="D1" s="132"/>
      <c r="E1" s="132"/>
      <c r="F1" s="132"/>
      <c r="G1" s="132"/>
      <c r="H1" s="132"/>
      <c r="I1" s="132"/>
      <c r="J1" s="3"/>
    </row>
    <row r="3" spans="1:10" x14ac:dyDescent="0.3">
      <c r="A3" t="s">
        <v>52</v>
      </c>
      <c r="B3" s="6" t="s">
        <v>23</v>
      </c>
      <c r="C3" s="6">
        <v>6</v>
      </c>
      <c r="D3" s="12" t="s">
        <v>28</v>
      </c>
      <c r="G3" s="10"/>
      <c r="H3" s="10"/>
      <c r="I3" s="10"/>
    </row>
    <row r="4" spans="1:10" x14ac:dyDescent="0.3">
      <c r="A4" t="s">
        <v>53</v>
      </c>
      <c r="B4" s="6" t="s">
        <v>24</v>
      </c>
      <c r="C4" s="6">
        <v>7</v>
      </c>
      <c r="D4" s="11">
        <f>(C6*C4)/((1+C5)^(C6/C3))</f>
        <v>322.7887232806836</v>
      </c>
      <c r="G4" s="10"/>
      <c r="H4" s="10"/>
      <c r="I4" s="10"/>
    </row>
    <row r="5" spans="1:10" x14ac:dyDescent="0.3">
      <c r="A5" t="s">
        <v>54</v>
      </c>
      <c r="B5" s="6" t="s">
        <v>25</v>
      </c>
      <c r="C5" s="7">
        <v>4.4999999999999998E-2</v>
      </c>
      <c r="G5" s="10"/>
      <c r="H5" s="10"/>
      <c r="I5" s="10"/>
    </row>
    <row r="6" spans="1:10" x14ac:dyDescent="0.3">
      <c r="A6" t="s">
        <v>55</v>
      </c>
      <c r="B6" s="6" t="s">
        <v>27</v>
      </c>
      <c r="C6" s="6">
        <v>200</v>
      </c>
    </row>
    <row r="8" spans="1:10" x14ac:dyDescent="0.3">
      <c r="A8" s="132" t="s">
        <v>120</v>
      </c>
      <c r="B8" s="132"/>
      <c r="C8" s="132"/>
      <c r="D8" s="132"/>
      <c r="E8" s="132"/>
      <c r="F8" s="132"/>
      <c r="G8" s="132"/>
      <c r="H8" s="132"/>
      <c r="I8" s="132"/>
      <c r="J8" s="3"/>
    </row>
    <row r="10" spans="1:10" x14ac:dyDescent="0.3">
      <c r="B10" t="s">
        <v>120</v>
      </c>
      <c r="C10" s="22" t="s">
        <v>114</v>
      </c>
      <c r="D10" t="s">
        <v>115</v>
      </c>
      <c r="E10" t="s">
        <v>116</v>
      </c>
      <c r="F10" t="s">
        <v>117</v>
      </c>
      <c r="G10" s="26" t="s">
        <v>118</v>
      </c>
      <c r="H10" s="26" t="s">
        <v>119</v>
      </c>
      <c r="I10" s="26"/>
    </row>
    <row r="11" spans="1:10" x14ac:dyDescent="0.3">
      <c r="B11" t="str">
        <f>Liste!I2</f>
        <v>Chêne</v>
      </c>
      <c r="C11" s="56" t="e">
        <f>Liste!J2</f>
        <v>#REF!</v>
      </c>
      <c r="D11" s="57">
        <f>Liste!K2</f>
        <v>0</v>
      </c>
      <c r="E11" s="57">
        <f>Liste!L2</f>
        <v>0</v>
      </c>
      <c r="F11" s="57">
        <f>Liste!M2</f>
        <v>0</v>
      </c>
      <c r="G11" s="58">
        <f>Liste!N2</f>
        <v>0</v>
      </c>
      <c r="H11" s="58">
        <f>Liste!O2</f>
        <v>0</v>
      </c>
      <c r="I11" s="26"/>
    </row>
    <row r="12" spans="1:10" x14ac:dyDescent="0.3">
      <c r="B12" t="str">
        <f>Liste!I3</f>
        <v xml:space="preserve">Douglas </v>
      </c>
      <c r="C12" s="59" t="e">
        <f>Liste!J3</f>
        <v>#REF!</v>
      </c>
      <c r="D12" s="59" t="e">
        <f>Liste!K3</f>
        <v>#REF!</v>
      </c>
      <c r="E12" s="57" t="e">
        <f>Liste!L3</f>
        <v>#REF!</v>
      </c>
      <c r="F12" s="57">
        <f>Liste!M3</f>
        <v>0</v>
      </c>
      <c r="G12" s="58">
        <f>Liste!N3</f>
        <v>0</v>
      </c>
      <c r="H12" s="58">
        <f>Liste!O3</f>
        <v>0</v>
      </c>
      <c r="I12" s="26"/>
    </row>
    <row r="13" spans="1:10" x14ac:dyDescent="0.3">
      <c r="B13" t="str">
        <f>Liste!I4</f>
        <v>Pin Maritime</v>
      </c>
      <c r="C13" s="57" t="e">
        <f>Liste!J4</f>
        <v>#REF!</v>
      </c>
      <c r="D13" s="57" t="e">
        <f>Liste!K4</f>
        <v>#REF!</v>
      </c>
      <c r="E13" s="57" t="e">
        <f>Liste!L4</f>
        <v>#REF!</v>
      </c>
      <c r="F13" s="57">
        <f>Liste!M4</f>
        <v>0</v>
      </c>
      <c r="G13" s="57">
        <f>Liste!N4</f>
        <v>0</v>
      </c>
      <c r="H13" s="57">
        <f>Liste!O4</f>
        <v>0</v>
      </c>
    </row>
    <row r="14" spans="1:10" x14ac:dyDescent="0.3">
      <c r="B14" t="str">
        <f>Liste!I5</f>
        <v>Chataignier</v>
      </c>
      <c r="C14" s="57">
        <f>Liste!J5</f>
        <v>0</v>
      </c>
      <c r="D14" s="57">
        <f>Liste!K5</f>
        <v>0</v>
      </c>
      <c r="E14" s="57">
        <f>Liste!L5</f>
        <v>0</v>
      </c>
      <c r="F14" s="57">
        <f>Liste!M5</f>
        <v>0</v>
      </c>
      <c r="G14" s="57">
        <f>Liste!N5</f>
        <v>0</v>
      </c>
      <c r="H14" s="57">
        <f>Liste!O5</f>
        <v>0</v>
      </c>
    </row>
    <row r="15" spans="1:10" x14ac:dyDescent="0.3">
      <c r="B15" t="str">
        <f>Liste!I6</f>
        <v>Pin Laricio</v>
      </c>
      <c r="C15" s="57" t="e">
        <f>Liste!J6</f>
        <v>#REF!</v>
      </c>
      <c r="D15" s="57" t="e">
        <f>Liste!K6</f>
        <v>#REF!</v>
      </c>
      <c r="E15" s="57" t="e">
        <f>Liste!L6</f>
        <v>#REF!</v>
      </c>
      <c r="F15" s="57">
        <f>Liste!M6</f>
        <v>0</v>
      </c>
      <c r="G15" s="57">
        <f>Liste!N6</f>
        <v>0</v>
      </c>
      <c r="H15" s="57">
        <f>Liste!O6</f>
        <v>0</v>
      </c>
    </row>
    <row r="16" spans="1:10" x14ac:dyDescent="0.3">
      <c r="B16" t="str">
        <f>Liste!I7</f>
        <v>Pin Sylvestre</v>
      </c>
      <c r="C16" s="57" t="e">
        <f>Liste!J7</f>
        <v>#REF!</v>
      </c>
      <c r="D16" s="57" t="e">
        <f>Liste!K7</f>
        <v>#REF!</v>
      </c>
      <c r="E16" s="57" t="e">
        <f>Liste!L7</f>
        <v>#REF!</v>
      </c>
      <c r="F16" s="57" t="e">
        <f>Liste!M7</f>
        <v>#REF!</v>
      </c>
      <c r="G16" s="57">
        <f>Liste!N7</f>
        <v>0</v>
      </c>
      <c r="H16" s="57">
        <f>Liste!O7</f>
        <v>0</v>
      </c>
    </row>
    <row r="17" spans="1:14" x14ac:dyDescent="0.3">
      <c r="B17" t="str">
        <f>Liste!I8</f>
        <v>Cèdre</v>
      </c>
      <c r="C17" s="57" t="e">
        <f>Liste!J8</f>
        <v>#REF!</v>
      </c>
      <c r="D17" s="57" t="e">
        <f>Liste!K8</f>
        <v>#REF!</v>
      </c>
      <c r="E17" s="57">
        <f>Liste!L8</f>
        <v>0</v>
      </c>
      <c r="F17" s="57">
        <f>Liste!M8</f>
        <v>0</v>
      </c>
      <c r="G17" s="57">
        <f>Liste!N8</f>
        <v>0</v>
      </c>
      <c r="H17" s="57">
        <f>Liste!O8</f>
        <v>0</v>
      </c>
      <c r="K17" s="61"/>
      <c r="L17" s="61"/>
      <c r="M17" s="61"/>
    </row>
    <row r="18" spans="1:14" x14ac:dyDescent="0.3">
      <c r="B18" t="str">
        <f>Liste!I9</f>
        <v>Epicéa sitka</v>
      </c>
      <c r="C18" s="57" t="e">
        <f>Liste!J9</f>
        <v>#REF!</v>
      </c>
      <c r="D18" s="57" t="e">
        <f>Liste!K9</f>
        <v>#REF!</v>
      </c>
      <c r="E18" s="57" t="e">
        <f>Liste!L9</f>
        <v>#REF!</v>
      </c>
      <c r="F18" s="57" t="e">
        <f>Liste!M9</f>
        <v>#REF!</v>
      </c>
      <c r="G18" s="57" t="e">
        <f>Liste!N9</f>
        <v>#REF!</v>
      </c>
      <c r="H18" s="57" t="e">
        <f>Liste!O9</f>
        <v>#REF!</v>
      </c>
      <c r="K18" s="61"/>
      <c r="L18" s="61"/>
      <c r="M18" s="61"/>
    </row>
    <row r="19" spans="1:14" x14ac:dyDescent="0.3">
      <c r="A19" s="2"/>
      <c r="B19" s="76" t="str">
        <f>Liste!I10</f>
        <v>Mélèze</v>
      </c>
      <c r="C19" s="60">
        <f>Liste!J10</f>
        <v>0</v>
      </c>
      <c r="D19" s="60">
        <f>Liste!K10</f>
        <v>0</v>
      </c>
      <c r="E19" s="57">
        <f>Liste!L10</f>
        <v>0</v>
      </c>
      <c r="F19" s="57">
        <f>Liste!M10</f>
        <v>0</v>
      </c>
      <c r="G19" s="57">
        <f>Liste!N10</f>
        <v>0</v>
      </c>
      <c r="H19" s="57">
        <f>Liste!O10</f>
        <v>0</v>
      </c>
      <c r="K19" s="61"/>
      <c r="L19" s="61"/>
      <c r="M19" s="61"/>
    </row>
    <row r="20" spans="1:14" x14ac:dyDescent="0.3">
      <c r="B20" t="str">
        <f>Liste!I11</f>
        <v>Thuya</v>
      </c>
      <c r="C20" s="57" t="e">
        <f>Liste!J11</f>
        <v>#REF!</v>
      </c>
      <c r="D20" s="57" t="e">
        <f>Liste!K11</f>
        <v>#REF!</v>
      </c>
      <c r="E20" s="57" t="e">
        <f>Liste!L11</f>
        <v>#REF!</v>
      </c>
      <c r="F20" s="57">
        <f>Liste!M11</f>
        <v>0</v>
      </c>
      <c r="G20" s="57">
        <f>Liste!N11</f>
        <v>0</v>
      </c>
      <c r="H20" s="57">
        <f>Liste!O11</f>
        <v>0</v>
      </c>
      <c r="K20" s="61"/>
      <c r="L20" s="61"/>
      <c r="M20" s="61"/>
    </row>
    <row r="22" spans="1:14" ht="15" thickBot="1" x14ac:dyDescent="0.35">
      <c r="B22" s="67" t="s">
        <v>146</v>
      </c>
      <c r="C22" s="68" t="str">
        <f>Tableau14[[#Headers],[1]]</f>
        <v>1</v>
      </c>
      <c r="D22" s="67" t="str">
        <f>Tableau14[[#Headers],[2]]</f>
        <v>2</v>
      </c>
      <c r="E22" s="67" t="str">
        <f>Tableau14[[#Headers],[3]]</f>
        <v>3</v>
      </c>
      <c r="F22" s="67" t="str">
        <f>Tableau14[[#Headers],[4]]</f>
        <v>4</v>
      </c>
      <c r="G22" s="67" t="str">
        <f>Tableau14[[#Headers],[5]]</f>
        <v>5</v>
      </c>
      <c r="H22" s="67" t="str">
        <f>Tableau14[[#Headers],[6]]</f>
        <v>6</v>
      </c>
    </row>
    <row r="23" spans="1:14" x14ac:dyDescent="0.3">
      <c r="B23" s="8" t="str">
        <f>B11</f>
        <v>Chêne</v>
      </c>
      <c r="C23" s="69" t="e">
        <f>C11+(2250/(1+0.045))</f>
        <v>#REF!</v>
      </c>
      <c r="D23" s="70"/>
      <c r="E23" s="70"/>
      <c r="F23" s="70"/>
      <c r="G23" s="70"/>
      <c r="H23" s="70"/>
    </row>
    <row r="24" spans="1:14" x14ac:dyDescent="0.3">
      <c r="B24" s="9" t="str">
        <f t="shared" ref="B24:B32" si="0">B12</f>
        <v xml:space="preserve">Douglas </v>
      </c>
      <c r="C24" s="71" t="e">
        <f t="shared" ref="C24:E24" si="1">C12+(2250/(1+0.045))</f>
        <v>#REF!</v>
      </c>
      <c r="D24" s="71" t="e">
        <f t="shared" si="1"/>
        <v>#REF!</v>
      </c>
      <c r="E24" s="72" t="e">
        <f t="shared" si="1"/>
        <v>#REF!</v>
      </c>
      <c r="F24" s="72"/>
      <c r="G24" s="72"/>
      <c r="H24" s="72"/>
      <c r="J24" s="26"/>
      <c r="K24" s="26"/>
      <c r="L24" s="26"/>
      <c r="M24" s="26"/>
    </row>
    <row r="25" spans="1:14" x14ac:dyDescent="0.3">
      <c r="B25" s="8" t="str">
        <f t="shared" si="0"/>
        <v>Pin Maritime</v>
      </c>
      <c r="C25" s="70" t="e">
        <f t="shared" ref="C25:E25" si="2">C13+(2250/(1+0.045))</f>
        <v>#REF!</v>
      </c>
      <c r="D25" s="70" t="e">
        <f t="shared" si="2"/>
        <v>#REF!</v>
      </c>
      <c r="E25" s="70" t="e">
        <f t="shared" si="2"/>
        <v>#REF!</v>
      </c>
      <c r="F25" s="70"/>
      <c r="G25" s="70"/>
      <c r="H25" s="70"/>
      <c r="J25" s="105"/>
      <c r="K25" s="105"/>
      <c r="L25" s="104"/>
      <c r="M25" s="26"/>
      <c r="N25" s="57"/>
    </row>
    <row r="26" spans="1:14" x14ac:dyDescent="0.3">
      <c r="B26" s="9" t="str">
        <f t="shared" si="0"/>
        <v>Chataignier</v>
      </c>
      <c r="C26" s="72"/>
      <c r="D26" s="72"/>
      <c r="E26" s="72"/>
      <c r="F26" s="72"/>
      <c r="G26" s="72"/>
      <c r="H26" s="72"/>
      <c r="J26" s="105"/>
      <c r="K26" s="105"/>
      <c r="L26" s="104"/>
      <c r="M26" s="26"/>
      <c r="N26" s="57"/>
    </row>
    <row r="27" spans="1:14" x14ac:dyDescent="0.3">
      <c r="B27" s="8" t="str">
        <f t="shared" si="0"/>
        <v>Pin Laricio</v>
      </c>
      <c r="C27" s="70" t="e">
        <f t="shared" ref="C27:E27" si="3">C15+(2250/(1+0.045))</f>
        <v>#REF!</v>
      </c>
      <c r="D27" s="70" t="e">
        <f t="shared" si="3"/>
        <v>#REF!</v>
      </c>
      <c r="E27" s="70" t="e">
        <f t="shared" si="3"/>
        <v>#REF!</v>
      </c>
      <c r="F27" s="70"/>
      <c r="G27" s="70"/>
      <c r="H27" s="70"/>
      <c r="J27" s="105"/>
      <c r="K27" s="105"/>
      <c r="L27" s="104"/>
      <c r="M27" s="26"/>
      <c r="N27" s="57"/>
    </row>
    <row r="28" spans="1:14" x14ac:dyDescent="0.3">
      <c r="B28" s="9" t="str">
        <f t="shared" si="0"/>
        <v>Pin Sylvestre</v>
      </c>
      <c r="C28" s="72" t="e">
        <f t="shared" ref="C28:F28" si="4">C16+(2250/(1+0.045))</f>
        <v>#REF!</v>
      </c>
      <c r="D28" s="72" t="e">
        <f t="shared" si="4"/>
        <v>#REF!</v>
      </c>
      <c r="E28" s="72" t="e">
        <f t="shared" si="4"/>
        <v>#REF!</v>
      </c>
      <c r="F28" s="72" t="e">
        <f t="shared" si="4"/>
        <v>#REF!</v>
      </c>
      <c r="G28" s="72"/>
      <c r="H28" s="72"/>
      <c r="J28" s="105"/>
      <c r="K28" s="105"/>
      <c r="L28" s="104"/>
      <c r="M28" s="26"/>
      <c r="N28" s="57"/>
    </row>
    <row r="29" spans="1:14" x14ac:dyDescent="0.3">
      <c r="B29" s="8" t="str">
        <f t="shared" si="0"/>
        <v>Cèdre</v>
      </c>
      <c r="C29" s="70" t="e">
        <f t="shared" ref="C29:D29" si="5">C17+(2250/(1+0.045))</f>
        <v>#REF!</v>
      </c>
      <c r="D29" s="70" t="e">
        <f t="shared" si="5"/>
        <v>#REF!</v>
      </c>
      <c r="E29" s="70"/>
      <c r="F29" s="70"/>
      <c r="G29" s="70"/>
      <c r="H29" s="70"/>
      <c r="J29" s="26"/>
      <c r="K29" s="26"/>
      <c r="L29" s="26"/>
      <c r="M29" s="26"/>
    </row>
    <row r="30" spans="1:14" x14ac:dyDescent="0.3">
      <c r="B30" s="9" t="str">
        <f t="shared" si="0"/>
        <v>Epicéa sitka</v>
      </c>
      <c r="C30" s="72" t="e">
        <f t="shared" ref="C30:H30" si="6">C18+(2250/(1+0.045))</f>
        <v>#REF!</v>
      </c>
      <c r="D30" s="72" t="e">
        <f t="shared" si="6"/>
        <v>#REF!</v>
      </c>
      <c r="E30" s="72" t="e">
        <f t="shared" si="6"/>
        <v>#REF!</v>
      </c>
      <c r="F30" s="72" t="e">
        <f t="shared" si="6"/>
        <v>#REF!</v>
      </c>
      <c r="G30" s="72" t="e">
        <f t="shared" si="6"/>
        <v>#REF!</v>
      </c>
      <c r="H30" s="72" t="e">
        <f t="shared" si="6"/>
        <v>#REF!</v>
      </c>
    </row>
    <row r="31" spans="1:14" x14ac:dyDescent="0.3">
      <c r="B31" s="80" t="str">
        <f t="shared" si="0"/>
        <v>Mélèze</v>
      </c>
      <c r="C31" s="73"/>
      <c r="D31" s="73"/>
      <c r="E31" s="70"/>
      <c r="F31" s="70"/>
      <c r="G31" s="70"/>
      <c r="H31" s="70"/>
    </row>
    <row r="32" spans="1:14" x14ac:dyDescent="0.3">
      <c r="B32" s="9" t="str">
        <f t="shared" si="0"/>
        <v>Thuya</v>
      </c>
      <c r="C32" s="72" t="e">
        <f t="shared" ref="C32:E32" si="7">C20+(2250/(1+0.045))</f>
        <v>#REF!</v>
      </c>
      <c r="D32" s="72" t="e">
        <f t="shared" si="7"/>
        <v>#REF!</v>
      </c>
      <c r="E32" s="72" t="e">
        <f t="shared" si="7"/>
        <v>#REF!</v>
      </c>
      <c r="F32" s="72"/>
      <c r="G32" s="72"/>
      <c r="H32" s="72"/>
    </row>
    <row r="34" spans="1:11" x14ac:dyDescent="0.3">
      <c r="A34" s="132" t="s">
        <v>150</v>
      </c>
      <c r="B34" s="132"/>
      <c r="C34" s="132"/>
      <c r="D34" s="132"/>
      <c r="E34" s="132"/>
      <c r="F34" s="132"/>
      <c r="G34" s="132"/>
      <c r="H34" s="132"/>
      <c r="I34" s="132"/>
    </row>
    <row r="36" spans="1:11" ht="15" thickBot="1" x14ac:dyDescent="0.35"/>
    <row r="37" spans="1:11" ht="15" customHeight="1" thickBot="1" x14ac:dyDescent="0.35">
      <c r="A37" s="124" t="s">
        <v>29</v>
      </c>
      <c r="B37" s="125"/>
      <c r="C37" s="125"/>
      <c r="D37" s="125"/>
      <c r="E37" s="126"/>
      <c r="G37" s="127" t="s">
        <v>152</v>
      </c>
      <c r="H37" s="128"/>
      <c r="I37" s="128"/>
      <c r="J37" s="128"/>
      <c r="K37" s="129"/>
    </row>
    <row r="38" spans="1:11" x14ac:dyDescent="0.3">
      <c r="A38" s="106"/>
      <c r="B38" s="24" t="s">
        <v>1</v>
      </c>
      <c r="C38" s="24" t="s">
        <v>101</v>
      </c>
      <c r="D38" s="24" t="s">
        <v>102</v>
      </c>
      <c r="E38" s="107" t="s">
        <v>3</v>
      </c>
      <c r="G38" s="111" t="s">
        <v>111</v>
      </c>
      <c r="H38" s="112" t="s">
        <v>1</v>
      </c>
      <c r="I38" s="112" t="s">
        <v>101</v>
      </c>
      <c r="J38" s="112" t="s">
        <v>102</v>
      </c>
      <c r="K38" s="113" t="s">
        <v>3</v>
      </c>
    </row>
    <row r="39" spans="1:11" x14ac:dyDescent="0.3">
      <c r="A39" s="106">
        <v>1</v>
      </c>
      <c r="B39" s="24" t="s">
        <v>2</v>
      </c>
      <c r="C39" s="24">
        <v>0</v>
      </c>
      <c r="D39" s="24">
        <f>1450+593+2169</f>
        <v>4212</v>
      </c>
      <c r="E39" s="107">
        <f>(C39-D39)/(1+0.045)^A39</f>
        <v>-4030.6220095693784</v>
      </c>
      <c r="G39" s="114">
        <v>1</v>
      </c>
      <c r="H39" s="24" t="s">
        <v>2</v>
      </c>
      <c r="I39" s="24">
        <v>0</v>
      </c>
      <c r="J39" s="24">
        <f>1450+574+1131</f>
        <v>3155</v>
      </c>
      <c r="K39" s="115">
        <f>(I39-J39)/(1+0.045)^A39</f>
        <v>-3019.1387559808613</v>
      </c>
    </row>
    <row r="40" spans="1:11" x14ac:dyDescent="0.3">
      <c r="A40" s="106">
        <v>1</v>
      </c>
      <c r="B40" s="24" t="s">
        <v>151</v>
      </c>
      <c r="C40" s="24">
        <v>0</v>
      </c>
      <c r="D40" s="25">
        <f>10810/3.36</f>
        <v>3217.261904761905</v>
      </c>
      <c r="E40" s="107">
        <f t="shared" ref="E40:E66" si="8">(C40-D40)/(1+0.045)^A40</f>
        <v>-3078.7195260879475</v>
      </c>
      <c r="G40" s="114">
        <v>1</v>
      </c>
      <c r="H40" s="24" t="s">
        <v>153</v>
      </c>
      <c r="I40" s="24">
        <v>0</v>
      </c>
      <c r="J40" s="25">
        <f>7788/4.31</f>
        <v>1806.9605568445477</v>
      </c>
      <c r="K40" s="115">
        <f t="shared" ref="K40:K53" si="9">(I40-J40)/(1+0.045)^A40</f>
        <v>-1729.1488582244476</v>
      </c>
    </row>
    <row r="41" spans="1:11" x14ac:dyDescent="0.3">
      <c r="A41" s="106">
        <v>2</v>
      </c>
      <c r="B41" s="24" t="s">
        <v>0</v>
      </c>
      <c r="C41" s="24">
        <v>0</v>
      </c>
      <c r="D41" s="24">
        <v>500</v>
      </c>
      <c r="E41" s="107">
        <f t="shared" si="8"/>
        <v>-457.86497561869015</v>
      </c>
      <c r="G41" s="114">
        <v>2</v>
      </c>
      <c r="H41" s="24" t="s">
        <v>0</v>
      </c>
      <c r="I41" s="24">
        <v>0</v>
      </c>
      <c r="J41" s="24">
        <v>500</v>
      </c>
      <c r="K41" s="115">
        <f t="shared" si="9"/>
        <v>-457.86497561869015</v>
      </c>
    </row>
    <row r="42" spans="1:11" x14ac:dyDescent="0.3">
      <c r="A42" s="106">
        <v>3</v>
      </c>
      <c r="B42" s="24" t="s">
        <v>0</v>
      </c>
      <c r="C42" s="24">
        <v>0</v>
      </c>
      <c r="D42" s="24">
        <v>500</v>
      </c>
      <c r="E42" s="107">
        <f t="shared" si="8"/>
        <v>-438.14830202745469</v>
      </c>
      <c r="G42" s="114">
        <v>3</v>
      </c>
      <c r="H42" s="24" t="s">
        <v>0</v>
      </c>
      <c r="I42" s="24">
        <v>0</v>
      </c>
      <c r="J42" s="24">
        <v>500</v>
      </c>
      <c r="K42" s="115">
        <f t="shared" si="9"/>
        <v>-438.14830202745469</v>
      </c>
    </row>
    <row r="43" spans="1:11" x14ac:dyDescent="0.3">
      <c r="A43" s="106">
        <v>4</v>
      </c>
      <c r="B43" s="24" t="s">
        <v>0</v>
      </c>
      <c r="C43" s="24">
        <v>0</v>
      </c>
      <c r="D43" s="24">
        <v>500</v>
      </c>
      <c r="E43" s="107">
        <f t="shared" si="8"/>
        <v>-419.28067179660746</v>
      </c>
      <c r="G43" s="114">
        <v>4</v>
      </c>
      <c r="H43" s="24" t="s">
        <v>0</v>
      </c>
      <c r="I43" s="24">
        <v>0</v>
      </c>
      <c r="J43" s="24">
        <v>500</v>
      </c>
      <c r="K43" s="115">
        <f t="shared" si="9"/>
        <v>-419.28067179660746</v>
      </c>
    </row>
    <row r="44" spans="1:11" x14ac:dyDescent="0.3">
      <c r="A44" s="106">
        <v>30</v>
      </c>
      <c r="B44" s="24" t="s">
        <v>17</v>
      </c>
      <c r="C44" s="24">
        <v>8</v>
      </c>
      <c r="D44" s="24">
        <v>60</v>
      </c>
      <c r="E44" s="107">
        <f t="shared" si="8"/>
        <v>-13.884000806364156</v>
      </c>
      <c r="G44" s="114">
        <v>15</v>
      </c>
      <c r="H44" s="24" t="s">
        <v>63</v>
      </c>
      <c r="I44" s="24">
        <v>0</v>
      </c>
      <c r="J44" s="24">
        <v>60</v>
      </c>
      <c r="K44" s="115">
        <f t="shared" si="9"/>
        <v>-16.020000930420181</v>
      </c>
    </row>
    <row r="45" spans="1:11" x14ac:dyDescent="0.3">
      <c r="A45" s="106">
        <v>36</v>
      </c>
      <c r="B45" s="24" t="s">
        <v>18</v>
      </c>
      <c r="C45" s="24">
        <v>32</v>
      </c>
      <c r="D45" s="24">
        <v>60</v>
      </c>
      <c r="E45" s="107">
        <f t="shared" si="8"/>
        <v>-5.7407888727848979</v>
      </c>
      <c r="G45" s="114">
        <v>20</v>
      </c>
      <c r="H45" s="24" t="s">
        <v>63</v>
      </c>
      <c r="I45" s="24">
        <v>120</v>
      </c>
      <c r="J45" s="24">
        <v>60</v>
      </c>
      <c r="K45" s="115">
        <f t="shared" si="9"/>
        <v>12.301690441681925</v>
      </c>
    </row>
    <row r="46" spans="1:11" x14ac:dyDescent="0.3">
      <c r="A46" s="106">
        <v>42</v>
      </c>
      <c r="B46" s="24" t="s">
        <v>19</v>
      </c>
      <c r="C46" s="24">
        <v>64</v>
      </c>
      <c r="D46" s="24">
        <v>60</v>
      </c>
      <c r="E46" s="107">
        <f t="shared" si="8"/>
        <v>0.62976104425232071</v>
      </c>
      <c r="G46" s="114">
        <v>25</v>
      </c>
      <c r="H46" s="24" t="s">
        <v>63</v>
      </c>
      <c r="I46" s="24">
        <v>296</v>
      </c>
      <c r="J46" s="24">
        <v>60</v>
      </c>
      <c r="K46" s="115">
        <f t="shared" si="9"/>
        <v>37.155901610886922</v>
      </c>
    </row>
    <row r="47" spans="1:11" x14ac:dyDescent="0.3">
      <c r="A47" s="106">
        <v>48</v>
      </c>
      <c r="B47" s="24" t="s">
        <v>87</v>
      </c>
      <c r="C47" s="24">
        <v>120</v>
      </c>
      <c r="D47" s="24">
        <v>60</v>
      </c>
      <c r="E47" s="107">
        <f t="shared" si="8"/>
        <v>7.253862330224476</v>
      </c>
      <c r="G47" s="114">
        <v>30</v>
      </c>
      <c r="H47" s="24" t="s">
        <v>63</v>
      </c>
      <c r="I47" s="24">
        <v>979.2</v>
      </c>
      <c r="J47" s="24">
        <v>60</v>
      </c>
      <c r="K47" s="115">
        <f t="shared" si="9"/>
        <v>111.12917089903898</v>
      </c>
    </row>
    <row r="48" spans="1:11" x14ac:dyDescent="0.3">
      <c r="A48" s="106">
        <v>54</v>
      </c>
      <c r="B48" s="24" t="s">
        <v>88</v>
      </c>
      <c r="C48" s="24">
        <v>184</v>
      </c>
      <c r="D48" s="24">
        <v>60</v>
      </c>
      <c r="E48" s="107">
        <f t="shared" si="8"/>
        <v>11.511767270167542</v>
      </c>
      <c r="G48" s="114">
        <v>35</v>
      </c>
      <c r="H48" s="24" t="s">
        <v>63</v>
      </c>
      <c r="I48" s="24">
        <v>2060</v>
      </c>
      <c r="J48" s="24">
        <v>60</v>
      </c>
      <c r="K48" s="115">
        <f t="shared" si="9"/>
        <v>185.6736656478636</v>
      </c>
    </row>
    <row r="49" spans="1:11" x14ac:dyDescent="0.3">
      <c r="A49" s="106">
        <v>60</v>
      </c>
      <c r="B49" s="24" t="s">
        <v>89</v>
      </c>
      <c r="C49" s="24">
        <v>160</v>
      </c>
      <c r="D49" s="24">
        <v>60</v>
      </c>
      <c r="E49" s="107">
        <f t="shared" si="8"/>
        <v>7.1289008280739852</v>
      </c>
      <c r="G49" s="114">
        <v>40</v>
      </c>
      <c r="H49" s="24" t="s">
        <v>63</v>
      </c>
      <c r="I49" s="24">
        <v>2980</v>
      </c>
      <c r="J49" s="24">
        <v>60</v>
      </c>
      <c r="K49" s="115">
        <f t="shared" si="9"/>
        <v>208.16390417976038</v>
      </c>
    </row>
    <row r="50" spans="1:11" x14ac:dyDescent="0.3">
      <c r="A50" s="106">
        <v>66</v>
      </c>
      <c r="B50" s="24" t="s">
        <v>90</v>
      </c>
      <c r="C50" s="24">
        <v>144</v>
      </c>
      <c r="D50" s="24">
        <v>60</v>
      </c>
      <c r="E50" s="107">
        <f t="shared" si="8"/>
        <v>4.5983721541679952</v>
      </c>
      <c r="G50" s="114">
        <v>45</v>
      </c>
      <c r="H50" s="24" t="s">
        <v>63</v>
      </c>
      <c r="I50" s="24">
        <v>5348</v>
      </c>
      <c r="J50" s="24">
        <v>60</v>
      </c>
      <c r="K50" s="115">
        <f t="shared" si="9"/>
        <v>289.4784756100043</v>
      </c>
    </row>
    <row r="51" spans="1:11" x14ac:dyDescent="0.3">
      <c r="A51" s="106">
        <v>72</v>
      </c>
      <c r="B51" s="24" t="s">
        <v>91</v>
      </c>
      <c r="C51" s="24">
        <v>320</v>
      </c>
      <c r="D51" s="24">
        <v>60</v>
      </c>
      <c r="E51" s="107">
        <f t="shared" si="8"/>
        <v>10.929503557769943</v>
      </c>
      <c r="G51" s="114">
        <v>50</v>
      </c>
      <c r="H51" s="24" t="s">
        <v>63</v>
      </c>
      <c r="I51" s="24">
        <v>6160</v>
      </c>
      <c r="J51" s="24">
        <v>60</v>
      </c>
      <c r="K51" s="115">
        <f t="shared" si="9"/>
        <v>256.422968086141</v>
      </c>
    </row>
    <row r="52" spans="1:11" x14ac:dyDescent="0.3">
      <c r="A52" s="106">
        <v>78</v>
      </c>
      <c r="B52" s="24" t="s">
        <v>92</v>
      </c>
      <c r="C52" s="24">
        <v>352</v>
      </c>
      <c r="D52" s="24">
        <v>60</v>
      </c>
      <c r="E52" s="107">
        <f t="shared" si="8"/>
        <v>9.4256692593239215</v>
      </c>
      <c r="G52" s="114">
        <v>55</v>
      </c>
      <c r="H52" s="24" t="s">
        <v>63</v>
      </c>
      <c r="I52" s="24">
        <v>6580</v>
      </c>
      <c r="J52" s="24">
        <v>60</v>
      </c>
      <c r="K52" s="115">
        <f t="shared" si="9"/>
        <v>210.46357387257524</v>
      </c>
    </row>
    <row r="53" spans="1:11" x14ac:dyDescent="0.3">
      <c r="A53" s="106">
        <v>84</v>
      </c>
      <c r="B53" s="24" t="s">
        <v>93</v>
      </c>
      <c r="C53" s="24">
        <v>304</v>
      </c>
      <c r="D53" s="24">
        <v>60</v>
      </c>
      <c r="E53" s="107">
        <f t="shared" si="8"/>
        <v>6.0481343360810449</v>
      </c>
      <c r="G53" s="114">
        <v>60</v>
      </c>
      <c r="H53" s="24" t="s">
        <v>63</v>
      </c>
      <c r="I53" s="24">
        <v>15428</v>
      </c>
      <c r="J53" s="24">
        <v>60</v>
      </c>
      <c r="K53" s="115">
        <f t="shared" si="9"/>
        <v>380.93331342989137</v>
      </c>
    </row>
    <row r="54" spans="1:11" x14ac:dyDescent="0.3">
      <c r="A54" s="106">
        <v>90</v>
      </c>
      <c r="B54" s="24" t="s">
        <v>94</v>
      </c>
      <c r="C54" s="24">
        <v>336</v>
      </c>
      <c r="D54" s="24">
        <v>60</v>
      </c>
      <c r="E54" s="107">
        <f t="shared" si="8"/>
        <v>5.2534299033364489</v>
      </c>
      <c r="G54" s="130" t="s">
        <v>110</v>
      </c>
      <c r="H54" s="131"/>
      <c r="I54" s="131"/>
      <c r="J54" s="131"/>
      <c r="K54" s="116">
        <f>SUM(K39:K53)</f>
        <v>-4387.8789008006379</v>
      </c>
    </row>
    <row r="55" spans="1:11" x14ac:dyDescent="0.3">
      <c r="A55" s="106">
        <v>98</v>
      </c>
      <c r="B55" s="24" t="s">
        <v>95</v>
      </c>
      <c r="C55" s="24">
        <v>540</v>
      </c>
      <c r="D55" s="24">
        <v>60</v>
      </c>
      <c r="E55" s="107">
        <f t="shared" si="8"/>
        <v>6.4245804758254543</v>
      </c>
    </row>
    <row r="56" spans="1:11" x14ac:dyDescent="0.3">
      <c r="A56" s="106">
        <v>106</v>
      </c>
      <c r="B56" s="24" t="s">
        <v>96</v>
      </c>
      <c r="C56" s="24">
        <v>560</v>
      </c>
      <c r="D56" s="24">
        <v>60</v>
      </c>
      <c r="E56" s="107">
        <f t="shared" si="8"/>
        <v>4.7059056641822572</v>
      </c>
    </row>
    <row r="57" spans="1:11" x14ac:dyDescent="0.3">
      <c r="A57" s="106">
        <v>114</v>
      </c>
      <c r="B57" s="24" t="s">
        <v>97</v>
      </c>
      <c r="C57" s="24">
        <v>1280</v>
      </c>
      <c r="D57" s="24">
        <v>60</v>
      </c>
      <c r="E57" s="107">
        <f t="shared" si="8"/>
        <v>8.0742598076103818</v>
      </c>
    </row>
    <row r="58" spans="1:11" x14ac:dyDescent="0.3">
      <c r="A58" s="106">
        <v>122</v>
      </c>
      <c r="B58" s="24" t="s">
        <v>98</v>
      </c>
      <c r="C58" s="24">
        <v>1240</v>
      </c>
      <c r="D58" s="24">
        <v>60</v>
      </c>
      <c r="E58" s="107">
        <f t="shared" si="8"/>
        <v>5.4915453290434275</v>
      </c>
    </row>
    <row r="59" spans="1:11" x14ac:dyDescent="0.3">
      <c r="A59" s="106">
        <v>130</v>
      </c>
      <c r="B59" s="24" t="s">
        <v>99</v>
      </c>
      <c r="C59" s="24">
        <v>1200</v>
      </c>
      <c r="D59" s="24">
        <v>60</v>
      </c>
      <c r="E59" s="107">
        <f t="shared" si="8"/>
        <v>3.730672219815975</v>
      </c>
    </row>
    <row r="60" spans="1:11" x14ac:dyDescent="0.3">
      <c r="A60" s="106">
        <v>140</v>
      </c>
      <c r="B60" s="24" t="s">
        <v>100</v>
      </c>
      <c r="C60" s="24">
        <v>1560</v>
      </c>
      <c r="D60" s="24">
        <v>60</v>
      </c>
      <c r="E60" s="107">
        <f t="shared" si="8"/>
        <v>3.1608988354210226</v>
      </c>
    </row>
    <row r="61" spans="1:11" x14ac:dyDescent="0.3">
      <c r="A61" s="106">
        <v>150</v>
      </c>
      <c r="B61" s="24" t="s">
        <v>103</v>
      </c>
      <c r="C61" s="24">
        <v>1520</v>
      </c>
      <c r="D61" s="24">
        <v>60</v>
      </c>
      <c r="E61" s="107">
        <f t="shared" si="8"/>
        <v>1.9811131866181459</v>
      </c>
    </row>
    <row r="62" spans="1:11" x14ac:dyDescent="0.3">
      <c r="A62" s="106">
        <v>160</v>
      </c>
      <c r="B62" s="24" t="s">
        <v>104</v>
      </c>
      <c r="C62" s="24">
        <v>4800</v>
      </c>
      <c r="D62" s="24">
        <v>60</v>
      </c>
      <c r="E62" s="107">
        <f t="shared" si="8"/>
        <v>4.1416354580447603</v>
      </c>
    </row>
    <row r="63" spans="1:11" x14ac:dyDescent="0.3">
      <c r="A63" s="106">
        <v>170</v>
      </c>
      <c r="B63" s="24" t="s">
        <v>105</v>
      </c>
      <c r="C63" s="24">
        <v>4320</v>
      </c>
      <c r="D63" s="24">
        <v>60</v>
      </c>
      <c r="E63" s="107">
        <f t="shared" si="8"/>
        <v>2.3968465081286854</v>
      </c>
    </row>
    <row r="64" spans="1:11" x14ac:dyDescent="0.3">
      <c r="A64" s="106">
        <v>180</v>
      </c>
      <c r="B64" s="24" t="s">
        <v>106</v>
      </c>
      <c r="C64" s="24">
        <v>6400</v>
      </c>
      <c r="D64" s="24">
        <v>60</v>
      </c>
      <c r="E64" s="107">
        <f t="shared" si="8"/>
        <v>2.2969787498735732</v>
      </c>
    </row>
    <row r="65" spans="1:5" x14ac:dyDescent="0.3">
      <c r="A65" s="106">
        <v>190</v>
      </c>
      <c r="B65" s="24" t="s">
        <v>107</v>
      </c>
      <c r="C65" s="24">
        <v>4640</v>
      </c>
      <c r="D65" s="24">
        <v>60</v>
      </c>
      <c r="E65" s="107">
        <f t="shared" si="8"/>
        <v>1.0684895844666995</v>
      </c>
    </row>
    <row r="66" spans="1:5" x14ac:dyDescent="0.3">
      <c r="A66" s="106">
        <v>200</v>
      </c>
      <c r="B66" s="24" t="s">
        <v>109</v>
      </c>
      <c r="C66" s="24">
        <v>94240</v>
      </c>
      <c r="D66" s="24">
        <v>60</v>
      </c>
      <c r="E66" s="107">
        <f t="shared" si="8"/>
        <v>14.148180658372725</v>
      </c>
    </row>
    <row r="67" spans="1:5" ht="15" thickBot="1" x14ac:dyDescent="0.35">
      <c r="A67" s="108" t="s">
        <v>113</v>
      </c>
      <c r="B67" s="109"/>
      <c r="C67" s="109"/>
      <c r="D67" s="109"/>
      <c r="E67" s="110">
        <f>SUM(E39:E66)</f>
        <v>-8323.8597676184236</v>
      </c>
    </row>
    <row r="69" spans="1:5" x14ac:dyDescent="0.3">
      <c r="B69" s="23" t="s">
        <v>154</v>
      </c>
      <c r="C69" s="117">
        <f>E67*3.36+K54*4.31</f>
        <v>-46879.926881648644</v>
      </c>
    </row>
    <row r="70" spans="1:5" x14ac:dyDescent="0.3">
      <c r="B70" s="23" t="s">
        <v>155</v>
      </c>
      <c r="C70" s="117">
        <f>C69+(19224/(1+0.045))</f>
        <v>-28483.754632844815</v>
      </c>
    </row>
    <row r="72" spans="1:5" x14ac:dyDescent="0.3">
      <c r="B72" s="23" t="s">
        <v>156</v>
      </c>
      <c r="C72" s="23">
        <f>110*200+500*4</f>
        <v>24000</v>
      </c>
    </row>
    <row r="74" spans="1:5" x14ac:dyDescent="0.3">
      <c r="B74" s="23" t="s">
        <v>158</v>
      </c>
      <c r="C74" s="118">
        <f>C72+D4</f>
        <v>24322.788723280682</v>
      </c>
    </row>
    <row r="75" spans="1:5" x14ac:dyDescent="0.3">
      <c r="B75" s="23" t="s">
        <v>149</v>
      </c>
      <c r="C75" s="118">
        <f>C72+C70</f>
        <v>-4483.7546328448152</v>
      </c>
    </row>
    <row r="77" spans="1:5" x14ac:dyDescent="0.3">
      <c r="B77" s="119" t="s">
        <v>157</v>
      </c>
      <c r="C77" s="118">
        <f>C75-C74</f>
        <v>-28806.543356125498</v>
      </c>
    </row>
  </sheetData>
  <mergeCells count="6">
    <mergeCell ref="A37:E37"/>
    <mergeCell ref="G37:K37"/>
    <mergeCell ref="G54:J54"/>
    <mergeCell ref="A1:I1"/>
    <mergeCell ref="A8:I8"/>
    <mergeCell ref="A34:I34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workbookViewId="0">
      <selection activeCell="E8" sqref="E8"/>
    </sheetView>
  </sheetViews>
  <sheetFormatPr baseColWidth="10" defaultRowHeight="14.4" x14ac:dyDescent="0.3"/>
  <cols>
    <col min="1" max="1" width="40.77734375" bestFit="1" customWidth="1"/>
    <col min="2" max="2" width="11.5546875" customWidth="1"/>
    <col min="4" max="4" width="14.77734375" customWidth="1"/>
    <col min="5" max="5" width="13.21875" customWidth="1"/>
    <col min="6" max="6" width="12.21875" customWidth="1"/>
    <col min="7" max="7" width="15.44140625" bestFit="1" customWidth="1"/>
    <col min="9" max="9" width="13.44140625" customWidth="1"/>
  </cols>
  <sheetData>
    <row r="1" spans="1:22" x14ac:dyDescent="0.3">
      <c r="A1" s="4" t="s">
        <v>4</v>
      </c>
      <c r="B1" s="4" t="s">
        <v>20</v>
      </c>
    </row>
    <row r="2" spans="1:22" x14ac:dyDescent="0.3">
      <c r="A2" t="s">
        <v>5</v>
      </c>
      <c r="B2" s="5">
        <v>900</v>
      </c>
      <c r="E2" s="19"/>
    </row>
    <row r="3" spans="1:22" x14ac:dyDescent="0.3">
      <c r="A3" t="s">
        <v>6</v>
      </c>
      <c r="B3" s="5">
        <v>700</v>
      </c>
    </row>
    <row r="4" spans="1:22" x14ac:dyDescent="0.3">
      <c r="A4" t="s">
        <v>9</v>
      </c>
      <c r="B4" s="5">
        <v>1500</v>
      </c>
    </row>
    <row r="5" spans="1:22" x14ac:dyDescent="0.3">
      <c r="A5" t="s">
        <v>8</v>
      </c>
      <c r="B5" s="5">
        <v>400</v>
      </c>
      <c r="D5" s="19"/>
    </row>
    <row r="6" spans="1:22" x14ac:dyDescent="0.3">
      <c r="A6" t="s">
        <v>7</v>
      </c>
      <c r="B6" s="5">
        <v>150</v>
      </c>
    </row>
    <row r="7" spans="1:22" x14ac:dyDescent="0.3">
      <c r="A7" t="s">
        <v>11</v>
      </c>
      <c r="B7" s="5">
        <v>150</v>
      </c>
    </row>
    <row r="8" spans="1:22" x14ac:dyDescent="0.3">
      <c r="A8" t="s">
        <v>124</v>
      </c>
      <c r="B8" s="5">
        <v>1200</v>
      </c>
    </row>
    <row r="9" spans="1:22" x14ac:dyDescent="0.3">
      <c r="A9" t="s">
        <v>125</v>
      </c>
      <c r="B9" s="5">
        <v>2200</v>
      </c>
    </row>
    <row r="10" spans="1:22" x14ac:dyDescent="0.3">
      <c r="A10" t="s">
        <v>10</v>
      </c>
      <c r="B10" s="5">
        <v>250</v>
      </c>
    </row>
    <row r="11" spans="1:22" x14ac:dyDescent="0.3">
      <c r="A11" t="s">
        <v>12</v>
      </c>
      <c r="B11" s="5">
        <v>500</v>
      </c>
    </row>
    <row r="12" spans="1:22" x14ac:dyDescent="0.3">
      <c r="A12" t="s">
        <v>13</v>
      </c>
      <c r="B12" s="5">
        <v>500</v>
      </c>
    </row>
    <row r="13" spans="1:22" x14ac:dyDescent="0.3">
      <c r="A13" t="s">
        <v>14</v>
      </c>
      <c r="B13" s="5">
        <v>500</v>
      </c>
    </row>
    <row r="14" spans="1:22" x14ac:dyDescent="0.3">
      <c r="A14" t="s">
        <v>15</v>
      </c>
      <c r="B14" s="5">
        <v>60</v>
      </c>
    </row>
    <row r="15" spans="1:22" x14ac:dyDescent="0.3">
      <c r="A15" t="s">
        <v>16</v>
      </c>
      <c r="B15" s="5">
        <v>300</v>
      </c>
    </row>
    <row r="16" spans="1:22" x14ac:dyDescent="0.3">
      <c r="B16" s="133" t="s">
        <v>147</v>
      </c>
      <c r="C16" s="133"/>
      <c r="D16" s="133"/>
      <c r="E16" s="133"/>
      <c r="F16" s="133"/>
      <c r="G16" s="133"/>
      <c r="H16" s="133"/>
      <c r="I16" s="133"/>
      <c r="J16" s="133"/>
      <c r="K16" s="133"/>
      <c r="M16" s="133" t="s">
        <v>148</v>
      </c>
      <c r="N16" s="133"/>
      <c r="O16" s="133"/>
      <c r="P16" s="133"/>
      <c r="Q16" s="133"/>
      <c r="R16" s="133"/>
      <c r="S16" s="133"/>
      <c r="T16" s="133"/>
      <c r="U16" s="133"/>
      <c r="V16" s="133"/>
    </row>
    <row r="17" spans="1:22" x14ac:dyDescent="0.3">
      <c r="A17" s="95"/>
      <c r="B17" s="98" t="s">
        <v>29</v>
      </c>
      <c r="C17" s="99" t="s">
        <v>77</v>
      </c>
      <c r="D17" s="98" t="s">
        <v>31</v>
      </c>
      <c r="E17" s="99" t="s">
        <v>21</v>
      </c>
      <c r="F17" s="98" t="s">
        <v>30</v>
      </c>
      <c r="G17" s="99" t="s">
        <v>64</v>
      </c>
      <c r="H17" s="98" t="s">
        <v>59</v>
      </c>
      <c r="I17" s="99" t="s">
        <v>62</v>
      </c>
      <c r="J17" s="98" t="s">
        <v>61</v>
      </c>
      <c r="K17" s="100" t="s">
        <v>60</v>
      </c>
      <c r="M17" s="101" t="s">
        <v>29</v>
      </c>
      <c r="N17" s="102" t="s">
        <v>77</v>
      </c>
      <c r="O17" s="101" t="s">
        <v>31</v>
      </c>
      <c r="P17" s="102" t="s">
        <v>21</v>
      </c>
      <c r="Q17" s="101" t="s">
        <v>30</v>
      </c>
      <c r="R17" s="102" t="s">
        <v>64</v>
      </c>
      <c r="S17" s="101" t="s">
        <v>59</v>
      </c>
      <c r="T17" s="102" t="s">
        <v>62</v>
      </c>
      <c r="U17" s="101" t="s">
        <v>61</v>
      </c>
      <c r="V17" s="103" t="s">
        <v>60</v>
      </c>
    </row>
    <row r="18" spans="1:22" x14ac:dyDescent="0.3">
      <c r="A18" s="96" t="s">
        <v>17</v>
      </c>
      <c r="B18" s="14">
        <f>M18*0.8</f>
        <v>8</v>
      </c>
      <c r="C18" s="14">
        <f t="shared" ref="C18:K18" si="0">N18*0.8</f>
        <v>8</v>
      </c>
      <c r="D18" s="14">
        <f t="shared" si="0"/>
        <v>8</v>
      </c>
      <c r="E18" s="14">
        <f t="shared" si="0"/>
        <v>0</v>
      </c>
      <c r="F18" s="14">
        <f t="shared" si="0"/>
        <v>8</v>
      </c>
      <c r="G18" s="14">
        <f t="shared" si="0"/>
        <v>8</v>
      </c>
      <c r="H18" s="14">
        <f t="shared" si="0"/>
        <v>8</v>
      </c>
      <c r="I18" s="14">
        <f t="shared" si="0"/>
        <v>8</v>
      </c>
      <c r="J18" s="14">
        <f t="shared" si="0"/>
        <v>0</v>
      </c>
      <c r="K18" s="14">
        <f t="shared" si="0"/>
        <v>8</v>
      </c>
      <c r="M18" s="39">
        <v>10</v>
      </c>
      <c r="N18" s="93">
        <v>10</v>
      </c>
      <c r="O18" s="93">
        <v>10</v>
      </c>
      <c r="P18" s="93"/>
      <c r="Q18" s="93">
        <v>10</v>
      </c>
      <c r="R18" s="93">
        <v>10</v>
      </c>
      <c r="S18" s="93">
        <v>10</v>
      </c>
      <c r="T18" s="93">
        <v>10</v>
      </c>
      <c r="U18" s="93"/>
      <c r="V18" s="40">
        <v>10</v>
      </c>
    </row>
    <row r="19" spans="1:22" x14ac:dyDescent="0.3">
      <c r="A19" s="97" t="s">
        <v>18</v>
      </c>
      <c r="B19" s="14">
        <f t="shared" ref="B19:B40" si="1">M19*0.8</f>
        <v>8</v>
      </c>
      <c r="C19" s="14">
        <f t="shared" ref="C19:C40" si="2">N19*0.8</f>
        <v>8</v>
      </c>
      <c r="D19" s="14">
        <f t="shared" ref="D19:D40" si="3">O19*0.8</f>
        <v>8</v>
      </c>
      <c r="E19" s="14">
        <f t="shared" ref="E19:E40" si="4">P19*0.8</f>
        <v>0</v>
      </c>
      <c r="F19" s="14">
        <f t="shared" ref="F19:F40" si="5">Q19*0.8</f>
        <v>8</v>
      </c>
      <c r="G19" s="14">
        <f t="shared" ref="G19:G40" si="6">R19*0.8</f>
        <v>8</v>
      </c>
      <c r="H19" s="14">
        <f t="shared" ref="H19:H40" si="7">S19*0.8</f>
        <v>14.4</v>
      </c>
      <c r="I19" s="14">
        <f t="shared" ref="I19:I40" si="8">T19*0.8</f>
        <v>8</v>
      </c>
      <c r="J19" s="14">
        <f t="shared" ref="J19:J40" si="9">U19*0.8</f>
        <v>0</v>
      </c>
      <c r="K19" s="14">
        <f t="shared" ref="K19:K40" si="10">V19*0.8</f>
        <v>8</v>
      </c>
      <c r="M19" s="41">
        <v>10</v>
      </c>
      <c r="N19" s="94">
        <v>10</v>
      </c>
      <c r="O19" s="94">
        <v>10</v>
      </c>
      <c r="P19" s="94"/>
      <c r="Q19" s="94">
        <v>10</v>
      </c>
      <c r="R19" s="94">
        <v>10</v>
      </c>
      <c r="S19" s="94">
        <v>18</v>
      </c>
      <c r="T19" s="94">
        <v>10</v>
      </c>
      <c r="U19" s="94"/>
      <c r="V19" s="42">
        <v>10</v>
      </c>
    </row>
    <row r="20" spans="1:22" x14ac:dyDescent="0.3">
      <c r="A20" s="96" t="s">
        <v>19</v>
      </c>
      <c r="B20" s="14">
        <f t="shared" si="1"/>
        <v>8</v>
      </c>
      <c r="C20" s="14">
        <f t="shared" si="2"/>
        <v>8</v>
      </c>
      <c r="D20" s="14">
        <f t="shared" si="3"/>
        <v>8</v>
      </c>
      <c r="E20" s="14">
        <f t="shared" si="4"/>
        <v>0</v>
      </c>
      <c r="F20" s="14">
        <f t="shared" si="5"/>
        <v>8</v>
      </c>
      <c r="G20" s="14">
        <f t="shared" si="6"/>
        <v>8</v>
      </c>
      <c r="H20" s="14">
        <f t="shared" si="7"/>
        <v>20</v>
      </c>
      <c r="I20" s="14">
        <f t="shared" si="8"/>
        <v>8</v>
      </c>
      <c r="J20" s="14">
        <f t="shared" si="9"/>
        <v>0</v>
      </c>
      <c r="K20" s="14">
        <f t="shared" si="10"/>
        <v>8</v>
      </c>
      <c r="M20" s="39">
        <v>10</v>
      </c>
      <c r="N20" s="93">
        <v>10</v>
      </c>
      <c r="O20" s="93">
        <v>10</v>
      </c>
      <c r="P20" s="93"/>
      <c r="Q20" s="93">
        <v>10</v>
      </c>
      <c r="R20" s="93">
        <v>10</v>
      </c>
      <c r="S20" s="93">
        <v>25</v>
      </c>
      <c r="T20" s="93">
        <v>10</v>
      </c>
      <c r="U20" s="93"/>
      <c r="V20" s="40">
        <v>10</v>
      </c>
    </row>
    <row r="21" spans="1:22" x14ac:dyDescent="0.3">
      <c r="A21" s="97" t="s">
        <v>87</v>
      </c>
      <c r="B21" s="14">
        <f t="shared" si="1"/>
        <v>8</v>
      </c>
      <c r="C21" s="14">
        <f t="shared" si="2"/>
        <v>14.4</v>
      </c>
      <c r="D21" s="14">
        <f t="shared" si="3"/>
        <v>14.4</v>
      </c>
      <c r="E21" s="14">
        <f t="shared" si="4"/>
        <v>0</v>
      </c>
      <c r="F21" s="14">
        <f t="shared" si="5"/>
        <v>12</v>
      </c>
      <c r="G21" s="14">
        <f t="shared" si="6"/>
        <v>14.4</v>
      </c>
      <c r="H21" s="14">
        <f t="shared" si="7"/>
        <v>28</v>
      </c>
      <c r="I21" s="14">
        <f t="shared" si="8"/>
        <v>14.4</v>
      </c>
      <c r="J21" s="14">
        <f t="shared" si="9"/>
        <v>0</v>
      </c>
      <c r="K21" s="14">
        <f t="shared" si="10"/>
        <v>14.4</v>
      </c>
      <c r="M21" s="41">
        <v>10</v>
      </c>
      <c r="N21" s="94">
        <v>18</v>
      </c>
      <c r="O21" s="94">
        <v>18</v>
      </c>
      <c r="P21" s="94"/>
      <c r="Q21" s="94">
        <v>15</v>
      </c>
      <c r="R21" s="94">
        <v>18</v>
      </c>
      <c r="S21" s="94">
        <v>35</v>
      </c>
      <c r="T21" s="94">
        <v>18</v>
      </c>
      <c r="U21" s="94"/>
      <c r="V21" s="42">
        <v>18</v>
      </c>
    </row>
    <row r="22" spans="1:22" x14ac:dyDescent="0.3">
      <c r="A22" s="96" t="s">
        <v>88</v>
      </c>
      <c r="B22" s="14">
        <f t="shared" si="1"/>
        <v>8</v>
      </c>
      <c r="C22" s="14">
        <f t="shared" si="2"/>
        <v>20</v>
      </c>
      <c r="D22" s="14">
        <f t="shared" si="3"/>
        <v>20</v>
      </c>
      <c r="E22" s="14">
        <f t="shared" si="4"/>
        <v>0</v>
      </c>
      <c r="F22" s="14">
        <f t="shared" si="5"/>
        <v>20</v>
      </c>
      <c r="G22" s="14">
        <f t="shared" si="6"/>
        <v>20</v>
      </c>
      <c r="H22" s="14">
        <f t="shared" si="7"/>
        <v>32</v>
      </c>
      <c r="I22" s="14">
        <f t="shared" si="8"/>
        <v>20</v>
      </c>
      <c r="J22" s="14">
        <f t="shared" si="9"/>
        <v>0</v>
      </c>
      <c r="K22" s="14">
        <f t="shared" si="10"/>
        <v>20</v>
      </c>
      <c r="M22" s="39">
        <v>10</v>
      </c>
      <c r="N22" s="93">
        <v>25</v>
      </c>
      <c r="O22" s="93">
        <v>25</v>
      </c>
      <c r="P22" s="93"/>
      <c r="Q22" s="93">
        <v>25</v>
      </c>
      <c r="R22" s="93">
        <v>25</v>
      </c>
      <c r="S22" s="93">
        <v>40</v>
      </c>
      <c r="T22" s="93">
        <v>25</v>
      </c>
      <c r="U22" s="93"/>
      <c r="V22" s="40">
        <v>25</v>
      </c>
    </row>
    <row r="23" spans="1:22" x14ac:dyDescent="0.3">
      <c r="A23" s="97" t="s">
        <v>89</v>
      </c>
      <c r="B23" s="14">
        <f t="shared" si="1"/>
        <v>8</v>
      </c>
      <c r="C23" s="14">
        <f t="shared" si="2"/>
        <v>20</v>
      </c>
      <c r="D23" s="14">
        <f t="shared" si="3"/>
        <v>20</v>
      </c>
      <c r="E23" s="14">
        <f t="shared" si="4"/>
        <v>0</v>
      </c>
      <c r="F23" s="14">
        <f t="shared" si="5"/>
        <v>20</v>
      </c>
      <c r="G23" s="14">
        <f t="shared" si="6"/>
        <v>20</v>
      </c>
      <c r="H23" s="14">
        <f t="shared" si="7"/>
        <v>36</v>
      </c>
      <c r="I23" s="14">
        <f t="shared" si="8"/>
        <v>24</v>
      </c>
      <c r="J23" s="14">
        <f t="shared" si="9"/>
        <v>0</v>
      </c>
      <c r="K23" s="14">
        <f t="shared" si="10"/>
        <v>20</v>
      </c>
      <c r="M23" s="41">
        <v>10</v>
      </c>
      <c r="N23" s="94">
        <v>25</v>
      </c>
      <c r="O23" s="94">
        <v>25</v>
      </c>
      <c r="P23" s="94"/>
      <c r="Q23" s="94">
        <v>25</v>
      </c>
      <c r="R23" s="94">
        <v>25</v>
      </c>
      <c r="S23" s="94">
        <v>45</v>
      </c>
      <c r="T23" s="94">
        <v>30</v>
      </c>
      <c r="U23" s="94"/>
      <c r="V23" s="42">
        <v>25</v>
      </c>
    </row>
    <row r="24" spans="1:22" x14ac:dyDescent="0.3">
      <c r="A24" s="96" t="s">
        <v>90</v>
      </c>
      <c r="B24" s="14">
        <f t="shared" si="1"/>
        <v>8</v>
      </c>
      <c r="C24" s="14">
        <f t="shared" si="2"/>
        <v>28</v>
      </c>
      <c r="D24" s="14">
        <f t="shared" si="3"/>
        <v>28</v>
      </c>
      <c r="E24" s="14">
        <f t="shared" si="4"/>
        <v>0</v>
      </c>
      <c r="F24" s="14">
        <f t="shared" si="5"/>
        <v>20</v>
      </c>
      <c r="G24" s="14">
        <f t="shared" si="6"/>
        <v>21.6</v>
      </c>
      <c r="H24" s="14">
        <f t="shared" si="7"/>
        <v>36</v>
      </c>
      <c r="I24" s="14">
        <f t="shared" si="8"/>
        <v>32</v>
      </c>
      <c r="J24" s="14">
        <f t="shared" si="9"/>
        <v>0</v>
      </c>
      <c r="K24" s="14">
        <f t="shared" si="10"/>
        <v>28</v>
      </c>
      <c r="M24" s="39">
        <v>10</v>
      </c>
      <c r="N24" s="93">
        <v>35</v>
      </c>
      <c r="O24" s="93">
        <v>35</v>
      </c>
      <c r="P24" s="93"/>
      <c r="Q24" s="93">
        <v>25</v>
      </c>
      <c r="R24" s="93">
        <v>27</v>
      </c>
      <c r="S24" s="93">
        <v>45</v>
      </c>
      <c r="T24" s="93">
        <v>40</v>
      </c>
      <c r="U24" s="93"/>
      <c r="V24" s="40">
        <v>35</v>
      </c>
    </row>
    <row r="25" spans="1:22" x14ac:dyDescent="0.3">
      <c r="A25" s="97" t="s">
        <v>91</v>
      </c>
      <c r="B25" s="14">
        <f t="shared" si="1"/>
        <v>16</v>
      </c>
      <c r="C25" s="14">
        <f t="shared" si="2"/>
        <v>32</v>
      </c>
      <c r="D25" s="14">
        <f t="shared" si="3"/>
        <v>28</v>
      </c>
      <c r="E25" s="14">
        <f t="shared" si="4"/>
        <v>0</v>
      </c>
      <c r="F25" s="14">
        <f t="shared" si="5"/>
        <v>20</v>
      </c>
      <c r="G25" s="14">
        <f t="shared" si="6"/>
        <v>21.6</v>
      </c>
      <c r="H25" s="14">
        <f t="shared" si="7"/>
        <v>44.800000000000004</v>
      </c>
      <c r="I25" s="14">
        <f t="shared" si="8"/>
        <v>0</v>
      </c>
      <c r="J25" s="14">
        <f t="shared" si="9"/>
        <v>0</v>
      </c>
      <c r="K25" s="14">
        <f t="shared" si="10"/>
        <v>32</v>
      </c>
      <c r="M25" s="41">
        <v>20</v>
      </c>
      <c r="N25" s="94">
        <v>40</v>
      </c>
      <c r="O25" s="94">
        <v>35</v>
      </c>
      <c r="P25" s="94"/>
      <c r="Q25" s="94">
        <v>25</v>
      </c>
      <c r="R25" s="94">
        <v>27</v>
      </c>
      <c r="S25" s="94">
        <v>56</v>
      </c>
      <c r="T25" s="94"/>
      <c r="U25" s="94"/>
      <c r="V25" s="42">
        <v>40</v>
      </c>
    </row>
    <row r="26" spans="1:22" x14ac:dyDescent="0.3">
      <c r="A26" s="96" t="s">
        <v>92</v>
      </c>
      <c r="B26" s="14">
        <f t="shared" si="1"/>
        <v>16</v>
      </c>
      <c r="C26" s="14">
        <f t="shared" si="2"/>
        <v>36</v>
      </c>
      <c r="D26" s="14">
        <f t="shared" si="3"/>
        <v>28</v>
      </c>
      <c r="E26" s="14">
        <f t="shared" si="4"/>
        <v>0</v>
      </c>
      <c r="F26" s="14">
        <f t="shared" si="5"/>
        <v>24</v>
      </c>
      <c r="G26" s="14">
        <f t="shared" si="6"/>
        <v>24</v>
      </c>
      <c r="H26" s="14">
        <f t="shared" si="7"/>
        <v>44.800000000000004</v>
      </c>
      <c r="I26" s="14">
        <f t="shared" si="8"/>
        <v>0</v>
      </c>
      <c r="J26" s="14">
        <f t="shared" si="9"/>
        <v>0</v>
      </c>
      <c r="K26" s="14">
        <f t="shared" si="10"/>
        <v>36</v>
      </c>
      <c r="M26" s="39">
        <v>20</v>
      </c>
      <c r="N26" s="93">
        <v>45</v>
      </c>
      <c r="O26" s="93">
        <v>35</v>
      </c>
      <c r="P26" s="93"/>
      <c r="Q26" s="93">
        <v>30</v>
      </c>
      <c r="R26" s="93">
        <v>30</v>
      </c>
      <c r="S26" s="93">
        <v>56</v>
      </c>
      <c r="T26" s="93"/>
      <c r="U26" s="93"/>
      <c r="V26" s="40">
        <v>45</v>
      </c>
    </row>
    <row r="27" spans="1:22" x14ac:dyDescent="0.3">
      <c r="A27" s="97" t="s">
        <v>93</v>
      </c>
      <c r="B27" s="14">
        <f t="shared" si="1"/>
        <v>16</v>
      </c>
      <c r="C27" s="14">
        <f t="shared" si="2"/>
        <v>44</v>
      </c>
      <c r="D27" s="14">
        <f t="shared" si="3"/>
        <v>28</v>
      </c>
      <c r="E27" s="14">
        <f t="shared" si="4"/>
        <v>0</v>
      </c>
      <c r="F27" s="14">
        <f t="shared" si="5"/>
        <v>28</v>
      </c>
      <c r="G27" s="14">
        <f t="shared" si="6"/>
        <v>28</v>
      </c>
      <c r="H27" s="14">
        <f t="shared" si="7"/>
        <v>0</v>
      </c>
      <c r="I27" s="14">
        <f t="shared" si="8"/>
        <v>0</v>
      </c>
      <c r="J27" s="14">
        <f t="shared" si="9"/>
        <v>0</v>
      </c>
      <c r="K27" s="14">
        <f t="shared" si="10"/>
        <v>44</v>
      </c>
      <c r="M27" s="41">
        <v>20</v>
      </c>
      <c r="N27" s="94">
        <v>55</v>
      </c>
      <c r="O27" s="94">
        <v>35</v>
      </c>
      <c r="P27" s="94"/>
      <c r="Q27" s="94">
        <v>35</v>
      </c>
      <c r="R27" s="94">
        <v>35</v>
      </c>
      <c r="S27" s="94"/>
      <c r="T27" s="94"/>
      <c r="U27" s="94"/>
      <c r="V27" s="42">
        <v>55</v>
      </c>
    </row>
    <row r="28" spans="1:22" x14ac:dyDescent="0.3">
      <c r="A28" s="96" t="s">
        <v>94</v>
      </c>
      <c r="B28" s="14">
        <f t="shared" si="1"/>
        <v>16</v>
      </c>
      <c r="C28" s="14">
        <f t="shared" si="2"/>
        <v>44</v>
      </c>
      <c r="D28" s="14">
        <f t="shared" si="3"/>
        <v>28</v>
      </c>
      <c r="E28" s="14">
        <f t="shared" si="4"/>
        <v>0</v>
      </c>
      <c r="F28" s="14">
        <f t="shared" si="5"/>
        <v>32</v>
      </c>
      <c r="G28" s="14">
        <f t="shared" si="6"/>
        <v>30.400000000000002</v>
      </c>
      <c r="H28" s="14">
        <f t="shared" si="7"/>
        <v>0</v>
      </c>
      <c r="I28" s="14">
        <f t="shared" si="8"/>
        <v>0</v>
      </c>
      <c r="J28" s="14">
        <f t="shared" si="9"/>
        <v>0</v>
      </c>
      <c r="K28" s="14">
        <f t="shared" si="10"/>
        <v>44</v>
      </c>
      <c r="M28" s="39">
        <v>20</v>
      </c>
      <c r="N28" s="93">
        <v>55</v>
      </c>
      <c r="O28" s="93">
        <v>35</v>
      </c>
      <c r="P28" s="93"/>
      <c r="Q28" s="93">
        <v>40</v>
      </c>
      <c r="R28" s="93">
        <v>38</v>
      </c>
      <c r="S28" s="93"/>
      <c r="T28" s="93"/>
      <c r="U28" s="93"/>
      <c r="V28" s="40">
        <v>55</v>
      </c>
    </row>
    <row r="29" spans="1:22" x14ac:dyDescent="0.3">
      <c r="A29" s="97" t="s">
        <v>95</v>
      </c>
      <c r="B29" s="14">
        <f t="shared" si="1"/>
        <v>20</v>
      </c>
      <c r="C29" s="14">
        <f t="shared" si="2"/>
        <v>0</v>
      </c>
      <c r="D29" s="14">
        <f t="shared" si="3"/>
        <v>0</v>
      </c>
      <c r="E29" s="14">
        <f t="shared" si="4"/>
        <v>0</v>
      </c>
      <c r="F29" s="14">
        <f t="shared" si="5"/>
        <v>0</v>
      </c>
      <c r="G29" s="14">
        <f t="shared" si="6"/>
        <v>0</v>
      </c>
      <c r="H29" s="14">
        <f t="shared" si="7"/>
        <v>0</v>
      </c>
      <c r="I29" s="14">
        <f t="shared" si="8"/>
        <v>0</v>
      </c>
      <c r="J29" s="14">
        <f t="shared" si="9"/>
        <v>0</v>
      </c>
      <c r="K29" s="14">
        <f t="shared" si="10"/>
        <v>0</v>
      </c>
      <c r="M29" s="41">
        <v>25</v>
      </c>
      <c r="N29" s="94"/>
      <c r="O29" s="94"/>
      <c r="P29" s="94"/>
      <c r="Q29" s="94"/>
      <c r="R29" s="94"/>
      <c r="S29" s="94"/>
      <c r="T29" s="94"/>
      <c r="U29" s="94"/>
      <c r="V29" s="42"/>
    </row>
    <row r="30" spans="1:22" x14ac:dyDescent="0.3">
      <c r="A30" s="96" t="s">
        <v>96</v>
      </c>
      <c r="B30" s="14">
        <f t="shared" si="1"/>
        <v>20</v>
      </c>
      <c r="C30" s="14">
        <f t="shared" si="2"/>
        <v>0</v>
      </c>
      <c r="D30" s="14">
        <f t="shared" si="3"/>
        <v>0</v>
      </c>
      <c r="E30" s="14">
        <f t="shared" si="4"/>
        <v>0</v>
      </c>
      <c r="F30" s="14">
        <f t="shared" si="5"/>
        <v>0</v>
      </c>
      <c r="G30" s="14">
        <f t="shared" si="6"/>
        <v>0</v>
      </c>
      <c r="H30" s="14">
        <f t="shared" si="7"/>
        <v>0</v>
      </c>
      <c r="I30" s="14">
        <f t="shared" si="8"/>
        <v>0</v>
      </c>
      <c r="J30" s="14">
        <f t="shared" si="9"/>
        <v>0</v>
      </c>
      <c r="K30" s="14">
        <f t="shared" si="10"/>
        <v>0</v>
      </c>
      <c r="M30" s="39">
        <v>25</v>
      </c>
      <c r="N30" s="93"/>
      <c r="O30" s="93"/>
      <c r="P30" s="93"/>
      <c r="Q30" s="93"/>
      <c r="R30" s="93"/>
      <c r="S30" s="93"/>
      <c r="T30" s="93"/>
      <c r="U30" s="93"/>
      <c r="V30" s="40"/>
    </row>
    <row r="31" spans="1:22" x14ac:dyDescent="0.3">
      <c r="A31" s="97" t="s">
        <v>97</v>
      </c>
      <c r="B31" s="14">
        <f t="shared" si="1"/>
        <v>40</v>
      </c>
      <c r="C31" s="14">
        <f t="shared" si="2"/>
        <v>0</v>
      </c>
      <c r="D31" s="14">
        <f t="shared" si="3"/>
        <v>0</v>
      </c>
      <c r="E31" s="14">
        <f t="shared" si="4"/>
        <v>0</v>
      </c>
      <c r="F31" s="14">
        <f t="shared" si="5"/>
        <v>0</v>
      </c>
      <c r="G31" s="14">
        <f t="shared" si="6"/>
        <v>0</v>
      </c>
      <c r="H31" s="14">
        <f t="shared" si="7"/>
        <v>0</v>
      </c>
      <c r="I31" s="14">
        <f t="shared" si="8"/>
        <v>0</v>
      </c>
      <c r="J31" s="14">
        <f t="shared" si="9"/>
        <v>0</v>
      </c>
      <c r="K31" s="14">
        <f t="shared" si="10"/>
        <v>0</v>
      </c>
      <c r="M31" s="41">
        <v>50</v>
      </c>
      <c r="N31" s="94"/>
      <c r="O31" s="94"/>
      <c r="P31" s="94"/>
      <c r="Q31" s="94"/>
      <c r="R31" s="94"/>
      <c r="S31" s="94"/>
      <c r="T31" s="94"/>
      <c r="U31" s="94"/>
      <c r="V31" s="42"/>
    </row>
    <row r="32" spans="1:22" x14ac:dyDescent="0.3">
      <c r="A32" s="96" t="s">
        <v>98</v>
      </c>
      <c r="B32" s="14">
        <f t="shared" si="1"/>
        <v>40</v>
      </c>
      <c r="C32" s="14">
        <f t="shared" si="2"/>
        <v>0</v>
      </c>
      <c r="D32" s="14">
        <f t="shared" si="3"/>
        <v>0</v>
      </c>
      <c r="E32" s="14">
        <f t="shared" si="4"/>
        <v>0</v>
      </c>
      <c r="F32" s="14">
        <f t="shared" si="5"/>
        <v>0</v>
      </c>
      <c r="G32" s="14">
        <f t="shared" si="6"/>
        <v>0</v>
      </c>
      <c r="H32" s="14">
        <f t="shared" si="7"/>
        <v>0</v>
      </c>
      <c r="I32" s="14">
        <f t="shared" si="8"/>
        <v>0</v>
      </c>
      <c r="J32" s="14">
        <f t="shared" si="9"/>
        <v>0</v>
      </c>
      <c r="K32" s="14">
        <f t="shared" si="10"/>
        <v>0</v>
      </c>
      <c r="M32" s="39">
        <v>50</v>
      </c>
      <c r="N32" s="93"/>
      <c r="O32" s="93"/>
      <c r="P32" s="93"/>
      <c r="Q32" s="93"/>
      <c r="R32" s="93"/>
      <c r="S32" s="93"/>
      <c r="T32" s="93"/>
      <c r="U32" s="93"/>
      <c r="V32" s="40"/>
    </row>
    <row r="33" spans="1:22" x14ac:dyDescent="0.3">
      <c r="A33" s="97" t="s">
        <v>99</v>
      </c>
      <c r="B33" s="14">
        <f t="shared" si="1"/>
        <v>40</v>
      </c>
      <c r="C33" s="14">
        <f t="shared" si="2"/>
        <v>0</v>
      </c>
      <c r="D33" s="14">
        <f t="shared" si="3"/>
        <v>0</v>
      </c>
      <c r="E33" s="14">
        <f t="shared" si="4"/>
        <v>0</v>
      </c>
      <c r="F33" s="14">
        <f t="shared" si="5"/>
        <v>0</v>
      </c>
      <c r="G33" s="14">
        <f t="shared" si="6"/>
        <v>0</v>
      </c>
      <c r="H33" s="14">
        <f t="shared" si="7"/>
        <v>0</v>
      </c>
      <c r="I33" s="14">
        <f t="shared" si="8"/>
        <v>0</v>
      </c>
      <c r="J33" s="14">
        <f t="shared" si="9"/>
        <v>0</v>
      </c>
      <c r="K33" s="14">
        <f t="shared" si="10"/>
        <v>0</v>
      </c>
      <c r="M33" s="41">
        <v>50</v>
      </c>
      <c r="N33" s="94"/>
      <c r="O33" s="94"/>
      <c r="P33" s="94"/>
      <c r="Q33" s="94"/>
      <c r="R33" s="94"/>
      <c r="S33" s="94"/>
      <c r="T33" s="94"/>
      <c r="U33" s="94"/>
      <c r="V33" s="42"/>
    </row>
    <row r="34" spans="1:22" x14ac:dyDescent="0.3">
      <c r="A34" s="96" t="s">
        <v>100</v>
      </c>
      <c r="B34" s="14">
        <f t="shared" si="1"/>
        <v>40</v>
      </c>
      <c r="C34" s="14">
        <f t="shared" si="2"/>
        <v>0</v>
      </c>
      <c r="D34" s="14">
        <f t="shared" si="3"/>
        <v>0</v>
      </c>
      <c r="E34" s="14">
        <f t="shared" si="4"/>
        <v>0</v>
      </c>
      <c r="F34" s="14">
        <f t="shared" si="5"/>
        <v>0</v>
      </c>
      <c r="G34" s="14">
        <f t="shared" si="6"/>
        <v>0</v>
      </c>
      <c r="H34" s="14">
        <f t="shared" si="7"/>
        <v>0</v>
      </c>
      <c r="I34" s="14">
        <f t="shared" si="8"/>
        <v>0</v>
      </c>
      <c r="J34" s="14">
        <f t="shared" si="9"/>
        <v>0</v>
      </c>
      <c r="K34" s="14">
        <f t="shared" si="10"/>
        <v>0</v>
      </c>
      <c r="M34" s="39">
        <v>50</v>
      </c>
      <c r="N34" s="93"/>
      <c r="O34" s="93"/>
      <c r="P34" s="93"/>
      <c r="Q34" s="93"/>
      <c r="R34" s="93"/>
      <c r="S34" s="93"/>
      <c r="T34" s="93"/>
      <c r="U34" s="93"/>
      <c r="V34" s="40"/>
    </row>
    <row r="35" spans="1:22" x14ac:dyDescent="0.3">
      <c r="A35" s="97" t="s">
        <v>103</v>
      </c>
      <c r="B35" s="14">
        <f t="shared" si="1"/>
        <v>40</v>
      </c>
      <c r="C35" s="14">
        <f t="shared" si="2"/>
        <v>0</v>
      </c>
      <c r="D35" s="14">
        <f t="shared" si="3"/>
        <v>0</v>
      </c>
      <c r="E35" s="14">
        <f t="shared" si="4"/>
        <v>0</v>
      </c>
      <c r="F35" s="14">
        <f t="shared" si="5"/>
        <v>0</v>
      </c>
      <c r="G35" s="14">
        <f t="shared" si="6"/>
        <v>0</v>
      </c>
      <c r="H35" s="14">
        <f t="shared" si="7"/>
        <v>0</v>
      </c>
      <c r="I35" s="14">
        <f t="shared" si="8"/>
        <v>0</v>
      </c>
      <c r="J35" s="14">
        <f t="shared" si="9"/>
        <v>0</v>
      </c>
      <c r="K35" s="14">
        <f t="shared" si="10"/>
        <v>0</v>
      </c>
      <c r="M35" s="41">
        <v>50</v>
      </c>
      <c r="N35" s="94"/>
      <c r="O35" s="94"/>
      <c r="P35" s="94"/>
      <c r="Q35" s="94"/>
      <c r="R35" s="94"/>
      <c r="S35" s="94"/>
      <c r="T35" s="94"/>
      <c r="U35" s="94"/>
      <c r="V35" s="42"/>
    </row>
    <row r="36" spans="1:22" x14ac:dyDescent="0.3">
      <c r="A36" s="96" t="s">
        <v>104</v>
      </c>
      <c r="B36" s="14">
        <f t="shared" si="1"/>
        <v>120</v>
      </c>
      <c r="C36" s="14">
        <f t="shared" si="2"/>
        <v>0</v>
      </c>
      <c r="D36" s="14">
        <f t="shared" si="3"/>
        <v>0</v>
      </c>
      <c r="E36" s="14">
        <f t="shared" si="4"/>
        <v>0</v>
      </c>
      <c r="F36" s="14">
        <f t="shared" si="5"/>
        <v>0</v>
      </c>
      <c r="G36" s="14">
        <f t="shared" si="6"/>
        <v>0</v>
      </c>
      <c r="H36" s="14">
        <f t="shared" si="7"/>
        <v>0</v>
      </c>
      <c r="I36" s="14">
        <f t="shared" si="8"/>
        <v>0</v>
      </c>
      <c r="J36" s="14">
        <f t="shared" si="9"/>
        <v>0</v>
      </c>
      <c r="K36" s="14">
        <f t="shared" si="10"/>
        <v>0</v>
      </c>
      <c r="M36" s="39">
        <v>150</v>
      </c>
      <c r="N36" s="93"/>
      <c r="O36" s="93"/>
      <c r="P36" s="93"/>
      <c r="Q36" s="93"/>
      <c r="R36" s="93"/>
      <c r="S36" s="93"/>
      <c r="T36" s="93"/>
      <c r="U36" s="93"/>
      <c r="V36" s="40"/>
    </row>
    <row r="37" spans="1:22" x14ac:dyDescent="0.3">
      <c r="A37" s="97" t="s">
        <v>105</v>
      </c>
      <c r="B37" s="14">
        <f t="shared" si="1"/>
        <v>120</v>
      </c>
      <c r="C37" s="14">
        <f t="shared" si="2"/>
        <v>0</v>
      </c>
      <c r="D37" s="14">
        <f t="shared" si="3"/>
        <v>0</v>
      </c>
      <c r="E37" s="14">
        <f t="shared" ca="1" si="4"/>
        <v>0</v>
      </c>
      <c r="F37" s="14">
        <f t="shared" si="5"/>
        <v>0</v>
      </c>
      <c r="G37" s="14">
        <f t="shared" si="6"/>
        <v>0</v>
      </c>
      <c r="H37" s="14">
        <f t="shared" si="7"/>
        <v>0</v>
      </c>
      <c r="I37" s="14">
        <f t="shared" si="8"/>
        <v>0</v>
      </c>
      <c r="J37" s="14">
        <f t="shared" si="9"/>
        <v>0</v>
      </c>
      <c r="K37" s="14">
        <f t="shared" si="10"/>
        <v>0</v>
      </c>
      <c r="M37" s="41">
        <v>150</v>
      </c>
      <c r="N37" s="94"/>
      <c r="O37" s="94"/>
      <c r="P37" s="94">
        <f ca="1">P2+P37</f>
        <v>0</v>
      </c>
      <c r="Q37" s="94"/>
      <c r="R37" s="94"/>
      <c r="S37" s="94"/>
      <c r="T37" s="94"/>
      <c r="U37" s="94"/>
      <c r="V37" s="42"/>
    </row>
    <row r="38" spans="1:22" x14ac:dyDescent="0.3">
      <c r="A38" s="96" t="s">
        <v>106</v>
      </c>
      <c r="B38" s="14">
        <f t="shared" si="1"/>
        <v>160</v>
      </c>
      <c r="C38" s="14">
        <f t="shared" si="2"/>
        <v>0</v>
      </c>
      <c r="D38" s="14">
        <f t="shared" si="3"/>
        <v>0</v>
      </c>
      <c r="E38" s="14">
        <f t="shared" si="4"/>
        <v>0</v>
      </c>
      <c r="F38" s="14">
        <f t="shared" si="5"/>
        <v>0</v>
      </c>
      <c r="G38" s="14">
        <f t="shared" si="6"/>
        <v>0</v>
      </c>
      <c r="H38" s="14">
        <f t="shared" si="7"/>
        <v>0</v>
      </c>
      <c r="I38" s="14">
        <f t="shared" si="8"/>
        <v>0</v>
      </c>
      <c r="J38" s="14">
        <f t="shared" si="9"/>
        <v>0</v>
      </c>
      <c r="K38" s="14">
        <f t="shared" si="10"/>
        <v>0</v>
      </c>
      <c r="M38" s="39">
        <v>200</v>
      </c>
      <c r="N38" s="93"/>
      <c r="O38" s="93"/>
      <c r="P38" s="93"/>
      <c r="Q38" s="93"/>
      <c r="R38" s="93"/>
      <c r="S38" s="93"/>
      <c r="T38" s="93"/>
      <c r="U38" s="93"/>
      <c r="V38" s="40"/>
    </row>
    <row r="39" spans="1:22" x14ac:dyDescent="0.3">
      <c r="A39" s="97" t="s">
        <v>107</v>
      </c>
      <c r="B39" s="14">
        <f t="shared" si="1"/>
        <v>160</v>
      </c>
      <c r="C39" s="14">
        <f t="shared" si="2"/>
        <v>0</v>
      </c>
      <c r="D39" s="14">
        <f t="shared" si="3"/>
        <v>0</v>
      </c>
      <c r="E39" s="14">
        <f t="shared" si="4"/>
        <v>0</v>
      </c>
      <c r="F39" s="14">
        <f t="shared" si="5"/>
        <v>0</v>
      </c>
      <c r="G39" s="14">
        <f t="shared" si="6"/>
        <v>0</v>
      </c>
      <c r="H39" s="14">
        <f t="shared" si="7"/>
        <v>0</v>
      </c>
      <c r="I39" s="14">
        <f t="shared" si="8"/>
        <v>0</v>
      </c>
      <c r="J39" s="14">
        <f t="shared" si="9"/>
        <v>0</v>
      </c>
      <c r="K39" s="14">
        <f t="shared" si="10"/>
        <v>0</v>
      </c>
      <c r="M39" s="41">
        <v>200</v>
      </c>
      <c r="N39" s="94"/>
      <c r="O39" s="94"/>
      <c r="P39" s="94"/>
      <c r="Q39" s="94"/>
      <c r="R39" s="94"/>
      <c r="S39" s="94"/>
      <c r="T39" s="94"/>
      <c r="U39" s="94"/>
      <c r="V39" s="42"/>
    </row>
    <row r="40" spans="1:22" x14ac:dyDescent="0.3">
      <c r="A40" s="96" t="s">
        <v>108</v>
      </c>
      <c r="B40" s="14">
        <f t="shared" si="1"/>
        <v>160</v>
      </c>
      <c r="C40" s="14">
        <f t="shared" si="2"/>
        <v>0</v>
      </c>
      <c r="D40" s="14">
        <f t="shared" si="3"/>
        <v>0</v>
      </c>
      <c r="E40" s="14">
        <f t="shared" si="4"/>
        <v>0</v>
      </c>
      <c r="F40" s="14">
        <f t="shared" si="5"/>
        <v>0</v>
      </c>
      <c r="G40" s="14">
        <f t="shared" si="6"/>
        <v>0</v>
      </c>
      <c r="H40" s="14">
        <f t="shared" si="7"/>
        <v>0</v>
      </c>
      <c r="I40" s="14">
        <f t="shared" si="8"/>
        <v>0</v>
      </c>
      <c r="J40" s="14">
        <f t="shared" si="9"/>
        <v>0</v>
      </c>
      <c r="K40" s="14">
        <f t="shared" si="10"/>
        <v>0</v>
      </c>
      <c r="M40" s="39">
        <v>200</v>
      </c>
      <c r="N40" s="93"/>
      <c r="O40" s="93"/>
      <c r="P40" s="93"/>
      <c r="Q40" s="93"/>
      <c r="R40" s="93"/>
      <c r="S40" s="93"/>
      <c r="T40" s="93"/>
      <c r="U40" s="93"/>
      <c r="V40" s="40"/>
    </row>
    <row r="73" spans="17:17" x14ac:dyDescent="0.3">
      <c r="Q73" t="e">
        <f>R35*Prix!D18:H33</f>
        <v>#VALUE!</v>
      </c>
    </row>
  </sheetData>
  <mergeCells count="2">
    <mergeCell ref="B16:K16"/>
    <mergeCell ref="M16:V16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opLeftCell="A31" workbookViewId="0">
      <selection activeCell="C57" sqref="C57"/>
    </sheetView>
  </sheetViews>
  <sheetFormatPr baseColWidth="10" defaultRowHeight="14.4" x14ac:dyDescent="0.3"/>
  <cols>
    <col min="1" max="1" width="102.21875" bestFit="1" customWidth="1"/>
    <col min="2" max="2" width="28.21875" bestFit="1" customWidth="1"/>
    <col min="3" max="3" width="16.21875" customWidth="1"/>
    <col min="10" max="10" width="13.5546875" bestFit="1" customWidth="1"/>
    <col min="11" max="11" width="14.21875" bestFit="1" customWidth="1"/>
    <col min="12" max="12" width="15" bestFit="1" customWidth="1"/>
    <col min="13" max="15" width="13.21875" bestFit="1" customWidth="1"/>
    <col min="16" max="16" width="6.21875" bestFit="1" customWidth="1"/>
  </cols>
  <sheetData>
    <row r="1" spans="1:15" x14ac:dyDescent="0.3">
      <c r="A1" s="36" t="s">
        <v>58</v>
      </c>
      <c r="B1" s="36">
        <v>1</v>
      </c>
      <c r="C1" s="37">
        <v>2</v>
      </c>
      <c r="D1" s="37">
        <v>3</v>
      </c>
      <c r="E1" s="38">
        <v>4</v>
      </c>
      <c r="F1" s="37">
        <v>5</v>
      </c>
      <c r="G1" s="38">
        <v>6</v>
      </c>
      <c r="I1" s="36" t="s">
        <v>112</v>
      </c>
      <c r="J1" s="36">
        <v>1</v>
      </c>
      <c r="K1" s="37">
        <v>2</v>
      </c>
      <c r="L1" s="37">
        <v>3</v>
      </c>
      <c r="M1" s="38">
        <v>4</v>
      </c>
      <c r="N1" s="37">
        <v>5</v>
      </c>
      <c r="O1" s="38">
        <v>6</v>
      </c>
    </row>
    <row r="2" spans="1:15" x14ac:dyDescent="0.3">
      <c r="A2" s="39" t="s">
        <v>29</v>
      </c>
      <c r="B2" s="40">
        <v>15</v>
      </c>
      <c r="C2" s="39"/>
      <c r="D2" s="40"/>
      <c r="E2" s="39"/>
      <c r="F2" s="40"/>
      <c r="G2" s="40"/>
      <c r="I2" s="39" t="s">
        <v>29</v>
      </c>
      <c r="J2" s="52" t="e">
        <f>#REF!</f>
        <v>#REF!</v>
      </c>
      <c r="K2" s="53"/>
      <c r="L2" s="52"/>
      <c r="M2" s="53"/>
      <c r="N2" s="52"/>
      <c r="O2" s="52"/>
    </row>
    <row r="3" spans="1:15" x14ac:dyDescent="0.3">
      <c r="A3" s="41" t="s">
        <v>77</v>
      </c>
      <c r="B3" s="42">
        <v>493</v>
      </c>
      <c r="C3" s="41">
        <v>436</v>
      </c>
      <c r="D3" s="42">
        <v>336</v>
      </c>
      <c r="E3" s="41"/>
      <c r="F3" s="42"/>
      <c r="G3" s="42"/>
      <c r="I3" s="41" t="s">
        <v>77</v>
      </c>
      <c r="J3" s="54" t="e">
        <f>#REF!</f>
        <v>#REF!</v>
      </c>
      <c r="K3" s="55" t="e">
        <f>#REF!</f>
        <v>#REF!</v>
      </c>
      <c r="L3" s="54" t="e">
        <f>#REF!</f>
        <v>#REF!</v>
      </c>
      <c r="M3" s="55"/>
      <c r="N3" s="54"/>
      <c r="O3" s="54"/>
    </row>
    <row r="4" spans="1:15" x14ac:dyDescent="0.3">
      <c r="A4" s="39" t="s">
        <v>31</v>
      </c>
      <c r="B4" s="40">
        <v>229.33333333333334</v>
      </c>
      <c r="C4" s="39">
        <v>184.66666666666666</v>
      </c>
      <c r="D4" s="40">
        <v>146.33333333333334</v>
      </c>
      <c r="E4" s="39"/>
      <c r="F4" s="40"/>
      <c r="G4" s="40"/>
      <c r="I4" s="39" t="s">
        <v>31</v>
      </c>
      <c r="J4" s="52" t="e">
        <f>#REF!</f>
        <v>#REF!</v>
      </c>
      <c r="K4" s="53" t="e">
        <f>#REF!</f>
        <v>#REF!</v>
      </c>
      <c r="L4" s="52" t="e">
        <f>#REF!</f>
        <v>#REF!</v>
      </c>
      <c r="M4" s="53"/>
      <c r="N4" s="52"/>
      <c r="O4" s="52"/>
    </row>
    <row r="5" spans="1:15" x14ac:dyDescent="0.3">
      <c r="A5" s="41" t="s">
        <v>21</v>
      </c>
      <c r="B5" s="42">
        <v>268.25231481481484</v>
      </c>
      <c r="C5" s="41">
        <v>191.875</v>
      </c>
      <c r="D5" s="42">
        <v>161.16512345679013</v>
      </c>
      <c r="E5" s="41">
        <v>131.58564814814815</v>
      </c>
      <c r="F5" s="42">
        <v>95.837191358024683</v>
      </c>
      <c r="G5" s="42"/>
      <c r="I5" s="41" t="s">
        <v>21</v>
      </c>
      <c r="J5" s="54"/>
      <c r="K5" s="55"/>
      <c r="L5" s="54"/>
      <c r="M5" s="55"/>
      <c r="N5" s="54"/>
      <c r="O5" s="54"/>
    </row>
    <row r="6" spans="1:15" x14ac:dyDescent="0.3">
      <c r="A6" s="39" t="s">
        <v>30</v>
      </c>
      <c r="B6" s="40">
        <v>202</v>
      </c>
      <c r="C6" s="39">
        <v>160</v>
      </c>
      <c r="D6" s="40">
        <v>119</v>
      </c>
      <c r="E6" s="39"/>
      <c r="F6" s="40"/>
      <c r="G6" s="40"/>
      <c r="I6" s="39" t="s">
        <v>30</v>
      </c>
      <c r="J6" s="52" t="e">
        <f>#REF!</f>
        <v>#REF!</v>
      </c>
      <c r="K6" s="53" t="e">
        <f>#REF!</f>
        <v>#REF!</v>
      </c>
      <c r="L6" s="52" t="e">
        <f>#REF!</f>
        <v>#REF!</v>
      </c>
      <c r="M6" s="53"/>
      <c r="N6" s="52"/>
      <c r="O6" s="52"/>
    </row>
    <row r="7" spans="1:15" x14ac:dyDescent="0.3">
      <c r="A7" s="41" t="s">
        <v>64</v>
      </c>
      <c r="B7" s="42">
        <v>179</v>
      </c>
      <c r="C7" s="41">
        <v>146</v>
      </c>
      <c r="D7" s="42">
        <v>117</v>
      </c>
      <c r="E7" s="41">
        <v>86</v>
      </c>
      <c r="F7" s="42"/>
      <c r="G7" s="42"/>
      <c r="I7" s="41" t="s">
        <v>64</v>
      </c>
      <c r="J7" s="54" t="e">
        <f>#REF!</f>
        <v>#REF!</v>
      </c>
      <c r="K7" s="55" t="e">
        <f>#REF!</f>
        <v>#REF!</v>
      </c>
      <c r="L7" s="54" t="e">
        <f>#REF!</f>
        <v>#REF!</v>
      </c>
      <c r="M7" s="55" t="e">
        <f>#REF!</f>
        <v>#REF!</v>
      </c>
      <c r="N7" s="54"/>
      <c r="O7" s="54"/>
    </row>
    <row r="8" spans="1:15" x14ac:dyDescent="0.3">
      <c r="A8" s="39" t="s">
        <v>67</v>
      </c>
      <c r="B8" s="40">
        <v>286</v>
      </c>
      <c r="C8" s="39">
        <v>134</v>
      </c>
      <c r="D8" s="40"/>
      <c r="E8" s="39"/>
      <c r="F8" s="40"/>
      <c r="G8" s="40"/>
      <c r="I8" s="39" t="s">
        <v>59</v>
      </c>
      <c r="J8" s="52" t="e">
        <f>#REF!</f>
        <v>#REF!</v>
      </c>
      <c r="K8" s="53" t="e">
        <f>#REF!</f>
        <v>#REF!</v>
      </c>
      <c r="L8" s="52"/>
      <c r="M8" s="53"/>
      <c r="N8" s="52"/>
      <c r="O8" s="52"/>
    </row>
    <row r="9" spans="1:15" x14ac:dyDescent="0.3">
      <c r="A9" s="41" t="s">
        <v>62</v>
      </c>
      <c r="B9" s="42">
        <v>463</v>
      </c>
      <c r="C9" s="41">
        <v>425</v>
      </c>
      <c r="D9" s="42">
        <v>346</v>
      </c>
      <c r="E9" s="41">
        <v>258</v>
      </c>
      <c r="F9" s="42">
        <v>161</v>
      </c>
      <c r="G9" s="42">
        <v>155.6</v>
      </c>
      <c r="I9" s="41" t="s">
        <v>62</v>
      </c>
      <c r="J9" s="54" t="e">
        <f>#REF!</f>
        <v>#REF!</v>
      </c>
      <c r="K9" s="55" t="e">
        <f>#REF!</f>
        <v>#REF!</v>
      </c>
      <c r="L9" s="54" t="e">
        <f>#REF!</f>
        <v>#REF!</v>
      </c>
      <c r="M9" s="55" t="e">
        <f>#REF!</f>
        <v>#REF!</v>
      </c>
      <c r="N9" s="54" t="e">
        <f>#REF!</f>
        <v>#REF!</v>
      </c>
      <c r="O9" s="54" t="e">
        <f>#REF!</f>
        <v>#REF!</v>
      </c>
    </row>
    <row r="10" spans="1:15" x14ac:dyDescent="0.3">
      <c r="A10" s="39" t="s">
        <v>61</v>
      </c>
      <c r="B10" s="40">
        <v>493</v>
      </c>
      <c r="C10" s="39">
        <v>436</v>
      </c>
      <c r="D10" s="40">
        <v>336</v>
      </c>
      <c r="E10" s="39"/>
      <c r="F10" s="40"/>
      <c r="G10" s="40"/>
      <c r="I10" s="39" t="s">
        <v>61</v>
      </c>
      <c r="J10" s="52"/>
      <c r="K10" s="53"/>
      <c r="L10" s="52"/>
      <c r="M10" s="53"/>
      <c r="N10" s="52"/>
      <c r="O10" s="52"/>
    </row>
    <row r="11" spans="1:15" x14ac:dyDescent="0.3">
      <c r="A11" s="42" t="s">
        <v>60</v>
      </c>
      <c r="B11" s="42">
        <v>493</v>
      </c>
      <c r="C11" s="41">
        <v>436</v>
      </c>
      <c r="D11" s="42">
        <v>336</v>
      </c>
      <c r="E11" s="41"/>
      <c r="F11" s="42"/>
      <c r="G11" s="42"/>
      <c r="I11" s="42" t="s">
        <v>60</v>
      </c>
      <c r="J11" s="54" t="e">
        <f>J3</f>
        <v>#REF!</v>
      </c>
      <c r="K11" s="55" t="e">
        <f t="shared" ref="K11:L11" si="0">K3</f>
        <v>#REF!</v>
      </c>
      <c r="L11" s="54" t="e">
        <f t="shared" si="0"/>
        <v>#REF!</v>
      </c>
      <c r="M11" s="55"/>
      <c r="N11" s="54"/>
      <c r="O11" s="54"/>
    </row>
    <row r="14" spans="1:15" x14ac:dyDescent="0.3">
      <c r="A14" t="s">
        <v>68</v>
      </c>
      <c r="B14" t="s">
        <v>20</v>
      </c>
    </row>
    <row r="15" spans="1:15" x14ac:dyDescent="0.3">
      <c r="A15" t="s">
        <v>29</v>
      </c>
      <c r="B15">
        <v>0.57999999999999996</v>
      </c>
    </row>
    <row r="16" spans="1:15" x14ac:dyDescent="0.3">
      <c r="A16" t="str">
        <f>A3</f>
        <v xml:space="preserve">Douglas </v>
      </c>
      <c r="B16">
        <v>0.43</v>
      </c>
    </row>
    <row r="17" spans="1:2" x14ac:dyDescent="0.3">
      <c r="A17" t="s">
        <v>31</v>
      </c>
      <c r="B17">
        <v>0.46</v>
      </c>
    </row>
    <row r="18" spans="1:2" x14ac:dyDescent="0.3">
      <c r="A18" t="s">
        <v>21</v>
      </c>
      <c r="B18">
        <v>0.47</v>
      </c>
    </row>
    <row r="19" spans="1:2" x14ac:dyDescent="0.3">
      <c r="A19" t="s">
        <v>30</v>
      </c>
      <c r="B19">
        <v>0.46</v>
      </c>
    </row>
    <row r="20" spans="1:2" x14ac:dyDescent="0.3">
      <c r="A20" t="s">
        <v>64</v>
      </c>
      <c r="B20">
        <v>0.44</v>
      </c>
    </row>
    <row r="21" spans="1:2" x14ac:dyDescent="0.3">
      <c r="A21" t="s">
        <v>67</v>
      </c>
      <c r="B21">
        <v>0.36</v>
      </c>
    </row>
    <row r="22" spans="1:2" x14ac:dyDescent="0.3">
      <c r="A22" t="s">
        <v>62</v>
      </c>
      <c r="B22">
        <v>0.36</v>
      </c>
    </row>
    <row r="23" spans="1:2" x14ac:dyDescent="0.3">
      <c r="A23" t="s">
        <v>60</v>
      </c>
      <c r="B23">
        <v>0.43</v>
      </c>
    </row>
    <row r="24" spans="1:2" x14ac:dyDescent="0.3">
      <c r="A24" t="s">
        <v>61</v>
      </c>
    </row>
    <row r="26" spans="1:2" x14ac:dyDescent="0.3">
      <c r="A26" t="s">
        <v>70</v>
      </c>
      <c r="B26" t="s">
        <v>71</v>
      </c>
    </row>
    <row r="27" spans="1:2" x14ac:dyDescent="0.3">
      <c r="A27" t="s">
        <v>56</v>
      </c>
      <c r="B27">
        <v>1.52</v>
      </c>
    </row>
    <row r="28" spans="1:2" x14ac:dyDescent="0.3">
      <c r="A28" t="s">
        <v>65</v>
      </c>
      <c r="B28">
        <f>0.77*0.56</f>
        <v>0.43120000000000003</v>
      </c>
    </row>
    <row r="29" spans="1:2" x14ac:dyDescent="0.3">
      <c r="A29" t="s">
        <v>66</v>
      </c>
      <c r="B29">
        <f>0.25</f>
        <v>0.25</v>
      </c>
    </row>
    <row r="31" spans="1:2" x14ac:dyDescent="0.3">
      <c r="A31" t="s">
        <v>72</v>
      </c>
      <c r="B31" t="s">
        <v>20</v>
      </c>
    </row>
    <row r="32" spans="1:2" x14ac:dyDescent="0.3">
      <c r="A32" t="s">
        <v>29</v>
      </c>
      <c r="B32">
        <v>1</v>
      </c>
    </row>
    <row r="33" spans="1:2" x14ac:dyDescent="0.3">
      <c r="A33" t="s">
        <v>32</v>
      </c>
      <c r="B33">
        <v>3</v>
      </c>
    </row>
    <row r="34" spans="1:2" x14ac:dyDescent="0.3">
      <c r="A34" t="s">
        <v>31</v>
      </c>
      <c r="B34">
        <v>3</v>
      </c>
    </row>
    <row r="35" spans="1:2" x14ac:dyDescent="0.3">
      <c r="A35" t="s">
        <v>21</v>
      </c>
      <c r="B35">
        <v>5</v>
      </c>
    </row>
    <row r="36" spans="1:2" x14ac:dyDescent="0.3">
      <c r="A36" t="s">
        <v>30</v>
      </c>
      <c r="B36">
        <v>3</v>
      </c>
    </row>
    <row r="37" spans="1:2" x14ac:dyDescent="0.3">
      <c r="A37" t="s">
        <v>64</v>
      </c>
      <c r="B37">
        <v>5</v>
      </c>
    </row>
    <row r="38" spans="1:2" x14ac:dyDescent="0.3">
      <c r="A38" t="s">
        <v>59</v>
      </c>
      <c r="B38">
        <v>2</v>
      </c>
    </row>
    <row r="39" spans="1:2" x14ac:dyDescent="0.3">
      <c r="A39" t="s">
        <v>62</v>
      </c>
      <c r="B39">
        <v>6</v>
      </c>
    </row>
    <row r="40" spans="1:2" x14ac:dyDescent="0.3">
      <c r="A40" t="s">
        <v>61</v>
      </c>
    </row>
    <row r="41" spans="1:2" x14ac:dyDescent="0.3">
      <c r="A41" t="s">
        <v>60</v>
      </c>
      <c r="B41">
        <v>3</v>
      </c>
    </row>
    <row r="43" spans="1:2" x14ac:dyDescent="0.3">
      <c r="A43" s="39" t="s">
        <v>137</v>
      </c>
    </row>
    <row r="44" spans="1:2" x14ac:dyDescent="0.3">
      <c r="A44" s="41" t="s">
        <v>138</v>
      </c>
    </row>
    <row r="45" spans="1:2" x14ac:dyDescent="0.3">
      <c r="A45" s="39" t="s">
        <v>139</v>
      </c>
    </row>
    <row r="46" spans="1:2" x14ac:dyDescent="0.3">
      <c r="A46" s="41" t="s">
        <v>140</v>
      </c>
    </row>
    <row r="47" spans="1:2" x14ac:dyDescent="0.3">
      <c r="A47" s="39" t="s">
        <v>141</v>
      </c>
    </row>
    <row r="48" spans="1:2" x14ac:dyDescent="0.3">
      <c r="A48" s="41" t="s">
        <v>142</v>
      </c>
    </row>
    <row r="49" spans="1:1" x14ac:dyDescent="0.3">
      <c r="A49" s="39" t="s">
        <v>136</v>
      </c>
    </row>
    <row r="50" spans="1:1" x14ac:dyDescent="0.3">
      <c r="A50" s="41" t="s">
        <v>143</v>
      </c>
    </row>
    <row r="51" spans="1:1" x14ac:dyDescent="0.3">
      <c r="A51" s="39" t="s">
        <v>61</v>
      </c>
    </row>
    <row r="52" spans="1:1" x14ac:dyDescent="0.3">
      <c r="A52" s="42" t="s">
        <v>144</v>
      </c>
    </row>
    <row r="54" spans="1:1" x14ac:dyDescent="0.3">
      <c r="A54" t="s">
        <v>145</v>
      </c>
    </row>
    <row r="55" spans="1:1" x14ac:dyDescent="0.3">
      <c r="A55" s="1">
        <v>0</v>
      </c>
    </row>
    <row r="56" spans="1:1" x14ac:dyDescent="0.3">
      <c r="A56" s="1">
        <v>0.05</v>
      </c>
    </row>
    <row r="57" spans="1:1" x14ac:dyDescent="0.3">
      <c r="A57" s="1">
        <v>0.1</v>
      </c>
    </row>
    <row r="58" spans="1:1" x14ac:dyDescent="0.3">
      <c r="A58" s="1">
        <v>0.15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6</vt:i4>
      </vt:variant>
    </vt:vector>
  </HeadingPairs>
  <TitlesOfParts>
    <vt:vector size="11" baseType="lpstr">
      <vt:lpstr>Methode VERRA</vt:lpstr>
      <vt:lpstr>2-REA</vt:lpstr>
      <vt:lpstr>VAN</vt:lpstr>
      <vt:lpstr>Prix</vt:lpstr>
      <vt:lpstr>Liste</vt:lpstr>
      <vt:lpstr>CF</vt:lpstr>
      <vt:lpstr>d</vt:lpstr>
      <vt:lpstr>ESS</vt:lpstr>
      <vt:lpstr>Rab</vt:lpstr>
      <vt:lpstr>TP</vt:lpstr>
      <vt:lpstr>TPR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Lopez</dc:creator>
  <cp:lastModifiedBy>manon Lopez</cp:lastModifiedBy>
  <cp:lastPrinted>2020-01-31T16:30:47Z</cp:lastPrinted>
  <dcterms:created xsi:type="dcterms:W3CDTF">2019-10-04T15:03:08Z</dcterms:created>
  <dcterms:modified xsi:type="dcterms:W3CDTF">2020-04-23T09:46:40Z</dcterms:modified>
</cp:coreProperties>
</file>