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G:\Mon Drive\01_PP\02_Projects\00_Projects\EU\France\02_PROJECTS\02_CU_Projects\03_PUR_Méditerranée\02_Roll_out\01_Design\Vague_2_2020-2021\Oscar_CUILLE_LBC\Dossier_LBC\"/>
    </mc:Choice>
  </mc:AlternateContent>
  <xr:revisionPtr revIDLastSave="0" documentId="13_ncr:1_{8F196282-BDBB-4203-ACC7-E505B035EB47}" xr6:coauthVersionLast="45" xr6:coauthVersionMax="45" xr10:uidLastSave="{00000000-0000-0000-0000-000000000000}"/>
  <bookViews>
    <workbookView xWindow="-110" yWindow="-110" windowWidth="19420" windowHeight="10420" activeTab="2" xr2:uid="{00000000-000D-0000-FFFF-FFFF00000000}"/>
  </bookViews>
  <sheets>
    <sheet name="Notice" sheetId="9" r:id="rId1"/>
    <sheet name="Sref" sheetId="8" r:id="rId2"/>
    <sheet name="Sprojet" sheetId="7" r:id="rId3"/>
    <sheet name="Sref et proj.an" sheetId="3" r:id="rId4"/>
    <sheet name="REA forêt" sheetId="6" r:id="rId5"/>
  </sheets>
  <externalReferences>
    <externalReference r:id="rId6"/>
  </externalReferences>
  <definedNames>
    <definedName name="Actual_land_use_list">OFFSET([1]!Lists_table[[#Headers],[Land-use before planting_code]],1,0,COUNTA([1]!Lists_table[Land-use before planting_code])-COUNTBLANK([1]!Lists_table[Land-use before planting_code]),1)</definedName>
    <definedName name="Farmer_gender_list">OFFSET([1]!Lists_table[[#Headers],[Farmer''s gender]],1,0,COUNTA([1]!Lists_table[Farmer''s gender])-COUNTBLANK([1]!Lists_table[Farmer''s gender]),1)</definedName>
    <definedName name="Plantation_wave">OFFSET([1]!Lists_table[[#Headers],[Plantation wave]],1,0,COUNTA([1]!Lists_table[Plantation wave])-COUNTBLANK([1]!Lists_table[Plantation wave]),1)</definedName>
  </definedNames>
  <calcPr calcId="191029"/>
  <customWorkbookViews>
    <customWorkbookView name="flore.hirsch - Affichage personnalisé" guid="{A0612D6A-DABA-499E-807C-52372A8093CE}" mergeInterval="0" personalView="1" maximized="1" xWindow="1" yWindow="1" windowWidth="1676" windowHeight="859"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 i="6" l="1"/>
  <c r="E28" i="7" l="1"/>
  <c r="E21" i="8" l="1"/>
  <c r="B16" i="3"/>
  <c r="C42" i="3" l="1"/>
  <c r="D42" i="3"/>
  <c r="E42" i="3"/>
  <c r="F42" i="3"/>
  <c r="G42" i="3"/>
  <c r="H42" i="3"/>
  <c r="I42" i="3"/>
  <c r="J42" i="3"/>
  <c r="K42" i="3"/>
  <c r="L42" i="3"/>
  <c r="M42" i="3"/>
  <c r="N42" i="3"/>
  <c r="O42" i="3"/>
  <c r="P42" i="3"/>
  <c r="Q42" i="3"/>
  <c r="R42" i="3"/>
  <c r="S42" i="3"/>
  <c r="T42" i="3"/>
  <c r="U42" i="3"/>
  <c r="V42" i="3"/>
  <c r="W42" i="3"/>
  <c r="X42" i="3"/>
  <c r="Y42" i="3"/>
  <c r="Z42" i="3"/>
  <c r="AA42" i="3"/>
  <c r="AB42" i="3"/>
  <c r="AC42" i="3"/>
  <c r="AD42" i="3"/>
  <c r="AE42" i="3"/>
  <c r="B42" i="3"/>
  <c r="B24" i="3"/>
  <c r="B33" i="3"/>
  <c r="C33" i="3" s="1"/>
  <c r="D33" i="3" s="1"/>
  <c r="E33" i="3" s="1"/>
  <c r="F33" i="3" s="1"/>
  <c r="G33" i="3" s="1"/>
  <c r="H33" i="3" s="1"/>
  <c r="I33" i="3" s="1"/>
  <c r="J33" i="3" s="1"/>
  <c r="K33" i="3" s="1"/>
  <c r="L33" i="3" s="1"/>
  <c r="M33" i="3" s="1"/>
  <c r="N33" i="3" s="1"/>
  <c r="O33" i="3" s="1"/>
  <c r="P33" i="3" s="1"/>
  <c r="Q33" i="3" s="1"/>
  <c r="R33" i="3" s="1"/>
  <c r="S33" i="3" s="1"/>
  <c r="T33" i="3" s="1"/>
  <c r="U33" i="3" s="1"/>
  <c r="V33" i="3" s="1"/>
  <c r="W33" i="3" s="1"/>
  <c r="X33" i="3" s="1"/>
  <c r="Y33" i="3" s="1"/>
  <c r="Z33" i="3" s="1"/>
  <c r="AA33" i="3" s="1"/>
  <c r="AB33" i="3" s="1"/>
  <c r="AC33" i="3" s="1"/>
  <c r="AD33" i="3" s="1"/>
  <c r="AE33" i="3" s="1"/>
  <c r="C24" i="3" l="1"/>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B17" i="3"/>
  <c r="C17" i="3" s="1"/>
  <c r="B18" i="3"/>
  <c r="C18" i="3" s="1"/>
  <c r="D18" i="3" s="1"/>
  <c r="E18" i="3" s="1"/>
  <c r="F18" i="3" s="1"/>
  <c r="G18" i="3" s="1"/>
  <c r="H18" i="3" s="1"/>
  <c r="I18" i="3" s="1"/>
  <c r="J18" i="3" s="1"/>
  <c r="K18" i="3" s="1"/>
  <c r="L18" i="3" s="1"/>
  <c r="M18" i="3" s="1"/>
  <c r="N18" i="3" s="1"/>
  <c r="O18" i="3" s="1"/>
  <c r="P18" i="3" s="1"/>
  <c r="Q18" i="3" s="1"/>
  <c r="R18" i="3" s="1"/>
  <c r="S18" i="3" s="1"/>
  <c r="T18" i="3" s="1"/>
  <c r="U18" i="3" s="1"/>
  <c r="V18" i="3" s="1"/>
  <c r="W18" i="3" s="1"/>
  <c r="X18" i="3" s="1"/>
  <c r="Y18" i="3" s="1"/>
  <c r="Z18" i="3" s="1"/>
  <c r="AA18" i="3" s="1"/>
  <c r="AB18" i="3" s="1"/>
  <c r="AC18" i="3" s="1"/>
  <c r="AD18" i="3" s="1"/>
  <c r="AE18" i="3" s="1"/>
  <c r="B19" i="3"/>
  <c r="C19" i="3" s="1"/>
  <c r="D19" i="3" s="1"/>
  <c r="E19" i="3" s="1"/>
  <c r="F19" i="3" s="1"/>
  <c r="G19" i="3" s="1"/>
  <c r="H19" i="3" s="1"/>
  <c r="I19" i="3" s="1"/>
  <c r="J19" i="3" s="1"/>
  <c r="K19" i="3" s="1"/>
  <c r="L19" i="3" s="1"/>
  <c r="M19" i="3" s="1"/>
  <c r="N19" i="3" s="1"/>
  <c r="O19" i="3" s="1"/>
  <c r="P19" i="3" s="1"/>
  <c r="Q19" i="3" s="1"/>
  <c r="R19" i="3" s="1"/>
  <c r="S19" i="3" s="1"/>
  <c r="T19" i="3" s="1"/>
  <c r="U19" i="3" s="1"/>
  <c r="V19" i="3" s="1"/>
  <c r="W19" i="3" s="1"/>
  <c r="X19" i="3" s="1"/>
  <c r="Y19" i="3" s="1"/>
  <c r="Z19" i="3" s="1"/>
  <c r="AA19" i="3" s="1"/>
  <c r="AB19" i="3" s="1"/>
  <c r="AC19" i="3" s="1"/>
  <c r="AD19" i="3" s="1"/>
  <c r="AE19" i="3" s="1"/>
  <c r="B20" i="3"/>
  <c r="C20" i="3" s="1"/>
  <c r="D20" i="3" s="1"/>
  <c r="E20" i="3" s="1"/>
  <c r="F20" i="3" s="1"/>
  <c r="G20" i="3" s="1"/>
  <c r="H20" i="3" s="1"/>
  <c r="I20" i="3" s="1"/>
  <c r="J20" i="3" s="1"/>
  <c r="K20" i="3" s="1"/>
  <c r="L20" i="3" s="1"/>
  <c r="M20" i="3" s="1"/>
  <c r="N20" i="3" s="1"/>
  <c r="O20" i="3" s="1"/>
  <c r="P20" i="3" s="1"/>
  <c r="Q20" i="3" s="1"/>
  <c r="R20" i="3" s="1"/>
  <c r="S20" i="3" s="1"/>
  <c r="T20" i="3" s="1"/>
  <c r="U20" i="3" s="1"/>
  <c r="V20" i="3" s="1"/>
  <c r="W20" i="3" s="1"/>
  <c r="X20" i="3" s="1"/>
  <c r="Y20" i="3" s="1"/>
  <c r="Z20" i="3" s="1"/>
  <c r="AA20" i="3" s="1"/>
  <c r="AB20" i="3" s="1"/>
  <c r="AC20" i="3" s="1"/>
  <c r="AD20" i="3" s="1"/>
  <c r="AE20" i="3" s="1"/>
  <c r="C10" i="3"/>
  <c r="D10" i="3" s="1"/>
  <c r="E10" i="3" s="1"/>
  <c r="C11" i="3"/>
  <c r="D11" i="3" s="1"/>
  <c r="E11" i="3" s="1"/>
  <c r="F11" i="3" s="1"/>
  <c r="G11" i="3" s="1"/>
  <c r="H11" i="3" s="1"/>
  <c r="I11" i="3" s="1"/>
  <c r="J11" i="3" s="1"/>
  <c r="K11" i="3" s="1"/>
  <c r="L11" i="3" s="1"/>
  <c r="M11" i="3" s="1"/>
  <c r="N11" i="3" s="1"/>
  <c r="O11" i="3" s="1"/>
  <c r="P11" i="3" s="1"/>
  <c r="Q11" i="3" s="1"/>
  <c r="R11" i="3" s="1"/>
  <c r="S11" i="3" s="1"/>
  <c r="T11" i="3" s="1"/>
  <c r="U11" i="3" s="1"/>
  <c r="V11" i="3" s="1"/>
  <c r="W11" i="3" s="1"/>
  <c r="X11" i="3" s="1"/>
  <c r="Y11" i="3" s="1"/>
  <c r="Z11" i="3" s="1"/>
  <c r="AA11" i="3" s="1"/>
  <c r="AB11" i="3" s="1"/>
  <c r="AC11" i="3" s="1"/>
  <c r="AD11" i="3" s="1"/>
  <c r="AE11" i="3" s="1"/>
  <c r="C12" i="3"/>
  <c r="D12" i="3" s="1"/>
  <c r="E12" i="3" s="1"/>
  <c r="F12" i="3" s="1"/>
  <c r="G12" i="3" s="1"/>
  <c r="H12" i="3" s="1"/>
  <c r="I12" i="3" s="1"/>
  <c r="J12" i="3" s="1"/>
  <c r="K12" i="3" s="1"/>
  <c r="L12" i="3" s="1"/>
  <c r="M12" i="3" s="1"/>
  <c r="N12" i="3" s="1"/>
  <c r="O12" i="3" s="1"/>
  <c r="P12" i="3" s="1"/>
  <c r="Q12" i="3" s="1"/>
  <c r="R12" i="3" s="1"/>
  <c r="S12" i="3" s="1"/>
  <c r="T12" i="3" s="1"/>
  <c r="U12" i="3" s="1"/>
  <c r="V12" i="3" s="1"/>
  <c r="W12" i="3" s="1"/>
  <c r="X12" i="3" s="1"/>
  <c r="Y12" i="3" s="1"/>
  <c r="Z12" i="3" s="1"/>
  <c r="AA12" i="3" s="1"/>
  <c r="AB12" i="3" s="1"/>
  <c r="AC12" i="3" s="1"/>
  <c r="AD12" i="3" s="1"/>
  <c r="AE12" i="3" s="1"/>
  <c r="C13" i="3"/>
  <c r="D13" i="3" s="1"/>
  <c r="E13" i="3" s="1"/>
  <c r="F13" i="3" s="1"/>
  <c r="G13" i="3" s="1"/>
  <c r="H13" i="3" s="1"/>
  <c r="I13" i="3" s="1"/>
  <c r="J13" i="3" s="1"/>
  <c r="K13" i="3" s="1"/>
  <c r="L13" i="3" s="1"/>
  <c r="M13" i="3" s="1"/>
  <c r="N13" i="3" s="1"/>
  <c r="O13" i="3" s="1"/>
  <c r="P13" i="3" s="1"/>
  <c r="Q13" i="3" s="1"/>
  <c r="R13" i="3" s="1"/>
  <c r="S13" i="3" s="1"/>
  <c r="T13" i="3" s="1"/>
  <c r="U13" i="3" s="1"/>
  <c r="V13" i="3" s="1"/>
  <c r="W13" i="3" s="1"/>
  <c r="X13" i="3" s="1"/>
  <c r="Y13" i="3" s="1"/>
  <c r="Z13" i="3" s="1"/>
  <c r="AA13" i="3" s="1"/>
  <c r="AB13" i="3" s="1"/>
  <c r="AC13" i="3" s="1"/>
  <c r="AD13" i="3" s="1"/>
  <c r="AE13" i="3" s="1"/>
  <c r="C9" i="3"/>
  <c r="D9" i="3" s="1"/>
  <c r="E9" i="3" s="1"/>
  <c r="F9" i="3" s="1"/>
  <c r="B14" i="3"/>
  <c r="D22" i="8"/>
  <c r="E22" i="8" s="1"/>
  <c r="F22" i="8" s="1"/>
  <c r="D23" i="8"/>
  <c r="E23" i="8" s="1"/>
  <c r="F23" i="8" s="1"/>
  <c r="D24" i="8"/>
  <c r="E24" i="8" s="1"/>
  <c r="F24" i="8" s="1"/>
  <c r="D25" i="8"/>
  <c r="E25" i="8" s="1"/>
  <c r="F25" i="8" s="1"/>
  <c r="D21" i="8"/>
  <c r="C26" i="8"/>
  <c r="D26" i="8" s="1"/>
  <c r="E26" i="8" s="1"/>
  <c r="F21" i="8" l="1"/>
  <c r="B21" i="3"/>
  <c r="B22" i="3" s="1"/>
  <c r="B23" i="3" s="1"/>
  <c r="C16" i="3"/>
  <c r="D16" i="3" s="1"/>
  <c r="E16" i="3" s="1"/>
  <c r="F16" i="3" s="1"/>
  <c r="G16" i="3" s="1"/>
  <c r="H16" i="3" s="1"/>
  <c r="I16" i="3" s="1"/>
  <c r="J16" i="3" s="1"/>
  <c r="K16" i="3" s="1"/>
  <c r="L16" i="3" s="1"/>
  <c r="M16" i="3" s="1"/>
  <c r="N16" i="3" s="1"/>
  <c r="O16" i="3" s="1"/>
  <c r="P16" i="3" s="1"/>
  <c r="Q16" i="3" s="1"/>
  <c r="R16" i="3" s="1"/>
  <c r="S16" i="3" s="1"/>
  <c r="T16" i="3" s="1"/>
  <c r="U16" i="3" s="1"/>
  <c r="V16" i="3" s="1"/>
  <c r="W16" i="3" s="1"/>
  <c r="X16" i="3" s="1"/>
  <c r="Y16" i="3" s="1"/>
  <c r="Z16" i="3" s="1"/>
  <c r="AA16" i="3" s="1"/>
  <c r="AB16" i="3" s="1"/>
  <c r="AC16" i="3" s="1"/>
  <c r="AD16" i="3" s="1"/>
  <c r="AE16" i="3" s="1"/>
  <c r="D17" i="3"/>
  <c r="E17" i="3" s="1"/>
  <c r="F17" i="3" s="1"/>
  <c r="G17" i="3" s="1"/>
  <c r="H17" i="3" s="1"/>
  <c r="I17" i="3" s="1"/>
  <c r="J17" i="3" s="1"/>
  <c r="K17" i="3" s="1"/>
  <c r="L17" i="3" s="1"/>
  <c r="M17" i="3" s="1"/>
  <c r="N17" i="3" s="1"/>
  <c r="O17" i="3" s="1"/>
  <c r="P17" i="3" s="1"/>
  <c r="Q17" i="3" s="1"/>
  <c r="R17" i="3" s="1"/>
  <c r="S17" i="3" s="1"/>
  <c r="T17" i="3" s="1"/>
  <c r="U17" i="3" s="1"/>
  <c r="V17" i="3" s="1"/>
  <c r="W17" i="3" s="1"/>
  <c r="X17" i="3" s="1"/>
  <c r="Y17" i="3" s="1"/>
  <c r="Z17" i="3" s="1"/>
  <c r="AA17" i="3" s="1"/>
  <c r="AB17" i="3" s="1"/>
  <c r="AC17" i="3" s="1"/>
  <c r="AD17" i="3" s="1"/>
  <c r="AE17" i="3" s="1"/>
  <c r="C14" i="3"/>
  <c r="F10" i="3"/>
  <c r="G10" i="3" s="1"/>
  <c r="H10" i="3" s="1"/>
  <c r="I10" i="3" s="1"/>
  <c r="J10" i="3" s="1"/>
  <c r="K10" i="3" s="1"/>
  <c r="L10" i="3" s="1"/>
  <c r="M10" i="3" s="1"/>
  <c r="N10" i="3" s="1"/>
  <c r="O10" i="3" s="1"/>
  <c r="P10" i="3" s="1"/>
  <c r="Q10" i="3" s="1"/>
  <c r="R10" i="3" s="1"/>
  <c r="S10" i="3" s="1"/>
  <c r="T10" i="3" s="1"/>
  <c r="U10" i="3" s="1"/>
  <c r="V10" i="3" s="1"/>
  <c r="W10" i="3" s="1"/>
  <c r="X10" i="3" s="1"/>
  <c r="Y10" i="3" s="1"/>
  <c r="Z10" i="3" s="1"/>
  <c r="AA10" i="3" s="1"/>
  <c r="AB10" i="3" s="1"/>
  <c r="AC10" i="3" s="1"/>
  <c r="AD10" i="3" s="1"/>
  <c r="AE10" i="3" s="1"/>
  <c r="E14" i="3"/>
  <c r="G9" i="3"/>
  <c r="D14" i="3"/>
  <c r="F26" i="8"/>
  <c r="C30" i="8" s="1"/>
  <c r="C31" i="8" s="1"/>
  <c r="C32" i="8" s="1"/>
  <c r="C33" i="8" l="1"/>
  <c r="C34" i="8" s="1"/>
  <c r="D3" i="6" s="1"/>
  <c r="B25" i="3"/>
  <c r="B26" i="3" s="1"/>
  <c r="C21" i="3"/>
  <c r="C22" i="3" s="1"/>
  <c r="C23" i="3" s="1"/>
  <c r="C25" i="3" s="1"/>
  <c r="C26" i="3" s="1"/>
  <c r="E21" i="3"/>
  <c r="F21" i="3"/>
  <c r="D21" i="3"/>
  <c r="G21" i="3"/>
  <c r="F14" i="3"/>
  <c r="H9" i="3"/>
  <c r="G14" i="3"/>
  <c r="G22" i="3" l="1"/>
  <c r="G23" i="3" s="1"/>
  <c r="G25" i="3" s="1"/>
  <c r="G26" i="3" s="1"/>
  <c r="D22" i="3"/>
  <c r="D23" i="3" s="1"/>
  <c r="D25" i="3" s="1"/>
  <c r="D26" i="3" s="1"/>
  <c r="F22" i="3"/>
  <c r="F23" i="3" s="1"/>
  <c r="F25" i="3" s="1"/>
  <c r="F26" i="3" s="1"/>
  <c r="E22" i="3"/>
  <c r="E23" i="3" s="1"/>
  <c r="E25" i="3" s="1"/>
  <c r="E26" i="3" s="1"/>
  <c r="H21" i="3"/>
  <c r="I9" i="3"/>
  <c r="H14" i="3"/>
  <c r="H22" i="3" l="1"/>
  <c r="H23" i="3" s="1"/>
  <c r="H25" i="3" s="1"/>
  <c r="H26" i="3" s="1"/>
  <c r="I21" i="3"/>
  <c r="J9" i="3"/>
  <c r="I14" i="3"/>
  <c r="I22" i="3" l="1"/>
  <c r="I23" i="3" s="1"/>
  <c r="I25" i="3" s="1"/>
  <c r="I26" i="3" s="1"/>
  <c r="J21" i="3"/>
  <c r="K9" i="3"/>
  <c r="J14" i="3"/>
  <c r="E29" i="7"/>
  <c r="F29" i="7" s="1"/>
  <c r="E30" i="7"/>
  <c r="F30" i="7" s="1"/>
  <c r="E31" i="7"/>
  <c r="F31" i="7" s="1"/>
  <c r="F28" i="7"/>
  <c r="D23" i="7"/>
  <c r="E23" i="7" s="1"/>
  <c r="F23" i="7" s="1"/>
  <c r="D22" i="7"/>
  <c r="E22" i="7" s="1"/>
  <c r="B32" i="3" s="1"/>
  <c r="C32" i="3" s="1"/>
  <c r="D32" i="3" s="1"/>
  <c r="E32" i="3" s="1"/>
  <c r="F32" i="3" s="1"/>
  <c r="G32" i="3" s="1"/>
  <c r="H32" i="3" s="1"/>
  <c r="I32" i="3" s="1"/>
  <c r="J32" i="3" s="1"/>
  <c r="K32" i="3" s="1"/>
  <c r="L32" i="3" s="1"/>
  <c r="M32" i="3" s="1"/>
  <c r="N32" i="3" s="1"/>
  <c r="O32" i="3" s="1"/>
  <c r="P32" i="3" s="1"/>
  <c r="Q32" i="3" s="1"/>
  <c r="R32" i="3" s="1"/>
  <c r="S32" i="3" s="1"/>
  <c r="T32" i="3" s="1"/>
  <c r="U32" i="3" s="1"/>
  <c r="V32" i="3" s="1"/>
  <c r="W32" i="3" s="1"/>
  <c r="X32" i="3" s="1"/>
  <c r="Y32" i="3" s="1"/>
  <c r="Z32" i="3" s="1"/>
  <c r="AA32" i="3" s="1"/>
  <c r="AB32" i="3" s="1"/>
  <c r="AC32" i="3" s="1"/>
  <c r="AD32" i="3" s="1"/>
  <c r="AE32" i="3" s="1"/>
  <c r="J22" i="3" l="1"/>
  <c r="J23" i="3" s="1"/>
  <c r="J25" i="3" s="1"/>
  <c r="J26" i="3" s="1"/>
  <c r="K21" i="3"/>
  <c r="L9" i="3"/>
  <c r="K14" i="3"/>
  <c r="B34" i="3"/>
  <c r="B35" i="3"/>
  <c r="C35" i="3" s="1"/>
  <c r="D35" i="3" s="1"/>
  <c r="E35" i="3" s="1"/>
  <c r="F35" i="3" s="1"/>
  <c r="G35" i="3" s="1"/>
  <c r="H35" i="3" s="1"/>
  <c r="I35" i="3" s="1"/>
  <c r="J35" i="3" s="1"/>
  <c r="K35" i="3" s="1"/>
  <c r="L35" i="3" s="1"/>
  <c r="M35" i="3" s="1"/>
  <c r="N35" i="3" s="1"/>
  <c r="O35" i="3" s="1"/>
  <c r="P35" i="3" s="1"/>
  <c r="Q35" i="3" s="1"/>
  <c r="R35" i="3" s="1"/>
  <c r="S35" i="3" s="1"/>
  <c r="T35" i="3" s="1"/>
  <c r="U35" i="3" s="1"/>
  <c r="V35" i="3" s="1"/>
  <c r="W35" i="3" s="1"/>
  <c r="X35" i="3" s="1"/>
  <c r="Y35" i="3" s="1"/>
  <c r="Z35" i="3" s="1"/>
  <c r="AA35" i="3" s="1"/>
  <c r="AB35" i="3" s="1"/>
  <c r="AC35" i="3" s="1"/>
  <c r="AD35" i="3" s="1"/>
  <c r="AE35" i="3" s="1"/>
  <c r="B36" i="3"/>
  <c r="C36" i="3" s="1"/>
  <c r="D36" i="3" s="1"/>
  <c r="E36" i="3" s="1"/>
  <c r="F36" i="3" s="1"/>
  <c r="G36" i="3" s="1"/>
  <c r="H36" i="3" s="1"/>
  <c r="I36" i="3" s="1"/>
  <c r="J36" i="3" s="1"/>
  <c r="K36" i="3" s="1"/>
  <c r="L36" i="3" s="1"/>
  <c r="M36" i="3" s="1"/>
  <c r="N36" i="3" s="1"/>
  <c r="O36" i="3" s="1"/>
  <c r="P36" i="3" s="1"/>
  <c r="Q36" i="3" s="1"/>
  <c r="R36" i="3" s="1"/>
  <c r="S36" i="3" s="1"/>
  <c r="T36" i="3" s="1"/>
  <c r="U36" i="3" s="1"/>
  <c r="V36" i="3" s="1"/>
  <c r="W36" i="3" s="1"/>
  <c r="X36" i="3" s="1"/>
  <c r="Y36" i="3" s="1"/>
  <c r="Z36" i="3" s="1"/>
  <c r="AA36" i="3" s="1"/>
  <c r="AB36" i="3" s="1"/>
  <c r="AC36" i="3" s="1"/>
  <c r="AD36" i="3" s="1"/>
  <c r="AE36" i="3" s="1"/>
  <c r="B37" i="3"/>
  <c r="C37" i="3" s="1"/>
  <c r="D37" i="3" s="1"/>
  <c r="E37" i="3" s="1"/>
  <c r="F37" i="3" s="1"/>
  <c r="G37" i="3" s="1"/>
  <c r="H37" i="3" s="1"/>
  <c r="I37" i="3" s="1"/>
  <c r="J37" i="3" s="1"/>
  <c r="K37" i="3" s="1"/>
  <c r="L37" i="3" s="1"/>
  <c r="M37" i="3" s="1"/>
  <c r="N37" i="3" s="1"/>
  <c r="O37" i="3" s="1"/>
  <c r="P37" i="3" s="1"/>
  <c r="Q37" i="3" s="1"/>
  <c r="R37" i="3" s="1"/>
  <c r="S37" i="3" s="1"/>
  <c r="T37" i="3" s="1"/>
  <c r="U37" i="3" s="1"/>
  <c r="V37" i="3" s="1"/>
  <c r="W37" i="3" s="1"/>
  <c r="X37" i="3" s="1"/>
  <c r="Y37" i="3" s="1"/>
  <c r="Z37" i="3" s="1"/>
  <c r="AA37" i="3" s="1"/>
  <c r="AB37" i="3" s="1"/>
  <c r="AC37" i="3" s="1"/>
  <c r="AD37" i="3" s="1"/>
  <c r="AE37" i="3" s="1"/>
  <c r="C34" i="3" l="1"/>
  <c r="D34" i="3" s="1"/>
  <c r="E34" i="3" s="1"/>
  <c r="F34" i="3" s="1"/>
  <c r="G34" i="3" s="1"/>
  <c r="H34" i="3" s="1"/>
  <c r="I34" i="3" s="1"/>
  <c r="J34" i="3" s="1"/>
  <c r="K34" i="3" s="1"/>
  <c r="L34" i="3" s="1"/>
  <c r="M34" i="3" s="1"/>
  <c r="N34" i="3" s="1"/>
  <c r="O34" i="3" s="1"/>
  <c r="P34" i="3" s="1"/>
  <c r="Q34" i="3" s="1"/>
  <c r="R34" i="3" s="1"/>
  <c r="S34" i="3" s="1"/>
  <c r="T34" i="3" s="1"/>
  <c r="U34" i="3" s="1"/>
  <c r="V34" i="3" s="1"/>
  <c r="W34" i="3" s="1"/>
  <c r="X34" i="3" s="1"/>
  <c r="Y34" i="3" s="1"/>
  <c r="Z34" i="3" s="1"/>
  <c r="AA34" i="3" s="1"/>
  <c r="AB34" i="3" s="1"/>
  <c r="AC34" i="3" s="1"/>
  <c r="AD34" i="3" s="1"/>
  <c r="AE34" i="3" s="1"/>
  <c r="B39" i="3"/>
  <c r="K22" i="3"/>
  <c r="K23" i="3" s="1"/>
  <c r="K25" i="3" s="1"/>
  <c r="K26" i="3" s="1"/>
  <c r="L21" i="3"/>
  <c r="M9" i="3"/>
  <c r="L14" i="3"/>
  <c r="F22" i="7"/>
  <c r="C35" i="7" s="1"/>
  <c r="C36" i="7" s="1"/>
  <c r="C37" i="7" s="1"/>
  <c r="C38" i="7" s="1"/>
  <c r="C39" i="7" s="1"/>
  <c r="D4" i="6" s="1"/>
  <c r="L22" i="3" l="1"/>
  <c r="L23" i="3" s="1"/>
  <c r="L25" i="3" s="1"/>
  <c r="L26" i="3" s="1"/>
  <c r="M21" i="3"/>
  <c r="N9" i="3"/>
  <c r="M14" i="3"/>
  <c r="B38" i="3"/>
  <c r="M22" i="3" l="1"/>
  <c r="M23" i="3" s="1"/>
  <c r="M25" i="3" s="1"/>
  <c r="M26" i="3" s="1"/>
  <c r="N21" i="3"/>
  <c r="N14" i="3"/>
  <c r="O9" i="3"/>
  <c r="N22" i="3" l="1"/>
  <c r="N23" i="3" s="1"/>
  <c r="N25" i="3" s="1"/>
  <c r="N26" i="3" s="1"/>
  <c r="O21" i="3"/>
  <c r="P9" i="3"/>
  <c r="O14" i="3"/>
  <c r="O22" i="3" l="1"/>
  <c r="O23" i="3" s="1"/>
  <c r="O25" i="3" s="1"/>
  <c r="O26" i="3" s="1"/>
  <c r="P21" i="3"/>
  <c r="Q9" i="3"/>
  <c r="P14" i="3"/>
  <c r="B40" i="3"/>
  <c r="B41" i="3" s="1"/>
  <c r="B43" i="3" s="1"/>
  <c r="B44" i="3" s="1"/>
  <c r="C38" i="3"/>
  <c r="D38" i="3" l="1"/>
  <c r="E38" i="3" s="1"/>
  <c r="F38" i="3" s="1"/>
  <c r="G38" i="3" s="1"/>
  <c r="H38" i="3" s="1"/>
  <c r="I38" i="3" s="1"/>
  <c r="J38" i="3" s="1"/>
  <c r="K38" i="3" s="1"/>
  <c r="L38" i="3" s="1"/>
  <c r="M38" i="3" s="1"/>
  <c r="N38" i="3" s="1"/>
  <c r="O38" i="3" s="1"/>
  <c r="P38" i="3" s="1"/>
  <c r="Q38" i="3" s="1"/>
  <c r="R38" i="3" s="1"/>
  <c r="S38" i="3" s="1"/>
  <c r="T38" i="3" s="1"/>
  <c r="U38" i="3" s="1"/>
  <c r="V38" i="3" s="1"/>
  <c r="W38" i="3" s="1"/>
  <c r="X38" i="3" s="1"/>
  <c r="Y38" i="3" s="1"/>
  <c r="Z38" i="3" s="1"/>
  <c r="AA38" i="3" s="1"/>
  <c r="AB38" i="3" s="1"/>
  <c r="AC38" i="3" s="1"/>
  <c r="AD38" i="3" s="1"/>
  <c r="AE38" i="3" s="1"/>
  <c r="P22" i="3"/>
  <c r="P23" i="3" s="1"/>
  <c r="P25" i="3" s="1"/>
  <c r="P26" i="3" s="1"/>
  <c r="Q21" i="3"/>
  <c r="Q14" i="3"/>
  <c r="R9" i="3"/>
  <c r="C39" i="3"/>
  <c r="C40" i="3" l="1"/>
  <c r="C41" i="3" s="1"/>
  <c r="C43" i="3" s="1"/>
  <c r="C44" i="3" s="1"/>
  <c r="Q22" i="3"/>
  <c r="Q23" i="3" s="1"/>
  <c r="Q25" i="3" s="1"/>
  <c r="Q26" i="3" s="1"/>
  <c r="R21" i="3"/>
  <c r="S9" i="3"/>
  <c r="R14" i="3"/>
  <c r="D39" i="3"/>
  <c r="D40" i="3" l="1"/>
  <c r="D41" i="3" s="1"/>
  <c r="D43" i="3" s="1"/>
  <c r="D44" i="3" s="1"/>
  <c r="R22" i="3"/>
  <c r="R23" i="3" s="1"/>
  <c r="R25" i="3" s="1"/>
  <c r="R26" i="3" s="1"/>
  <c r="S21" i="3"/>
  <c r="T9" i="3"/>
  <c r="S14" i="3"/>
  <c r="E39" i="3"/>
  <c r="F39" i="3" l="1"/>
  <c r="G39" i="3" s="1"/>
  <c r="S22" i="3"/>
  <c r="S23" i="3" s="1"/>
  <c r="S25" i="3" s="1"/>
  <c r="S26" i="3" s="1"/>
  <c r="T21" i="3"/>
  <c r="U9" i="3"/>
  <c r="T14" i="3"/>
  <c r="E40" i="3"/>
  <c r="E41" i="3" s="1"/>
  <c r="E43" i="3" s="1"/>
  <c r="E44" i="3" s="1"/>
  <c r="C47" i="3"/>
  <c r="F40" i="3" l="1"/>
  <c r="F41" i="3" s="1"/>
  <c r="F43" i="3" s="1"/>
  <c r="F44" i="3" s="1"/>
  <c r="T22" i="3"/>
  <c r="T23" i="3" s="1"/>
  <c r="T25" i="3" s="1"/>
  <c r="T26" i="3" s="1"/>
  <c r="U21" i="3"/>
  <c r="V9" i="3"/>
  <c r="U14" i="3"/>
  <c r="D5" i="6"/>
  <c r="B9" i="9" s="1"/>
  <c r="B47" i="3"/>
  <c r="H39" i="3"/>
  <c r="G40" i="3"/>
  <c r="G41" i="3" s="1"/>
  <c r="G43" i="3" s="1"/>
  <c r="G44" i="3" s="1"/>
  <c r="D47" i="3"/>
  <c r="U22" i="3" l="1"/>
  <c r="U23" i="3" s="1"/>
  <c r="U25" i="3" s="1"/>
  <c r="U26" i="3" s="1"/>
  <c r="V21" i="3"/>
  <c r="W9" i="3"/>
  <c r="V14" i="3"/>
  <c r="I39" i="3"/>
  <c r="H40" i="3"/>
  <c r="H41" i="3" s="1"/>
  <c r="H43" i="3" s="1"/>
  <c r="H44" i="3" s="1"/>
  <c r="E47" i="3"/>
  <c r="V22" i="3" l="1"/>
  <c r="V23" i="3" s="1"/>
  <c r="V25" i="3" s="1"/>
  <c r="V26" i="3" s="1"/>
  <c r="W21" i="3"/>
  <c r="X9" i="3"/>
  <c r="W14" i="3"/>
  <c r="I40" i="3"/>
  <c r="I41" i="3" s="1"/>
  <c r="I43" i="3" s="1"/>
  <c r="I44" i="3" s="1"/>
  <c r="J39" i="3"/>
  <c r="F47" i="3"/>
  <c r="W22" i="3" l="1"/>
  <c r="W23" i="3" s="1"/>
  <c r="W25" i="3" s="1"/>
  <c r="W26" i="3" s="1"/>
  <c r="X21" i="3"/>
  <c r="Y9" i="3"/>
  <c r="X14" i="3"/>
  <c r="J40" i="3"/>
  <c r="J41" i="3" s="1"/>
  <c r="J43" i="3" s="1"/>
  <c r="J44" i="3" s="1"/>
  <c r="K39" i="3"/>
  <c r="G47" i="3"/>
  <c r="X22" i="3" l="1"/>
  <c r="X23" i="3" s="1"/>
  <c r="X25" i="3" s="1"/>
  <c r="X26" i="3" s="1"/>
  <c r="Y21" i="3"/>
  <c r="Z9" i="3"/>
  <c r="Y14" i="3"/>
  <c r="L39" i="3"/>
  <c r="K40" i="3"/>
  <c r="K41" i="3" s="1"/>
  <c r="K43" i="3" s="1"/>
  <c r="K44" i="3" s="1"/>
  <c r="H47" i="3"/>
  <c r="Y22" i="3" l="1"/>
  <c r="Y23" i="3" s="1"/>
  <c r="Y25" i="3" s="1"/>
  <c r="Y26" i="3" s="1"/>
  <c r="Z21" i="3"/>
  <c r="AA9" i="3"/>
  <c r="Z14" i="3"/>
  <c r="L40" i="3"/>
  <c r="L41" i="3" s="1"/>
  <c r="L43" i="3" s="1"/>
  <c r="L44" i="3" s="1"/>
  <c r="M39" i="3"/>
  <c r="I47" i="3"/>
  <c r="Z22" i="3" l="1"/>
  <c r="Z23" i="3" s="1"/>
  <c r="Z25" i="3" s="1"/>
  <c r="Z26" i="3" s="1"/>
  <c r="AA21" i="3"/>
  <c r="AB9" i="3"/>
  <c r="AA14" i="3"/>
  <c r="M40" i="3"/>
  <c r="M41" i="3" s="1"/>
  <c r="M43" i="3" s="1"/>
  <c r="M44" i="3" s="1"/>
  <c r="N39" i="3"/>
  <c r="J47" i="3"/>
  <c r="AA22" i="3" l="1"/>
  <c r="AA23" i="3" s="1"/>
  <c r="AA25" i="3" s="1"/>
  <c r="AA26" i="3" s="1"/>
  <c r="AB21" i="3"/>
  <c r="AC9" i="3"/>
  <c r="AB14" i="3"/>
  <c r="N40" i="3"/>
  <c r="N41" i="3" s="1"/>
  <c r="N43" i="3" s="1"/>
  <c r="N44" i="3" s="1"/>
  <c r="O39" i="3"/>
  <c r="K47" i="3"/>
  <c r="AB22" i="3" l="1"/>
  <c r="AB23" i="3" s="1"/>
  <c r="AB25" i="3" s="1"/>
  <c r="AB26" i="3" s="1"/>
  <c r="AC21" i="3"/>
  <c r="AD9" i="3"/>
  <c r="AC14" i="3"/>
  <c r="P39" i="3"/>
  <c r="O40" i="3"/>
  <c r="O41" i="3" s="1"/>
  <c r="O43" i="3" s="1"/>
  <c r="O44" i="3" s="1"/>
  <c r="L47" i="3"/>
  <c r="AC22" i="3" l="1"/>
  <c r="AC23" i="3" s="1"/>
  <c r="AC25" i="3" s="1"/>
  <c r="AC26" i="3" s="1"/>
  <c r="AE21" i="3"/>
  <c r="AD21" i="3"/>
  <c r="AD14" i="3"/>
  <c r="AE9" i="3"/>
  <c r="AE14" i="3" s="1"/>
  <c r="Q39" i="3"/>
  <c r="P40" i="3"/>
  <c r="P41" i="3" s="1"/>
  <c r="P43" i="3" s="1"/>
  <c r="P44" i="3" s="1"/>
  <c r="M47" i="3"/>
  <c r="AE22" i="3" l="1"/>
  <c r="AE23" i="3" s="1"/>
  <c r="AE25" i="3" s="1"/>
  <c r="AE26" i="3" s="1"/>
  <c r="AD22" i="3"/>
  <c r="AD23" i="3" s="1"/>
  <c r="AD25" i="3" s="1"/>
  <c r="AD26" i="3" s="1"/>
  <c r="R39" i="3"/>
  <c r="Q40" i="3"/>
  <c r="Q41" i="3" s="1"/>
  <c r="Q43" i="3" s="1"/>
  <c r="Q44" i="3" s="1"/>
  <c r="N47" i="3"/>
  <c r="R40" i="3" l="1"/>
  <c r="R41" i="3" s="1"/>
  <c r="R43" i="3" s="1"/>
  <c r="R44" i="3" s="1"/>
  <c r="S39" i="3"/>
  <c r="O47" i="3"/>
  <c r="T39" i="3" l="1"/>
  <c r="S40" i="3"/>
  <c r="S41" i="3" s="1"/>
  <c r="S43" i="3" s="1"/>
  <c r="S44" i="3" s="1"/>
  <c r="P47" i="3"/>
  <c r="T40" i="3" l="1"/>
  <c r="T41" i="3" s="1"/>
  <c r="T43" i="3" s="1"/>
  <c r="T44" i="3" s="1"/>
  <c r="U39" i="3"/>
  <c r="Q47" i="3"/>
  <c r="U40" i="3" l="1"/>
  <c r="U41" i="3" s="1"/>
  <c r="U43" i="3" s="1"/>
  <c r="U44" i="3" s="1"/>
  <c r="V39" i="3"/>
  <c r="R47" i="3"/>
  <c r="V40" i="3" l="1"/>
  <c r="V41" i="3" s="1"/>
  <c r="V43" i="3" s="1"/>
  <c r="V44" i="3" s="1"/>
  <c r="W39" i="3"/>
  <c r="S47" i="3"/>
  <c r="X39" i="3" l="1"/>
  <c r="W40" i="3"/>
  <c r="W41" i="3" s="1"/>
  <c r="W43" i="3" s="1"/>
  <c r="W44" i="3" s="1"/>
  <c r="T47" i="3"/>
  <c r="Y39" i="3" l="1"/>
  <c r="X40" i="3"/>
  <c r="X41" i="3" s="1"/>
  <c r="X43" i="3" s="1"/>
  <c r="X44" i="3" s="1"/>
  <c r="U47" i="3"/>
  <c r="Z39" i="3" l="1"/>
  <c r="Y40" i="3"/>
  <c r="Y41" i="3" s="1"/>
  <c r="Y43" i="3" s="1"/>
  <c r="Y44" i="3" s="1"/>
  <c r="V47" i="3"/>
  <c r="Z40" i="3" l="1"/>
  <c r="Z41" i="3" s="1"/>
  <c r="Z43" i="3" s="1"/>
  <c r="Z44" i="3" s="1"/>
  <c r="AA39" i="3"/>
  <c r="W47" i="3"/>
  <c r="AA40" i="3" l="1"/>
  <c r="AA41" i="3" s="1"/>
  <c r="AA43" i="3" s="1"/>
  <c r="AA44" i="3" s="1"/>
  <c r="AB39" i="3"/>
  <c r="X47" i="3"/>
  <c r="AB40" i="3" l="1"/>
  <c r="AB41" i="3" s="1"/>
  <c r="AB43" i="3" s="1"/>
  <c r="AB44" i="3" s="1"/>
  <c r="AC39" i="3"/>
  <c r="Y47" i="3"/>
  <c r="AC40" i="3" l="1"/>
  <c r="AC41" i="3" s="1"/>
  <c r="AC43" i="3" s="1"/>
  <c r="AC44" i="3" s="1"/>
  <c r="AD39" i="3"/>
  <c r="Z47" i="3"/>
  <c r="AD40" i="3" l="1"/>
  <c r="AD41" i="3" s="1"/>
  <c r="AD43" i="3" s="1"/>
  <c r="AD44" i="3" s="1"/>
  <c r="AE39" i="3"/>
  <c r="AA47" i="3"/>
  <c r="AE40" i="3" l="1"/>
  <c r="AE41" i="3" s="1"/>
  <c r="AE43" i="3" s="1"/>
  <c r="AE44" i="3" s="1"/>
  <c r="AE47" i="3" s="1"/>
  <c r="AB47" i="3"/>
  <c r="AC47" i="3" l="1"/>
  <c r="AD47" i="3" l="1"/>
</calcChain>
</file>

<file path=xl/sharedStrings.xml><?xml version="1.0" encoding="utf-8"?>
<sst xmlns="http://schemas.openxmlformats.org/spreadsheetml/2006/main" count="177" uniqueCount="121">
  <si>
    <t>S (ref) (tCO2)</t>
  </si>
  <si>
    <t>4)</t>
  </si>
  <si>
    <t>3)</t>
  </si>
  <si>
    <t>2)</t>
  </si>
  <si>
    <t>1)</t>
  </si>
  <si>
    <t>FEB feuillus</t>
  </si>
  <si>
    <t>FEB (facteur d'expansion branche) conifère</t>
  </si>
  <si>
    <t>𝐵𝑅(𝑛)=exp (−1,0587+0,8836×ln(𝐵𝐴(𝑛))+0,2840)</t>
  </si>
  <si>
    <t>BA(n) = V7(n)*FEB*di</t>
  </si>
  <si>
    <t>M : Stock de bois morts (négligeable)</t>
  </si>
  <si>
    <t>Litière (tC/ha) L(n)</t>
  </si>
  <si>
    <t>L : stock de la litière</t>
  </si>
  <si>
    <t>Sol (tC/ha) S(n)</t>
  </si>
  <si>
    <t xml:space="preserve">Tx conversion tMS en tC </t>
  </si>
  <si>
    <t>To : taux de carbone dans la matière sèche</t>
  </si>
  <si>
    <t>BR : biomasse racinaire</t>
  </si>
  <si>
    <t>Valeurs constantes</t>
  </si>
  <si>
    <t>BA : biomasse aérienne</t>
  </si>
  <si>
    <t xml:space="preserve">Avec : </t>
  </si>
  <si>
    <t>S(ref) = [ (BA(n) + BR (n))*to + S(n) + L(n) + M(n) ] * (44/12)</t>
  </si>
  <si>
    <t>BA (ref) (tMS/ha)</t>
  </si>
  <si>
    <t>BR (ref)  (tMS/ha)</t>
  </si>
  <si>
    <t>BA + BR référence (tC/ha)</t>
  </si>
  <si>
    <t>S (ref) (tCO2/ha)</t>
  </si>
  <si>
    <t>Superficie projet (ha)</t>
  </si>
  <si>
    <t>5)</t>
  </si>
  <si>
    <t xml:space="preserve">S : stock de carbone organique du sol </t>
  </si>
  <si>
    <t>Année (n)</t>
  </si>
  <si>
    <t xml:space="preserve">Essences considérées </t>
  </si>
  <si>
    <t>Infradensité (di)</t>
  </si>
  <si>
    <t>Proportion naturelle (d'après le PSG)</t>
  </si>
  <si>
    <t>Moyenne/total</t>
  </si>
  <si>
    <t>L(n) (tC/ha)</t>
  </si>
  <si>
    <t>BA(n) (tMS/ha)</t>
  </si>
  <si>
    <t>BR(n) (tMS/ha)</t>
  </si>
  <si>
    <t>BA(n)+BR(n) (tC/ha)</t>
  </si>
  <si>
    <t>Sref(n) (tC02/ha)</t>
  </si>
  <si>
    <t>Sref(n) total (tCO2)</t>
  </si>
  <si>
    <t>P (proportion)</t>
  </si>
  <si>
    <t>BA (proj) (tMS/ha)</t>
  </si>
  <si>
    <t>BR (proj)  (tMS/ha)</t>
  </si>
  <si>
    <t>BA + BR projet (tC/ha)</t>
  </si>
  <si>
    <t>S (proj) (tCO2/ha)</t>
  </si>
  <si>
    <t>S (proj) (tCO2)</t>
  </si>
  <si>
    <t>TOTAL accroissement V7</t>
  </si>
  <si>
    <t>BA (30) : V7*dir*FEB</t>
  </si>
  <si>
    <t>Srproj(n) (tC02/ha)</t>
  </si>
  <si>
    <t>Sproj(n) total (tCO2)</t>
  </si>
  <si>
    <t>Sprojet (30)</t>
  </si>
  <si>
    <t>Sref (30)</t>
  </si>
  <si>
    <t xml:space="preserve"> REA forêt (tCO2) = Sprojet(30) - Sref(30)</t>
  </si>
  <si>
    <t>REA forêt (n)</t>
  </si>
  <si>
    <t>REA forêt brut (tCO2)</t>
  </si>
  <si>
    <t>Rabais incendie</t>
  </si>
  <si>
    <t>Rabais général</t>
  </si>
  <si>
    <t>Rabais économique</t>
  </si>
  <si>
    <t>REA forêt nette (tCO2) sur 6 ha</t>
  </si>
  <si>
    <t>1. Accrû naturel, taillis</t>
  </si>
  <si>
    <t>2. Essences plantées en futaie</t>
  </si>
  <si>
    <t>Accroissement annuel [m3/ha/an]</t>
  </si>
  <si>
    <t>V7 (volume bois fort 30 ans, m3/ha)</t>
  </si>
  <si>
    <t>Accroissement annuel moyen (m3/ha/an)</t>
  </si>
  <si>
    <t>Volume de bois fort V7(n) (m3/ha)  par essence</t>
  </si>
  <si>
    <t>V7 (n) total (m3/ha)</t>
  </si>
  <si>
    <t>BA (n) (tMS/ha) par essence</t>
  </si>
  <si>
    <t xml:space="preserve">Sref(n) </t>
  </si>
  <si>
    <t xml:space="preserve">Sproj(n) </t>
  </si>
  <si>
    <t xml:space="preserve">Cedrus libani </t>
  </si>
  <si>
    <t>Pinus pinea</t>
  </si>
  <si>
    <t>Quertus suber</t>
  </si>
  <si>
    <t>Quertus pubescens</t>
  </si>
  <si>
    <t>Quertus ilex</t>
  </si>
  <si>
    <t>Arbustus unedo</t>
  </si>
  <si>
    <t>Cedrus libani</t>
  </si>
  <si>
    <t>Pinus halepensis</t>
  </si>
  <si>
    <t>BA (30) : V7*di*FEB</t>
  </si>
  <si>
    <t>Quercus ilex</t>
  </si>
  <si>
    <t>Quercus pubescens</t>
  </si>
  <si>
    <t>Quercus suber</t>
  </si>
  <si>
    <t>P (proportion)*</t>
  </si>
  <si>
    <t>Notice explicative :</t>
  </si>
  <si>
    <t>BA (n) totale (tMS/ha)</t>
  </si>
  <si>
    <t xml:space="preserve">Cet onglet permet de modéliser la croissance des arbres dans le scénario de référence (premier tableau) et dans le scénario projet (second tableau). 
A l'année 1, il présente, d'après l'accroissement moyen de chaque essence, le volume bois fort produit en 1 an (V1) par chaque essence en fonction de sa propotion dans le peuplement. Chaque année, le volume est calculé pour chaque essence avec une suite telle que : V7 (n) = V7 (n-1) + V1. Pour chaque essece, ce volume V7 est multiplié par l'infradensité (di) de l'essence en question et le facteur d'expansion branche (FEB) correspondant, afin d'obtenir une biomasse aérienne. 
La somme des biomasses aériennes ainsi calculées de toutes les essences donne la biomasse aérienne totale (BA(n) totale) par hectare et par an. 
La biomasse racinaire qui en découle est ajoutée. La somme est convertie de tonnes de matière sèche en carbone. 
Le carbone stocké dans la litière et dans le sol est ajouté et le résultat converti en CO2 et multiplié par le nombre d'hectare du projet. 
Ce calcul est effectué pour le scénario de référence (Sref)et le scénario projet (Sprojet) chaque année pendant 30 ans. Le dernier tableau présente la différence de quantité de CO2 séquestrée entre S(projet) et S(ref) par an. </t>
  </si>
  <si>
    <t>Calcul des réductions d'émissions anticipées "forêt"</t>
  </si>
  <si>
    <t>Ce fichier présente les calculs effectués pour déterminer les réductions d'émissions anticipées "forêt" (REA forêt) du projet.
Il se divise en 4 onglets : 
- l'onglet 1 "Sref" présente les calculs des REA dans le scénario de référence. Les essences utilisées et leur proportion sont issues du plan simple de gestion de la parcelle.
- l'onglet 2 "Sprojet" présent les calculs des REA dans le scénario du projet. Les essences et leur proportion ont été choisies avec le porteur de projet et avec validation du cabinet d'experts forestiers FRM, d'après le diagnotic de terrain qu'ils ont effectué (analyse du sol, adaptation à la station). La source et le choix des données de croissance sont expliqués dans le document "Tables de production retenues et sources des données".
- l'onglet 3 "Sref et proj.an" modélise la croissance de chaque essence du peuplement dans le scénario de référence et dans le scénario projet, chaque année pendant 30 ans, ainsi que volume bois fort, les biomasses aérienne et racinaire et les stocks de carbone de chaque scénario et les REA additionnelles (différence entre les deux scénarii chaque année).
- l'onglet 4 "REA forêt" est un tableau de synthèse qui reprend les stocks de carbone Sref et Sprojet afin de déterminer les REA forêt brut, auxquelles sont appliqués les différents rabais. Les REA forêt nettes sont ainsi calculées.</t>
  </si>
  <si>
    <t>Nom du projet</t>
  </si>
  <si>
    <t>Localisation</t>
  </si>
  <si>
    <t>Surface du projet</t>
  </si>
  <si>
    <t>Porteur du projet</t>
  </si>
  <si>
    <t>Accompagnement technique secondaire</t>
  </si>
  <si>
    <t>Valombré, 2019</t>
  </si>
  <si>
    <t>Domaine de Valombré, 30 800 Saint-Gilles</t>
  </si>
  <si>
    <t>6 ha</t>
  </si>
  <si>
    <t xml:space="preserve">Reboisement de forêt incendiés au Domaine de Valombré, dans le Gard, pendant l'été 2019. </t>
  </si>
  <si>
    <t>Type du projet</t>
  </si>
  <si>
    <t>Méthodologie appliquée</t>
  </si>
  <si>
    <t>Méthode reconstitution de peuplements forestiers dégradés (CNPF, version du 18/04/2019)</t>
  </si>
  <si>
    <t>PUR Projet</t>
  </si>
  <si>
    <t>Cabinet d'experts forestiers FRM Ingénierie</t>
  </si>
  <si>
    <t>Carte d'identité du projet</t>
  </si>
  <si>
    <t>Notice explicative du fichier de calcul</t>
  </si>
  <si>
    <t>Réduction d'émissions totales générables (tCO2)</t>
  </si>
  <si>
    <t>Calcul des réductions d'émission dans le scénario de référence</t>
  </si>
  <si>
    <t>Formule indiquée dans la méthode (p.22) :</t>
  </si>
  <si>
    <t>Formule indiquée dans la méthode (p.26 et 27) :</t>
  </si>
  <si>
    <t>Calcul Biomasse aérienne BA et racinaire BR  (tMS)</t>
  </si>
  <si>
    <t>Données et formule de départ</t>
  </si>
  <si>
    <t>La biomasse aérienne (BA) découle du volume bois fort (V7), donnée issue des tables de production présentées dans le document "Tables de production et sources des données". Ce volume est calculé pour chaque essence en fonction de sa proportion dans le peuplement, puis il est multiplié par l'infradensité (di) propre à chaque essence et au facteur d'expansion branche (FEB) correspondant, afin d'obtenir la biomasse aérienne. 
La biomasse racinaire (BR) découle directectement de la biomasse aérienne. Elle est donc calculée dans un second temps.</t>
  </si>
  <si>
    <r>
      <t xml:space="preserve">V7, volume bois  fort des accrus naturels post incendie à 30 ans (m3/ha) : 
</t>
    </r>
    <r>
      <rPr>
        <i/>
        <sz val="11"/>
        <color theme="1"/>
        <rFont val="Calibri"/>
        <family val="2"/>
        <scheme val="minor"/>
      </rPr>
      <t>valeur constante définie dans la méthode</t>
    </r>
    <r>
      <rPr>
        <sz val="11"/>
        <color theme="1"/>
        <rFont val="Calibri"/>
        <family val="2"/>
        <scheme val="minor"/>
      </rPr>
      <t xml:space="preserve"> </t>
    </r>
    <r>
      <rPr>
        <i/>
        <sz val="11"/>
        <color theme="1"/>
        <rFont val="Calibri"/>
        <family val="2"/>
        <scheme val="minor"/>
      </rPr>
      <t>(1m3/ha/an)</t>
    </r>
  </si>
  <si>
    <t>Calcul des quantités de carbone séquestrées dans le scénario de référence</t>
  </si>
  <si>
    <t>S(ref), les quantités de carbone séquestrées dans le scénario de référence sont calculées avec la formule de la méthode, présentée en haut de cette page. Elle correspond à la somme des biomasses aérienne et racinaire totales, converties en tonnes de carbone/ha, et au stock de carbone de la litière et du sol. Un coefficient est appliqué à cette valeur afin de la convertir en tonnes de CO2.</t>
  </si>
  <si>
    <t xml:space="preserve"> Modélisation de la croissance de chaque essence du peuplement dans le scénario de référence et dans le scénario projet pendant 30 ans</t>
  </si>
  <si>
    <t>Calcul des réductions d'émission dans le scénario projet</t>
  </si>
  <si>
    <t xml:space="preserve">La biomasse aérienne (BA) découle du volume bois fort (V7), donnée issue des tables de production présentées dans le document "Tables de production et sources des données". Ce volume est calculé pour chaque essence en fonction de sa proportion dans le peuplement, puis il est multiplié par l'infradensité (di) propre à chaque essence et au facteur d'expansion branche (FEB) correspondant, afin d'obtenir la biomasse aérienne. 
Le calcul considère d'une part un étage "taillis", composé d'accrus naturels, et d'autre part, un étage "futaie", composé des arbres plantés. Le taillis est de 100% dans le scénario de référence, mais est limité à 70% dans le projet afin de laisser suffisamment d'espace aux jeunes plants plantés pour croître de manière optimale.
La biomasse racinaire (BR) découle directectement de la biomasse aérienne. Elle est donc calculée dans un second temps.
</t>
  </si>
  <si>
    <t>Calcul des quantités de carbone séquestrées dans le scénario projet</t>
  </si>
  <si>
    <t>S(projet), les quantités de carbone séquestrées dans le scénario projet sont calculées avec la formule de la méthode, présentée en haut de cette page. Elle correspond à la somme des biomasses aérienne et racinaire totales, converties en tonnes de carbone/ha, et au stock de carbone de la litière et du sol. Un coefficient est appliqué à cette valeur afin de la convertir en tonnes de CO2.</t>
  </si>
  <si>
    <t>Modélisation du scénario de référence</t>
  </si>
  <si>
    <t>Modélisation du scénario projet</t>
  </si>
  <si>
    <t>Modélisation des réductions d'émission forêt additionnelles</t>
  </si>
  <si>
    <t>SYNTHESE DES CALCULS</t>
  </si>
  <si>
    <t xml:space="preserve">V7 (m3/ha)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</si>
</sst>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sz val="14"/>
      <name val="Calibri"/>
      <family val="2"/>
      <scheme val="minor"/>
    </font>
    <font>
      <b/>
      <sz val="14"/>
      <name val="Calibri"/>
      <family val="2"/>
      <scheme val="minor"/>
    </font>
    <font>
      <b/>
      <sz val="11"/>
      <color theme="0"/>
      <name val="Calibri"/>
      <family val="2"/>
      <scheme val="minor"/>
    </font>
    <font>
      <b/>
      <sz val="11"/>
      <name val="Calibri"/>
      <family val="2"/>
      <scheme val="minor"/>
    </font>
    <font>
      <sz val="11"/>
      <name val="Calibri"/>
      <family val="2"/>
      <scheme val="minor"/>
    </font>
    <font>
      <b/>
      <sz val="12"/>
      <color theme="0"/>
      <name val="Calibri"/>
      <family val="2"/>
      <scheme val="minor"/>
    </font>
    <font>
      <sz val="11"/>
      <color theme="1"/>
      <name val="Calibri"/>
      <family val="2"/>
      <scheme val="minor"/>
    </font>
    <font>
      <b/>
      <sz val="11"/>
      <color rgb="FFFF0000"/>
      <name val="Calibri"/>
      <family val="2"/>
      <scheme val="minor"/>
    </font>
    <font>
      <b/>
      <i/>
      <sz val="11"/>
      <color theme="0"/>
      <name val="Calibri"/>
      <family val="2"/>
      <scheme val="minor"/>
    </font>
    <font>
      <b/>
      <sz val="16"/>
      <color theme="0"/>
      <name val="Calibri"/>
      <family val="2"/>
      <scheme val="minor"/>
    </font>
    <font>
      <b/>
      <u/>
      <sz val="12"/>
      <color theme="1"/>
      <name val="Calibri"/>
      <family val="2"/>
      <scheme val="minor"/>
    </font>
    <font>
      <sz val="12"/>
      <color theme="1"/>
      <name val="Calibri"/>
      <family val="2"/>
      <scheme val="minor"/>
    </font>
    <font>
      <b/>
      <sz val="18"/>
      <color theme="0"/>
      <name val="Calibri"/>
      <family val="2"/>
      <scheme val="minor"/>
    </font>
    <font>
      <i/>
      <sz val="16"/>
      <color theme="1"/>
      <name val="Calibri"/>
      <family val="2"/>
      <scheme val="minor"/>
    </font>
    <font>
      <i/>
      <sz val="11"/>
      <name val="Calibri"/>
      <family val="2"/>
      <scheme val="minor"/>
    </font>
    <font>
      <i/>
      <sz val="12"/>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2"/>
        <bgColor indexed="64"/>
      </patternFill>
    </fill>
  </fills>
  <borders count="3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right/>
      <top/>
      <bottom style="thin">
        <color indexed="64"/>
      </bottom>
      <diagonal/>
    </border>
    <border>
      <left/>
      <right/>
      <top style="thin">
        <color theme="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theme="1"/>
      </top>
      <bottom style="thin">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s>
  <cellStyleXfs count="2">
    <xf numFmtId="0" fontId="0" fillId="0" borderId="0"/>
    <xf numFmtId="9" fontId="11" fillId="0" borderId="0" applyFont="0" applyFill="0" applyBorder="0" applyAlignment="0" applyProtection="0"/>
  </cellStyleXfs>
  <cellXfs count="156">
    <xf numFmtId="0" fontId="0" fillId="0" borderId="0" xfId="0"/>
    <xf numFmtId="0" fontId="0" fillId="0" borderId="0" xfId="0" applyAlignment="1">
      <alignment wrapText="1"/>
    </xf>
    <xf numFmtId="0" fontId="0" fillId="0" borderId="1" xfId="0" applyBorder="1"/>
    <xf numFmtId="0" fontId="0" fillId="0" borderId="2" xfId="0" applyBorder="1"/>
    <xf numFmtId="164" fontId="1" fillId="0" borderId="2" xfId="0" applyNumberFormat="1" applyFont="1" applyBorder="1"/>
    <xf numFmtId="0" fontId="1" fillId="0" borderId="3" xfId="0" applyFont="1" applyBorder="1"/>
    <xf numFmtId="0" fontId="0" fillId="0" borderId="4" xfId="0" applyBorder="1"/>
    <xf numFmtId="0" fontId="0" fillId="0" borderId="5" xfId="0" applyBorder="1"/>
    <xf numFmtId="0" fontId="0" fillId="0" borderId="6" xfId="0" applyBorder="1"/>
    <xf numFmtId="0" fontId="5" fillId="0" borderId="9" xfId="0" applyFont="1" applyBorder="1"/>
    <xf numFmtId="0" fontId="0" fillId="0" borderId="3" xfId="0" applyBorder="1"/>
    <xf numFmtId="0" fontId="1" fillId="0" borderId="8" xfId="0" applyFont="1" applyBorder="1"/>
    <xf numFmtId="0" fontId="0" fillId="0" borderId="0" xfId="0" applyFill="1"/>
    <xf numFmtId="164" fontId="2" fillId="0" borderId="4" xfId="0" applyNumberFormat="1" applyFont="1" applyFill="1" applyBorder="1"/>
    <xf numFmtId="0" fontId="0" fillId="0" borderId="12" xfId="0" applyBorder="1"/>
    <xf numFmtId="2" fontId="0" fillId="0" borderId="12" xfId="0" applyNumberFormat="1" applyBorder="1"/>
    <xf numFmtId="0" fontId="7" fillId="2" borderId="12" xfId="0" applyFont="1" applyFill="1" applyBorder="1"/>
    <xf numFmtId="0" fontId="7" fillId="2" borderId="12" xfId="0" applyFont="1" applyFill="1" applyBorder="1" applyAlignment="1">
      <alignment wrapText="1"/>
    </xf>
    <xf numFmtId="0" fontId="0" fillId="0" borderId="5" xfId="0" applyFill="1" applyBorder="1"/>
    <xf numFmtId="0" fontId="0" fillId="0" borderId="4" xfId="0" applyFill="1" applyBorder="1"/>
    <xf numFmtId="0" fontId="7" fillId="2" borderId="13" xfId="0" applyFont="1" applyFill="1" applyBorder="1"/>
    <xf numFmtId="2" fontId="8" fillId="0" borderId="12" xfId="0" applyNumberFormat="1" applyFont="1" applyFill="1" applyBorder="1"/>
    <xf numFmtId="2" fontId="9" fillId="0" borderId="0" xfId="0" applyNumberFormat="1" applyFont="1"/>
    <xf numFmtId="2" fontId="9" fillId="0" borderId="12" xfId="0" applyNumberFormat="1" applyFont="1" applyBorder="1"/>
    <xf numFmtId="2" fontId="8" fillId="0" borderId="12" xfId="0" applyNumberFormat="1" applyFont="1" applyBorder="1"/>
    <xf numFmtId="0" fontId="1" fillId="0" borderId="5" xfId="0" applyFont="1" applyBorder="1"/>
    <xf numFmtId="2" fontId="3" fillId="0" borderId="11" xfId="0" applyNumberFormat="1" applyFont="1" applyBorder="1"/>
    <xf numFmtId="2" fontId="3" fillId="0" borderId="10" xfId="0" applyNumberFormat="1" applyFont="1" applyBorder="1"/>
    <xf numFmtId="2" fontId="3" fillId="0" borderId="9" xfId="0" applyNumberFormat="1" applyFont="1" applyBorder="1"/>
    <xf numFmtId="0" fontId="0" fillId="0" borderId="3" xfId="0" applyFill="1" applyBorder="1"/>
    <xf numFmtId="0" fontId="0" fillId="0" borderId="1" xfId="0" applyFill="1" applyBorder="1"/>
    <xf numFmtId="0" fontId="0" fillId="0" borderId="3" xfId="0" applyFill="1" applyBorder="1" applyAlignment="1">
      <alignment wrapText="1"/>
    </xf>
    <xf numFmtId="0" fontId="0" fillId="0" borderId="6" xfId="0" applyFill="1" applyBorder="1"/>
    <xf numFmtId="0" fontId="3" fillId="0" borderId="8" xfId="0" applyFont="1" applyFill="1" applyBorder="1" applyAlignment="1">
      <alignment horizontal="right"/>
    </xf>
    <xf numFmtId="0" fontId="1" fillId="0" borderId="7" xfId="0" applyFont="1" applyFill="1" applyBorder="1"/>
    <xf numFmtId="2" fontId="1" fillId="0" borderId="6" xfId="0" applyNumberFormat="1" applyFont="1" applyFill="1" applyBorder="1"/>
    <xf numFmtId="0" fontId="3" fillId="0" borderId="5" xfId="0" applyFont="1" applyFill="1" applyBorder="1" applyAlignment="1">
      <alignment horizontal="right"/>
    </xf>
    <xf numFmtId="0" fontId="1" fillId="0" borderId="0" xfId="0" applyFont="1" applyFill="1"/>
    <xf numFmtId="2" fontId="1" fillId="0" borderId="4" xfId="0" applyNumberFormat="1" applyFont="1" applyFill="1" applyBorder="1"/>
    <xf numFmtId="0" fontId="2" fillId="0" borderId="0" xfId="0" applyFont="1" applyFill="1" applyBorder="1"/>
    <xf numFmtId="0" fontId="3" fillId="0" borderId="3" xfId="0" applyFont="1" applyFill="1" applyBorder="1" applyAlignment="1">
      <alignment horizontal="right"/>
    </xf>
    <xf numFmtId="0" fontId="2" fillId="0" borderId="2" xfId="0" applyFont="1" applyFill="1" applyBorder="1"/>
    <xf numFmtId="3" fontId="2" fillId="0" borderId="1" xfId="0" applyNumberFormat="1" applyFont="1" applyFill="1" applyBorder="1"/>
    <xf numFmtId="0" fontId="1" fillId="0" borderId="3" xfId="0" applyFont="1" applyFill="1" applyBorder="1"/>
    <xf numFmtId="164" fontId="1" fillId="0" borderId="2" xfId="0" applyNumberFormat="1" applyFont="1" applyFill="1" applyBorder="1"/>
    <xf numFmtId="0" fontId="0" fillId="0" borderId="2" xfId="0" applyFill="1" applyBorder="1"/>
    <xf numFmtId="0" fontId="4" fillId="0" borderId="8" xfId="0" applyFont="1" applyFill="1" applyBorder="1"/>
    <xf numFmtId="0" fontId="0" fillId="0" borderId="7" xfId="0" applyFill="1" applyBorder="1"/>
    <xf numFmtId="0" fontId="1" fillId="0" borderId="8" xfId="0" applyFont="1" applyFill="1" applyBorder="1"/>
    <xf numFmtId="0" fontId="0" fillId="0" borderId="0" xfId="0" applyFill="1" applyBorder="1"/>
    <xf numFmtId="0" fontId="0" fillId="0" borderId="0" xfId="0" applyBorder="1"/>
    <xf numFmtId="9" fontId="0" fillId="0" borderId="0" xfId="0" applyNumberFormat="1" applyFill="1" applyBorder="1"/>
    <xf numFmtId="2" fontId="0" fillId="0" borderId="0" xfId="0" applyNumberFormat="1" applyFill="1" applyBorder="1"/>
    <xf numFmtId="164" fontId="0" fillId="0" borderId="0" xfId="0" applyNumberFormat="1" applyFill="1" applyBorder="1"/>
    <xf numFmtId="2" fontId="1" fillId="0" borderId="0" xfId="0" applyNumberFormat="1" applyFont="1" applyFill="1" applyBorder="1"/>
    <xf numFmtId="0" fontId="7" fillId="3" borderId="14" xfId="0" applyFont="1" applyFill="1" applyBorder="1"/>
    <xf numFmtId="0" fontId="7" fillId="3" borderId="15" xfId="0" applyFont="1" applyFill="1" applyBorder="1"/>
    <xf numFmtId="0" fontId="0" fillId="4" borderId="14" xfId="0" applyFont="1" applyFill="1" applyBorder="1"/>
    <xf numFmtId="9" fontId="0" fillId="4" borderId="14" xfId="0" applyNumberFormat="1" applyFont="1" applyFill="1" applyBorder="1"/>
    <xf numFmtId="0" fontId="0" fillId="0" borderId="14" xfId="0" applyFont="1" applyBorder="1"/>
    <xf numFmtId="9" fontId="0" fillId="0" borderId="14" xfId="0" applyNumberFormat="1" applyFont="1" applyBorder="1"/>
    <xf numFmtId="2" fontId="0" fillId="0" borderId="14" xfId="0" applyNumberFormat="1" applyFont="1" applyBorder="1"/>
    <xf numFmtId="0" fontId="2" fillId="0" borderId="0" xfId="0" applyFont="1" applyFill="1" applyBorder="1" applyAlignment="1">
      <alignment horizontal="center" vertical="center"/>
    </xf>
    <xf numFmtId="0" fontId="2" fillId="0" borderId="5" xfId="0" applyFont="1" applyFill="1" applyBorder="1" applyAlignment="1">
      <alignment horizontal="left" vertical="center"/>
    </xf>
    <xf numFmtId="0" fontId="0" fillId="0" borderId="0" xfId="0" applyFont="1" applyBorder="1"/>
    <xf numFmtId="9" fontId="0" fillId="4" borderId="14" xfId="1" applyFont="1" applyFill="1" applyBorder="1"/>
    <xf numFmtId="9" fontId="0" fillId="0" borderId="14" xfId="1" applyFont="1" applyFill="1" applyBorder="1"/>
    <xf numFmtId="0" fontId="7" fillId="2" borderId="8" xfId="0" applyFont="1" applyFill="1" applyBorder="1" applyAlignment="1">
      <alignment wrapText="1"/>
    </xf>
    <xf numFmtId="0" fontId="7" fillId="2" borderId="7" xfId="0" applyFont="1" applyFill="1" applyBorder="1" applyAlignment="1">
      <alignment wrapText="1"/>
    </xf>
    <xf numFmtId="0" fontId="7" fillId="3" borderId="16" xfId="0" applyFont="1" applyFill="1" applyBorder="1" applyAlignment="1">
      <alignment wrapText="1"/>
    </xf>
    <xf numFmtId="0" fontId="7" fillId="3" borderId="17" xfId="0" applyFont="1" applyFill="1" applyBorder="1" applyAlignment="1">
      <alignment wrapText="1"/>
    </xf>
    <xf numFmtId="9" fontId="0" fillId="0" borderId="2" xfId="0" applyNumberFormat="1" applyFill="1" applyBorder="1"/>
    <xf numFmtId="0" fontId="13" fillId="2" borderId="12" xfId="0" applyFont="1" applyFill="1" applyBorder="1" applyAlignment="1">
      <alignment horizontal="left" wrapText="1" indent="1"/>
    </xf>
    <xf numFmtId="0" fontId="1" fillId="0" borderId="5" xfId="0" applyFont="1" applyFill="1" applyBorder="1"/>
    <xf numFmtId="9" fontId="0" fillId="0" borderId="4" xfId="0" applyNumberFormat="1" applyBorder="1"/>
    <xf numFmtId="0" fontId="10" fillId="2" borderId="3" xfId="0" applyFont="1" applyFill="1" applyBorder="1"/>
    <xf numFmtId="0" fontId="10" fillId="2" borderId="2" xfId="0" applyFont="1" applyFill="1" applyBorder="1"/>
    <xf numFmtId="1" fontId="10" fillId="2" borderId="1" xfId="0" applyNumberFormat="1" applyFont="1" applyFill="1" applyBorder="1"/>
    <xf numFmtId="2" fontId="0" fillId="4" borderId="14" xfId="0" applyNumberFormat="1" applyFont="1" applyFill="1" applyBorder="1"/>
    <xf numFmtId="1" fontId="2" fillId="0" borderId="4" xfId="0" applyNumberFormat="1" applyFont="1" applyFill="1" applyBorder="1"/>
    <xf numFmtId="0" fontId="10" fillId="2" borderId="0" xfId="0" applyFont="1" applyFill="1" applyBorder="1"/>
    <xf numFmtId="2" fontId="1" fillId="0" borderId="12" xfId="0" applyNumberFormat="1" applyFont="1" applyFill="1" applyBorder="1"/>
    <xf numFmtId="2" fontId="9" fillId="0" borderId="0" xfId="0" applyNumberFormat="1" applyFont="1" applyFill="1"/>
    <xf numFmtId="0" fontId="13" fillId="2" borderId="12" xfId="0" applyFont="1" applyFill="1" applyBorder="1" applyAlignment="1">
      <alignment horizontal="left" indent="1"/>
    </xf>
    <xf numFmtId="0" fontId="13" fillId="2" borderId="13" xfId="0" applyFont="1" applyFill="1" applyBorder="1" applyAlignment="1">
      <alignment horizontal="left" indent="1"/>
    </xf>
    <xf numFmtId="0" fontId="0" fillId="2" borderId="0" xfId="0" applyFill="1"/>
    <xf numFmtId="3" fontId="1" fillId="0" borderId="6" xfId="0" applyNumberFormat="1" applyFont="1" applyFill="1" applyBorder="1"/>
    <xf numFmtId="3" fontId="1" fillId="0" borderId="4" xfId="0" applyNumberFormat="1" applyFont="1" applyFill="1" applyBorder="1"/>
    <xf numFmtId="0" fontId="4" fillId="0" borderId="5" xfId="0" applyFont="1" applyFill="1" applyBorder="1"/>
    <xf numFmtId="0" fontId="12" fillId="0" borderId="0" xfId="0" applyFont="1" applyFill="1" applyBorder="1"/>
    <xf numFmtId="0" fontId="1" fillId="0" borderId="0" xfId="0" applyFont="1" applyFill="1" applyBorder="1"/>
    <xf numFmtId="0" fontId="1" fillId="0" borderId="20" xfId="0" applyFont="1" applyBorder="1" applyAlignment="1">
      <alignment vertical="center" wrapText="1"/>
    </xf>
    <xf numFmtId="0" fontId="1" fillId="0" borderId="23" xfId="0" applyFont="1" applyBorder="1" applyAlignment="1">
      <alignment vertical="center" wrapText="1"/>
    </xf>
    <xf numFmtId="0" fontId="1" fillId="0" borderId="25" xfId="0" applyFont="1" applyBorder="1" applyAlignment="1">
      <alignment vertical="center" wrapText="1"/>
    </xf>
    <xf numFmtId="0" fontId="8" fillId="0" borderId="8" xfId="0" applyFont="1" applyFill="1" applyBorder="1" applyAlignment="1">
      <alignment vertical="center" wrapText="1"/>
    </xf>
    <xf numFmtId="0" fontId="6" fillId="0" borderId="7" xfId="0" applyFont="1" applyFill="1" applyBorder="1" applyAlignment="1">
      <alignment vertical="center"/>
    </xf>
    <xf numFmtId="0" fontId="9" fillId="0" borderId="7" xfId="0" applyFont="1" applyFill="1" applyBorder="1"/>
    <xf numFmtId="0" fontId="9" fillId="0" borderId="6" xfId="0" applyFont="1" applyFill="1" applyBorder="1"/>
    <xf numFmtId="0" fontId="8" fillId="0" borderId="7" xfId="0" applyFont="1" applyFill="1" applyBorder="1" applyAlignment="1">
      <alignment vertical="center"/>
    </xf>
    <xf numFmtId="0" fontId="1" fillId="0" borderId="0" xfId="0" applyFont="1" applyBorder="1"/>
    <xf numFmtId="0" fontId="4" fillId="0" borderId="5" xfId="0" applyFont="1" applyBorder="1"/>
    <xf numFmtId="0" fontId="3" fillId="0" borderId="5" xfId="0" applyFont="1" applyFill="1" applyBorder="1"/>
    <xf numFmtId="0" fontId="0" fillId="0" borderId="5" xfId="0" applyBorder="1" applyAlignment="1">
      <alignment wrapText="1"/>
    </xf>
    <xf numFmtId="0" fontId="8" fillId="0" borderId="11" xfId="0" applyFont="1" applyFill="1" applyBorder="1" applyAlignment="1">
      <alignment vertical="center" wrapText="1"/>
    </xf>
    <xf numFmtId="0" fontId="8" fillId="0" borderId="10" xfId="0" applyFont="1" applyFill="1" applyBorder="1" applyAlignment="1">
      <alignment vertical="center"/>
    </xf>
    <xf numFmtId="0" fontId="7" fillId="2" borderId="4" xfId="0" applyFont="1" applyFill="1" applyBorder="1" applyAlignment="1">
      <alignment wrapText="1"/>
    </xf>
    <xf numFmtId="0" fontId="7" fillId="2" borderId="0" xfId="0" applyFont="1" applyFill="1" applyBorder="1" applyAlignment="1">
      <alignment wrapText="1"/>
    </xf>
    <xf numFmtId="0" fontId="3" fillId="0" borderId="8" xfId="0" applyFont="1" applyFill="1" applyBorder="1" applyAlignment="1">
      <alignment horizontal="left"/>
    </xf>
    <xf numFmtId="0" fontId="3" fillId="0" borderId="5" xfId="0" applyFont="1" applyFill="1" applyBorder="1" applyAlignment="1">
      <alignment horizontal="left"/>
    </xf>
    <xf numFmtId="0" fontId="3" fillId="0" borderId="3" xfId="0" applyFont="1" applyFill="1" applyBorder="1" applyAlignment="1">
      <alignment horizontal="left"/>
    </xf>
    <xf numFmtId="0" fontId="15" fillId="0" borderId="5" xfId="0" applyFont="1" applyBorder="1"/>
    <xf numFmtId="0" fontId="1" fillId="0" borderId="6" xfId="0" applyFont="1" applyFill="1" applyBorder="1"/>
    <xf numFmtId="0" fontId="0" fillId="0" borderId="5" xfId="0" applyFill="1" applyBorder="1" applyAlignment="1">
      <alignment wrapText="1"/>
    </xf>
    <xf numFmtId="0" fontId="19" fillId="0" borderId="0"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7" fillId="3" borderId="28" xfId="0" applyFont="1" applyFill="1" applyBorder="1"/>
    <xf numFmtId="0" fontId="4" fillId="4" borderId="28" xfId="0" applyFont="1" applyFill="1" applyBorder="1"/>
    <xf numFmtId="0" fontId="4" fillId="0" borderId="28" xfId="0" applyFont="1" applyBorder="1"/>
    <xf numFmtId="0" fontId="4" fillId="4" borderId="29" xfId="0" applyFont="1" applyFill="1" applyBorder="1"/>
    <xf numFmtId="2" fontId="0" fillId="4" borderId="30" xfId="0" applyNumberFormat="1" applyFont="1" applyFill="1" applyBorder="1"/>
    <xf numFmtId="9" fontId="0" fillId="4" borderId="30" xfId="0" applyNumberFormat="1" applyFont="1" applyFill="1" applyBorder="1"/>
    <xf numFmtId="2" fontId="1" fillId="0" borderId="2" xfId="0" applyNumberFormat="1" applyFont="1" applyFill="1" applyBorder="1"/>
    <xf numFmtId="0" fontId="3" fillId="0" borderId="5" xfId="0" applyFont="1" applyFill="1" applyBorder="1" applyAlignment="1">
      <alignment horizontal="left" vertical="center"/>
    </xf>
    <xf numFmtId="0" fontId="20" fillId="0" borderId="0" xfId="0" applyFont="1" applyBorder="1" applyAlignment="1">
      <alignment horizontal="left" vertical="center" wrapText="1"/>
    </xf>
    <xf numFmtId="0" fontId="20" fillId="0" borderId="5" xfId="0" applyFont="1" applyBorder="1" applyAlignment="1">
      <alignment horizontal="left" vertical="center" wrapText="1"/>
    </xf>
    <xf numFmtId="1" fontId="1" fillId="0" borderId="4" xfId="0" applyNumberFormat="1" applyFont="1" applyBorder="1"/>
    <xf numFmtId="9" fontId="0" fillId="0" borderId="0" xfId="0" applyNumberFormat="1"/>
    <xf numFmtId="0" fontId="0" fillId="0" borderId="12" xfId="0" applyBorder="1" applyAlignment="1">
      <alignment horizontal="left" vertical="center"/>
    </xf>
    <xf numFmtId="0" fontId="0" fillId="0" borderId="24"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18" fillId="5" borderId="11" xfId="0" applyFont="1" applyFill="1" applyBorder="1" applyAlignment="1">
      <alignment horizontal="center" vertical="center"/>
    </xf>
    <xf numFmtId="0" fontId="18" fillId="5" borderId="10" xfId="0" applyFont="1" applyFill="1" applyBorder="1" applyAlignment="1">
      <alignment horizontal="center" vertical="center"/>
    </xf>
    <xf numFmtId="0" fontId="18" fillId="5" borderId="9" xfId="0" applyFont="1" applyFill="1" applyBorder="1" applyAlignment="1">
      <alignment horizontal="center" vertical="center"/>
    </xf>
    <xf numFmtId="0" fontId="16" fillId="0" borderId="11" xfId="0" applyFont="1" applyBorder="1" applyAlignment="1">
      <alignment horizontal="left" vertical="center" wrapText="1"/>
    </xf>
    <xf numFmtId="0" fontId="16" fillId="0" borderId="10" xfId="0" applyFont="1" applyBorder="1" applyAlignment="1">
      <alignment horizontal="left" vertical="center" wrapText="1"/>
    </xf>
    <xf numFmtId="0" fontId="16" fillId="0" borderId="9" xfId="0" applyFont="1" applyBorder="1" applyAlignment="1">
      <alignment horizontal="left" vertical="center" wrapText="1"/>
    </xf>
    <xf numFmtId="0" fontId="17" fillId="2" borderId="0" xfId="0" applyFont="1" applyFill="1" applyAlignment="1">
      <alignment horizontal="center" vertical="center"/>
    </xf>
    <xf numFmtId="0" fontId="0" fillId="0" borderId="21" xfId="0" applyBorder="1" applyAlignment="1">
      <alignment horizontal="left" vertical="center"/>
    </xf>
    <xf numFmtId="0" fontId="0" fillId="0" borderId="22" xfId="0" applyBorder="1" applyAlignment="1">
      <alignment horizontal="left" vertical="center"/>
    </xf>
    <xf numFmtId="1" fontId="0" fillId="0" borderId="12" xfId="0" applyNumberFormat="1" applyBorder="1" applyAlignment="1">
      <alignment horizontal="left" vertical="center"/>
    </xf>
    <xf numFmtId="1" fontId="0" fillId="0" borderId="24" xfId="0" applyNumberFormat="1" applyBorder="1" applyAlignment="1">
      <alignment horizontal="left" vertical="center"/>
    </xf>
    <xf numFmtId="0" fontId="19" fillId="0" borderId="8" xfId="0" applyFont="1" applyFill="1" applyBorder="1" applyAlignment="1">
      <alignment horizontal="left" vertical="center" wrapText="1"/>
    </xf>
    <xf numFmtId="0" fontId="19" fillId="0" borderId="7"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17" fillId="2" borderId="10" xfId="0" applyFont="1" applyFill="1" applyBorder="1" applyAlignment="1">
      <alignment horizontal="center" vertical="center"/>
    </xf>
    <xf numFmtId="0" fontId="0" fillId="0" borderId="19" xfId="0" applyFont="1" applyFill="1" applyBorder="1" applyAlignment="1">
      <alignment horizontal="left" wrapText="1"/>
    </xf>
    <xf numFmtId="0" fontId="17" fillId="2" borderId="11" xfId="0" applyFont="1" applyFill="1" applyBorder="1" applyAlignment="1">
      <alignment horizontal="center" vertical="center"/>
    </xf>
    <xf numFmtId="0" fontId="17" fillId="2" borderId="9" xfId="0" applyFont="1" applyFill="1" applyBorder="1" applyAlignment="1">
      <alignment horizontal="center" vertical="center"/>
    </xf>
    <xf numFmtId="0" fontId="14" fillId="2" borderId="18" xfId="0" applyFont="1" applyFill="1" applyBorder="1" applyAlignment="1">
      <alignment horizontal="center"/>
    </xf>
    <xf numFmtId="0" fontId="20"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1" xfId="0" applyFont="1" applyBorder="1" applyAlignment="1">
      <alignment horizontal="left" vertical="center" wrapText="1"/>
    </xf>
    <xf numFmtId="0" fontId="14" fillId="2" borderId="3" xfId="0" applyFont="1" applyFill="1" applyBorder="1" applyAlignment="1">
      <alignment horizontal="center" vertical="center"/>
    </xf>
    <xf numFmtId="0" fontId="14" fillId="2" borderId="2" xfId="0" applyFont="1" applyFill="1" applyBorder="1" applyAlignment="1">
      <alignment horizontal="center" vertical="center"/>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on%20Drive/01_PP/02_Projects/00_Projects/EU/France/02_PROJECTS/02_CU_Projects/03_PUR_M&#233;diterran&#233;e/Plantation_Registry_PUR_Hexagone_SU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_OWNER"/>
      <sheetName val="PARAMETERS"/>
      <sheetName val="1 - SETTINGS"/>
      <sheetName val="2 - TRANSLATION"/>
      <sheetName val="1 - LIST"/>
      <sheetName val="3 - FARMER LIST"/>
      <sheetName val="4 - PLANTATION REGISTRY"/>
      <sheetName val="MEMORY"/>
      <sheetName val="Plantation_Registry_PUR_Hexagon"/>
    </sheetNames>
    <sheetDataSet>
      <sheetData sheetId="0"/>
      <sheetData sheetId="1"/>
      <sheetData sheetId="2"/>
      <sheetData sheetId="3"/>
      <sheetData sheetId="4"/>
      <sheetData sheetId="5"/>
      <sheetData sheetId="6"/>
      <sheetData sheetId="7"/>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9625F-0EE5-45CD-920B-4157380A47F9}">
  <dimension ref="A1:L13"/>
  <sheetViews>
    <sheetView topLeftCell="A13" workbookViewId="0">
      <selection activeCell="B10" sqref="B10:L10"/>
    </sheetView>
  </sheetViews>
  <sheetFormatPr baseColWidth="10" defaultRowHeight="14.5" x14ac:dyDescent="0.35"/>
  <cols>
    <col min="1" max="1" width="37.54296875" customWidth="1"/>
    <col min="2" max="2" width="19.90625" customWidth="1"/>
  </cols>
  <sheetData>
    <row r="1" spans="1:12" ht="14.5" customHeight="1" x14ac:dyDescent="0.35">
      <c r="A1" s="138" t="s">
        <v>83</v>
      </c>
      <c r="B1" s="138"/>
      <c r="C1" s="138"/>
      <c r="D1" s="138"/>
      <c r="E1" s="138"/>
      <c r="F1" s="138"/>
      <c r="G1" s="138"/>
      <c r="H1" s="138"/>
      <c r="I1" s="138"/>
      <c r="J1" s="138"/>
      <c r="K1" s="138"/>
      <c r="L1" s="138"/>
    </row>
    <row r="2" spans="1:12" ht="41" customHeight="1" thickBot="1" x14ac:dyDescent="0.4">
      <c r="A2" s="138"/>
      <c r="B2" s="138"/>
      <c r="C2" s="138"/>
      <c r="D2" s="138"/>
      <c r="E2" s="138"/>
      <c r="F2" s="138"/>
      <c r="G2" s="138"/>
      <c r="H2" s="138"/>
      <c r="I2" s="138"/>
      <c r="J2" s="138"/>
      <c r="K2" s="138"/>
      <c r="L2" s="138"/>
    </row>
    <row r="3" spans="1:12" ht="29" customHeight="1" thickBot="1" x14ac:dyDescent="0.4">
      <c r="A3" s="132" t="s">
        <v>99</v>
      </c>
      <c r="B3" s="133"/>
      <c r="C3" s="133"/>
      <c r="D3" s="133"/>
      <c r="E3" s="133"/>
      <c r="F3" s="133"/>
      <c r="G3" s="133"/>
      <c r="H3" s="133"/>
      <c r="I3" s="133"/>
      <c r="J3" s="133"/>
      <c r="K3" s="133"/>
      <c r="L3" s="134"/>
    </row>
    <row r="4" spans="1:12" ht="21" customHeight="1" x14ac:dyDescent="0.35">
      <c r="A4" s="91" t="s">
        <v>85</v>
      </c>
      <c r="B4" s="139" t="s">
        <v>90</v>
      </c>
      <c r="C4" s="139"/>
      <c r="D4" s="139"/>
      <c r="E4" s="139"/>
      <c r="F4" s="139"/>
      <c r="G4" s="139"/>
      <c r="H4" s="139"/>
      <c r="I4" s="139"/>
      <c r="J4" s="139"/>
      <c r="K4" s="139"/>
      <c r="L4" s="140"/>
    </row>
    <row r="5" spans="1:12" ht="17" customHeight="1" x14ac:dyDescent="0.35">
      <c r="A5" s="92" t="s">
        <v>86</v>
      </c>
      <c r="B5" s="128" t="s">
        <v>91</v>
      </c>
      <c r="C5" s="128"/>
      <c r="D5" s="128"/>
      <c r="E5" s="128"/>
      <c r="F5" s="128"/>
      <c r="G5" s="128"/>
      <c r="H5" s="128"/>
      <c r="I5" s="128"/>
      <c r="J5" s="128"/>
      <c r="K5" s="128"/>
      <c r="L5" s="129"/>
    </row>
    <row r="6" spans="1:12" ht="19" customHeight="1" x14ac:dyDescent="0.35">
      <c r="A6" s="92" t="s">
        <v>87</v>
      </c>
      <c r="B6" s="128" t="s">
        <v>92</v>
      </c>
      <c r="C6" s="128"/>
      <c r="D6" s="128"/>
      <c r="E6" s="128"/>
      <c r="F6" s="128"/>
      <c r="G6" s="128"/>
      <c r="H6" s="128"/>
      <c r="I6" s="128"/>
      <c r="J6" s="128"/>
      <c r="K6" s="128"/>
      <c r="L6" s="129"/>
    </row>
    <row r="7" spans="1:12" ht="21.5" customHeight="1" x14ac:dyDescent="0.35">
      <c r="A7" s="92" t="s">
        <v>94</v>
      </c>
      <c r="B7" s="128" t="s">
        <v>93</v>
      </c>
      <c r="C7" s="128"/>
      <c r="D7" s="128"/>
      <c r="E7" s="128"/>
      <c r="F7" s="128"/>
      <c r="G7" s="128"/>
      <c r="H7" s="128"/>
      <c r="I7" s="128"/>
      <c r="J7" s="128"/>
      <c r="K7" s="128"/>
      <c r="L7" s="129"/>
    </row>
    <row r="8" spans="1:12" ht="21.5" customHeight="1" x14ac:dyDescent="0.35">
      <c r="A8" s="92" t="s">
        <v>95</v>
      </c>
      <c r="B8" s="128" t="s">
        <v>96</v>
      </c>
      <c r="C8" s="128"/>
      <c r="D8" s="128"/>
      <c r="E8" s="128"/>
      <c r="F8" s="128"/>
      <c r="G8" s="128"/>
      <c r="H8" s="128"/>
      <c r="I8" s="128"/>
      <c r="J8" s="128"/>
      <c r="K8" s="128"/>
      <c r="L8" s="129"/>
    </row>
    <row r="9" spans="1:12" ht="30.5" customHeight="1" x14ac:dyDescent="0.35">
      <c r="A9" s="92" t="s">
        <v>101</v>
      </c>
      <c r="B9" s="141">
        <f>'REA forêt'!D10</f>
        <v>720.75989281640238</v>
      </c>
      <c r="C9" s="141"/>
      <c r="D9" s="141"/>
      <c r="E9" s="141"/>
      <c r="F9" s="141"/>
      <c r="G9" s="141"/>
      <c r="H9" s="141"/>
      <c r="I9" s="141"/>
      <c r="J9" s="141"/>
      <c r="K9" s="141"/>
      <c r="L9" s="142"/>
    </row>
    <row r="10" spans="1:12" ht="22" customHeight="1" x14ac:dyDescent="0.35">
      <c r="A10" s="92" t="s">
        <v>88</v>
      </c>
      <c r="B10" s="128" t="s">
        <v>97</v>
      </c>
      <c r="C10" s="128"/>
      <c r="D10" s="128"/>
      <c r="E10" s="128"/>
      <c r="F10" s="128"/>
      <c r="G10" s="128"/>
      <c r="H10" s="128"/>
      <c r="I10" s="128"/>
      <c r="J10" s="128"/>
      <c r="K10" s="128"/>
      <c r="L10" s="129"/>
    </row>
    <row r="11" spans="1:12" ht="23.5" customHeight="1" thickBot="1" x14ac:dyDescent="0.4">
      <c r="A11" s="93" t="s">
        <v>89</v>
      </c>
      <c r="B11" s="130" t="s">
        <v>98</v>
      </c>
      <c r="C11" s="130"/>
      <c r="D11" s="130"/>
      <c r="E11" s="130"/>
      <c r="F11" s="130"/>
      <c r="G11" s="130"/>
      <c r="H11" s="130"/>
      <c r="I11" s="130"/>
      <c r="J11" s="130"/>
      <c r="K11" s="130"/>
      <c r="L11" s="131"/>
    </row>
    <row r="12" spans="1:12" ht="27" customHeight="1" thickBot="1" x14ac:dyDescent="0.4">
      <c r="A12" s="132" t="s">
        <v>100</v>
      </c>
      <c r="B12" s="133"/>
      <c r="C12" s="133"/>
      <c r="D12" s="133"/>
      <c r="E12" s="133"/>
      <c r="F12" s="133"/>
      <c r="G12" s="133"/>
      <c r="H12" s="133"/>
      <c r="I12" s="133"/>
      <c r="J12" s="133"/>
      <c r="K12" s="133"/>
      <c r="L12" s="134"/>
    </row>
    <row r="13" spans="1:12" ht="177" customHeight="1" thickBot="1" x14ac:dyDescent="0.4">
      <c r="A13" s="135" t="s">
        <v>84</v>
      </c>
      <c r="B13" s="136"/>
      <c r="C13" s="136"/>
      <c r="D13" s="136"/>
      <c r="E13" s="136"/>
      <c r="F13" s="136"/>
      <c r="G13" s="136"/>
      <c r="H13" s="136"/>
      <c r="I13" s="136"/>
      <c r="J13" s="136"/>
      <c r="K13" s="136"/>
      <c r="L13" s="137"/>
    </row>
  </sheetData>
  <mergeCells count="12">
    <mergeCell ref="B10:L10"/>
    <mergeCell ref="B11:L11"/>
    <mergeCell ref="A12:L12"/>
    <mergeCell ref="A13:L13"/>
    <mergeCell ref="A1:L2"/>
    <mergeCell ref="A3:L3"/>
    <mergeCell ref="B4:L4"/>
    <mergeCell ref="B5:L5"/>
    <mergeCell ref="B6:L6"/>
    <mergeCell ref="B7:L7"/>
    <mergeCell ref="B8:L8"/>
    <mergeCell ref="B9:L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1E54F-0841-4633-A566-C470D48EE0C3}">
  <dimension ref="A1:J35"/>
  <sheetViews>
    <sheetView topLeftCell="A25" workbookViewId="0">
      <selection activeCell="A23" sqref="A23"/>
    </sheetView>
  </sheetViews>
  <sheetFormatPr baseColWidth="10" defaultRowHeight="14.5" x14ac:dyDescent="0.35"/>
  <cols>
    <col min="1" max="1" width="22.90625" customWidth="1"/>
    <col min="2" max="2" width="33.7265625" customWidth="1"/>
    <col min="3" max="3" width="18.1796875" customWidth="1"/>
    <col min="4" max="4" width="25.36328125" customWidth="1"/>
    <col min="5" max="5" width="19.26953125" customWidth="1"/>
    <col min="6" max="6" width="27.453125" customWidth="1"/>
    <col min="10" max="10" width="41.7265625" customWidth="1"/>
  </cols>
  <sheetData>
    <row r="1" spans="1:8" ht="42.5" customHeight="1" thickBot="1" x14ac:dyDescent="0.4">
      <c r="A1" s="146" t="s">
        <v>102</v>
      </c>
      <c r="B1" s="146"/>
      <c r="C1" s="146"/>
      <c r="D1" s="146"/>
      <c r="E1" s="146"/>
      <c r="F1" s="146"/>
      <c r="G1" s="146"/>
      <c r="H1" s="146"/>
    </row>
    <row r="2" spans="1:8" ht="28" customHeight="1" thickBot="1" x14ac:dyDescent="0.4">
      <c r="A2" s="132" t="s">
        <v>106</v>
      </c>
      <c r="B2" s="133"/>
      <c r="C2" s="133"/>
      <c r="D2" s="133"/>
      <c r="E2" s="133"/>
      <c r="F2" s="133"/>
      <c r="G2" s="133"/>
      <c r="H2" s="134"/>
    </row>
    <row r="3" spans="1:8" ht="38" customHeight="1" x14ac:dyDescent="0.35">
      <c r="A3" s="94" t="s">
        <v>103</v>
      </c>
      <c r="B3" s="98" t="s">
        <v>19</v>
      </c>
      <c r="C3" s="95"/>
      <c r="D3" s="96"/>
      <c r="E3" s="96"/>
      <c r="F3" s="96"/>
      <c r="G3" s="96"/>
      <c r="H3" s="97"/>
    </row>
    <row r="4" spans="1:8" ht="15" thickBot="1" x14ac:dyDescent="0.4">
      <c r="A4" s="100"/>
      <c r="B4" s="50"/>
      <c r="C4" s="50"/>
      <c r="D4" s="50"/>
      <c r="E4" s="50"/>
      <c r="H4" s="6"/>
    </row>
    <row r="5" spans="1:8" x14ac:dyDescent="0.35">
      <c r="A5" s="7" t="s">
        <v>18</v>
      </c>
      <c r="B5" s="50" t="s">
        <v>17</v>
      </c>
      <c r="C5" s="50"/>
      <c r="D5" s="11" t="s">
        <v>16</v>
      </c>
      <c r="E5" s="8"/>
      <c r="H5" s="6"/>
    </row>
    <row r="6" spans="1:8" x14ac:dyDescent="0.35">
      <c r="A6" s="7"/>
      <c r="B6" s="50" t="s">
        <v>15</v>
      </c>
      <c r="C6" s="50"/>
      <c r="D6" s="7"/>
      <c r="E6" s="6"/>
      <c r="H6" s="6"/>
    </row>
    <row r="7" spans="1:8" x14ac:dyDescent="0.35">
      <c r="A7" s="7"/>
      <c r="B7" s="50" t="s">
        <v>14</v>
      </c>
      <c r="C7" s="50"/>
      <c r="D7" s="7" t="s">
        <v>13</v>
      </c>
      <c r="E7" s="6">
        <v>0.47499999999999998</v>
      </c>
      <c r="H7" s="6"/>
    </row>
    <row r="8" spans="1:8" x14ac:dyDescent="0.35">
      <c r="A8" s="7"/>
      <c r="B8" s="49" t="s">
        <v>26</v>
      </c>
      <c r="C8" s="50"/>
      <c r="D8" s="7" t="s">
        <v>12</v>
      </c>
      <c r="E8" s="19">
        <v>70</v>
      </c>
      <c r="H8" s="6"/>
    </row>
    <row r="9" spans="1:8" x14ac:dyDescent="0.35">
      <c r="A9" s="7"/>
      <c r="B9" s="50" t="s">
        <v>11</v>
      </c>
      <c r="C9" s="50"/>
      <c r="D9" s="7" t="s">
        <v>10</v>
      </c>
      <c r="E9" s="19">
        <v>10</v>
      </c>
      <c r="H9" s="6"/>
    </row>
    <row r="10" spans="1:8" ht="15" thickBot="1" x14ac:dyDescent="0.4">
      <c r="A10" s="7"/>
      <c r="B10" s="50" t="s">
        <v>9</v>
      </c>
      <c r="C10" s="50"/>
      <c r="D10" s="29" t="s">
        <v>24</v>
      </c>
      <c r="E10" s="30">
        <v>6</v>
      </c>
      <c r="H10" s="6"/>
    </row>
    <row r="11" spans="1:8" ht="31.5" customHeight="1" thickBot="1" x14ac:dyDescent="0.4">
      <c r="A11" s="10"/>
      <c r="B11" s="3"/>
      <c r="C11" s="3"/>
      <c r="D11" s="3"/>
      <c r="E11" s="3"/>
      <c r="F11" s="3"/>
      <c r="G11" s="3"/>
      <c r="H11" s="2"/>
    </row>
    <row r="12" spans="1:8" ht="21.5" thickBot="1" x14ac:dyDescent="0.4">
      <c r="A12" s="132" t="s">
        <v>105</v>
      </c>
      <c r="B12" s="133"/>
      <c r="C12" s="133"/>
      <c r="D12" s="133"/>
      <c r="E12" s="133"/>
      <c r="F12" s="133"/>
      <c r="G12" s="133"/>
      <c r="H12" s="134"/>
    </row>
    <row r="13" spans="1:8" ht="37.5" customHeight="1" thickBot="1" x14ac:dyDescent="0.5">
      <c r="A13" s="103" t="s">
        <v>104</v>
      </c>
      <c r="B13" s="104"/>
      <c r="C13" s="104" t="s">
        <v>8</v>
      </c>
      <c r="D13" s="104"/>
      <c r="E13" s="104" t="s">
        <v>7</v>
      </c>
      <c r="F13" s="104"/>
      <c r="G13" s="104"/>
      <c r="H13" s="9"/>
    </row>
    <row r="14" spans="1:8" ht="65" customHeight="1" thickBot="1" x14ac:dyDescent="0.4">
      <c r="A14" s="143" t="s">
        <v>107</v>
      </c>
      <c r="B14" s="144"/>
      <c r="C14" s="144"/>
      <c r="D14" s="144"/>
      <c r="E14" s="144"/>
      <c r="F14" s="144"/>
      <c r="G14" s="144"/>
      <c r="H14" s="145"/>
    </row>
    <row r="15" spans="1:8" x14ac:dyDescent="0.35">
      <c r="A15" s="7"/>
      <c r="B15" s="50"/>
      <c r="C15" s="99"/>
      <c r="D15" s="11" t="s">
        <v>16</v>
      </c>
      <c r="E15" s="8"/>
      <c r="F15" s="50"/>
      <c r="G15" s="50"/>
      <c r="H15" s="6"/>
    </row>
    <row r="16" spans="1:8" ht="35.15" customHeight="1" x14ac:dyDescent="0.35">
      <c r="A16" s="7"/>
      <c r="B16" s="50"/>
      <c r="C16" s="50"/>
      <c r="D16" s="102" t="s">
        <v>6</v>
      </c>
      <c r="E16" s="6">
        <v>1.3</v>
      </c>
      <c r="F16" s="50"/>
      <c r="G16" s="50"/>
      <c r="H16" s="6"/>
    </row>
    <row r="17" spans="1:10" ht="22.5" customHeight="1" x14ac:dyDescent="0.35">
      <c r="A17" s="7"/>
      <c r="B17" s="50"/>
      <c r="C17" s="50"/>
      <c r="D17" s="7" t="s">
        <v>5</v>
      </c>
      <c r="E17" s="6">
        <v>1.56</v>
      </c>
      <c r="F17" s="50"/>
      <c r="G17" s="50"/>
      <c r="H17" s="6"/>
    </row>
    <row r="18" spans="1:10" ht="73.5" customHeight="1" thickBot="1" x14ac:dyDescent="0.4">
      <c r="A18" s="7"/>
      <c r="B18" s="50"/>
      <c r="C18" s="49"/>
      <c r="D18" s="31" t="s">
        <v>108</v>
      </c>
      <c r="E18" s="30">
        <v>30</v>
      </c>
      <c r="F18" s="50"/>
      <c r="G18" s="50"/>
      <c r="H18" s="6"/>
    </row>
    <row r="19" spans="1:10" ht="26.15" customHeight="1" thickBot="1" x14ac:dyDescent="0.4">
      <c r="A19" s="101"/>
      <c r="B19" s="49"/>
      <c r="C19" s="49"/>
      <c r="D19" s="50"/>
      <c r="E19" s="50"/>
      <c r="F19" s="50"/>
      <c r="G19" s="50"/>
      <c r="H19" s="6"/>
    </row>
    <row r="20" spans="1:10" ht="35" customHeight="1" x14ac:dyDescent="0.35">
      <c r="A20" s="67" t="s">
        <v>28</v>
      </c>
      <c r="B20" s="105" t="s">
        <v>29</v>
      </c>
      <c r="C20" s="106" t="s">
        <v>30</v>
      </c>
      <c r="D20" s="68" t="s">
        <v>61</v>
      </c>
      <c r="E20" s="69" t="s">
        <v>60</v>
      </c>
      <c r="F20" s="70" t="s">
        <v>45</v>
      </c>
      <c r="G20" s="50"/>
      <c r="H20" s="6"/>
    </row>
    <row r="21" spans="1:10" x14ac:dyDescent="0.35">
      <c r="A21" s="88" t="s">
        <v>76</v>
      </c>
      <c r="B21" s="19">
        <v>0.73</v>
      </c>
      <c r="C21" s="51">
        <v>0.1</v>
      </c>
      <c r="D21" s="50">
        <f>C21*1</f>
        <v>0.1</v>
      </c>
      <c r="E21" s="50">
        <f>D21*30</f>
        <v>3</v>
      </c>
      <c r="F21" s="6">
        <f>E21*B21*$E$17</f>
        <v>3.4163999999999999</v>
      </c>
      <c r="G21" s="50"/>
      <c r="H21" s="6"/>
    </row>
    <row r="22" spans="1:10" x14ac:dyDescent="0.35">
      <c r="A22" s="88" t="s">
        <v>77</v>
      </c>
      <c r="B22" s="19">
        <v>0.65</v>
      </c>
      <c r="C22" s="51">
        <v>0.05</v>
      </c>
      <c r="D22" s="50">
        <f t="shared" ref="D22:D26" si="0">C22*1</f>
        <v>0.05</v>
      </c>
      <c r="E22" s="50">
        <f t="shared" ref="E22:E26" si="1">D22*30</f>
        <v>1.5</v>
      </c>
      <c r="F22" s="6">
        <f>E22*B22*$E$17</f>
        <v>1.5210000000000001</v>
      </c>
      <c r="G22" s="50"/>
      <c r="H22" s="6"/>
    </row>
    <row r="23" spans="1:10" x14ac:dyDescent="0.35">
      <c r="A23" s="88" t="s">
        <v>72</v>
      </c>
      <c r="B23" s="19">
        <v>0.64</v>
      </c>
      <c r="C23" s="51">
        <v>0.05</v>
      </c>
      <c r="D23" s="50">
        <f t="shared" si="0"/>
        <v>0.05</v>
      </c>
      <c r="E23" s="50">
        <f t="shared" si="1"/>
        <v>1.5</v>
      </c>
      <c r="F23" s="6">
        <f>E23*B23*$E$17</f>
        <v>1.4976</v>
      </c>
      <c r="G23" s="50"/>
      <c r="H23" s="6"/>
    </row>
    <row r="24" spans="1:10" x14ac:dyDescent="0.35">
      <c r="A24" s="88" t="s">
        <v>74</v>
      </c>
      <c r="B24" s="19">
        <v>0.45</v>
      </c>
      <c r="C24" s="51">
        <v>0.4</v>
      </c>
      <c r="D24" s="50">
        <f t="shared" si="0"/>
        <v>0.4</v>
      </c>
      <c r="E24" s="50">
        <f t="shared" si="1"/>
        <v>12</v>
      </c>
      <c r="F24" s="6">
        <f>E24*B24*$E$16</f>
        <v>7.0200000000000005</v>
      </c>
      <c r="G24" s="50"/>
      <c r="H24" s="6"/>
    </row>
    <row r="25" spans="1:10" x14ac:dyDescent="0.35">
      <c r="A25" s="88" t="s">
        <v>68</v>
      </c>
      <c r="B25" s="19">
        <v>0.48</v>
      </c>
      <c r="C25" s="51">
        <v>0.4</v>
      </c>
      <c r="D25" s="50">
        <f t="shared" si="0"/>
        <v>0.4</v>
      </c>
      <c r="E25" s="50">
        <f t="shared" si="1"/>
        <v>12</v>
      </c>
      <c r="F25" s="6">
        <f>E25*B25*$E$16</f>
        <v>7.4879999999999995</v>
      </c>
      <c r="G25" s="50"/>
      <c r="H25" s="6"/>
    </row>
    <row r="26" spans="1:10" ht="15" thickBot="1" x14ac:dyDescent="0.4">
      <c r="A26" s="29" t="s">
        <v>31</v>
      </c>
      <c r="B26" s="30"/>
      <c r="C26" s="71">
        <f>SUM(C21:C25)</f>
        <v>1</v>
      </c>
      <c r="D26" s="3">
        <f t="shared" si="0"/>
        <v>1</v>
      </c>
      <c r="E26" s="3">
        <f t="shared" si="1"/>
        <v>30</v>
      </c>
      <c r="F26" s="2">
        <f>SUM(F21:F25)</f>
        <v>20.943000000000001</v>
      </c>
      <c r="G26" s="50"/>
      <c r="H26" s="6"/>
    </row>
    <row r="27" spans="1:10" ht="15" thickBot="1" x14ac:dyDescent="0.4">
      <c r="A27" s="29"/>
      <c r="B27" s="45"/>
      <c r="C27" s="71"/>
      <c r="D27" s="3"/>
      <c r="E27" s="3"/>
      <c r="F27" s="3"/>
      <c r="G27" s="3"/>
      <c r="H27" s="2"/>
    </row>
    <row r="28" spans="1:10" ht="21.5" thickBot="1" x14ac:dyDescent="0.4">
      <c r="A28" s="132" t="s">
        <v>109</v>
      </c>
      <c r="B28" s="133"/>
      <c r="C28" s="133"/>
      <c r="D28" s="133"/>
      <c r="E28" s="133"/>
      <c r="F28" s="133"/>
      <c r="G28" s="133"/>
      <c r="H28" s="134"/>
    </row>
    <row r="29" spans="1:10" ht="44.5" customHeight="1" thickBot="1" x14ac:dyDescent="0.4">
      <c r="A29" s="143" t="s">
        <v>110</v>
      </c>
      <c r="B29" s="144"/>
      <c r="C29" s="144"/>
      <c r="D29" s="144"/>
      <c r="E29" s="144"/>
      <c r="F29" s="144"/>
      <c r="G29" s="144"/>
      <c r="H29" s="145"/>
    </row>
    <row r="30" spans="1:10" ht="15.5" x14ac:dyDescent="0.35">
      <c r="A30" s="107" t="s">
        <v>4</v>
      </c>
      <c r="B30" s="34" t="s">
        <v>20</v>
      </c>
      <c r="C30" s="35">
        <f>F26</f>
        <v>20.943000000000001</v>
      </c>
      <c r="D30" s="50"/>
      <c r="E30" s="89"/>
      <c r="F30" s="49"/>
      <c r="G30" s="50"/>
      <c r="H30" s="6"/>
    </row>
    <row r="31" spans="1:10" ht="15.5" x14ac:dyDescent="0.35">
      <c r="A31" s="108" t="s">
        <v>3</v>
      </c>
      <c r="B31" s="90" t="s">
        <v>21</v>
      </c>
      <c r="C31" s="38">
        <f>EXP(-1.0587+0.8836*LN(C30)+0.284)</f>
        <v>6.7736387381506313</v>
      </c>
      <c r="D31" s="50"/>
      <c r="E31" s="50"/>
      <c r="F31" s="50"/>
      <c r="G31" s="50"/>
      <c r="H31" s="6"/>
    </row>
    <row r="32" spans="1:10" ht="15.5" x14ac:dyDescent="0.35">
      <c r="A32" s="108" t="s">
        <v>2</v>
      </c>
      <c r="B32" s="90" t="s">
        <v>22</v>
      </c>
      <c r="C32" s="38">
        <f>(C31+C30)*E7</f>
        <v>13.16540340062155</v>
      </c>
      <c r="D32" s="50"/>
      <c r="E32" s="50"/>
      <c r="F32" s="50"/>
      <c r="G32" s="50"/>
      <c r="H32" s="6"/>
      <c r="J32" s="1"/>
    </row>
    <row r="33" spans="1:8" ht="18.5" x14ac:dyDescent="0.45">
      <c r="A33" s="108" t="s">
        <v>1</v>
      </c>
      <c r="B33" s="39" t="s">
        <v>23</v>
      </c>
      <c r="C33" s="13">
        <f>(C32+E8+E9)*(44/12)</f>
        <v>341.60647913561235</v>
      </c>
      <c r="D33" s="50"/>
      <c r="E33" s="50"/>
      <c r="F33" s="50"/>
      <c r="G33" s="50"/>
      <c r="H33" s="6"/>
    </row>
    <row r="34" spans="1:8" ht="19" thickBot="1" x14ac:dyDescent="0.5">
      <c r="A34" s="109" t="s">
        <v>25</v>
      </c>
      <c r="B34" s="41" t="s">
        <v>0</v>
      </c>
      <c r="C34" s="42">
        <f>C33*E10</f>
        <v>2049.6388748136742</v>
      </c>
      <c r="D34" s="50"/>
      <c r="E34" s="50"/>
      <c r="F34" s="50"/>
      <c r="G34" s="50"/>
      <c r="H34" s="6"/>
    </row>
    <row r="35" spans="1:8" ht="15" thickBot="1" x14ac:dyDescent="0.4">
      <c r="A35" s="43"/>
      <c r="B35" s="44"/>
      <c r="C35" s="45"/>
      <c r="D35" s="3"/>
      <c r="E35" s="3"/>
      <c r="F35" s="3"/>
      <c r="G35" s="3"/>
      <c r="H35" s="2"/>
    </row>
  </sheetData>
  <mergeCells count="6">
    <mergeCell ref="A28:H28"/>
    <mergeCell ref="A29:H29"/>
    <mergeCell ref="A1:H1"/>
    <mergeCell ref="A12:H12"/>
    <mergeCell ref="A2:H2"/>
    <mergeCell ref="A14:H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0"/>
  <sheetViews>
    <sheetView tabSelected="1" topLeftCell="A10" workbookViewId="0">
      <selection activeCell="A14" sqref="A14:H14"/>
    </sheetView>
  </sheetViews>
  <sheetFormatPr baseColWidth="10" defaultRowHeight="14.5" x14ac:dyDescent="0.35"/>
  <cols>
    <col min="1" max="1" width="27.81640625" customWidth="1"/>
    <col min="2" max="2" width="21" customWidth="1"/>
    <col min="3" max="3" width="18.453125" customWidth="1"/>
    <col min="4" max="4" width="28.08984375" customWidth="1"/>
    <col min="5" max="5" width="26.54296875" customWidth="1"/>
    <col min="6" max="6" width="20.7265625" customWidth="1"/>
    <col min="7" max="7" width="19.54296875" customWidth="1"/>
    <col min="10" max="10" width="41.7265625" customWidth="1"/>
  </cols>
  <sheetData>
    <row r="1" spans="1:8" ht="50.5" customHeight="1" thickBot="1" x14ac:dyDescent="0.4">
      <c r="A1" s="146" t="s">
        <v>112</v>
      </c>
      <c r="B1" s="146"/>
      <c r="C1" s="146"/>
      <c r="D1" s="146"/>
      <c r="E1" s="146"/>
      <c r="F1" s="146"/>
      <c r="G1" s="146"/>
      <c r="H1" s="146"/>
    </row>
    <row r="2" spans="1:8" ht="39.5" customHeight="1" thickBot="1" x14ac:dyDescent="0.4">
      <c r="A2" s="132" t="s">
        <v>106</v>
      </c>
      <c r="B2" s="133"/>
      <c r="C2" s="133"/>
      <c r="D2" s="133"/>
      <c r="E2" s="133"/>
      <c r="F2" s="133"/>
      <c r="G2" s="133"/>
      <c r="H2" s="134"/>
    </row>
    <row r="3" spans="1:8" ht="43" customHeight="1" thickBot="1" x14ac:dyDescent="0.4">
      <c r="A3" s="94" t="s">
        <v>103</v>
      </c>
      <c r="B3" s="98" t="s">
        <v>19</v>
      </c>
      <c r="C3" s="95"/>
      <c r="D3" s="95"/>
      <c r="E3" s="95"/>
      <c r="F3" s="95"/>
      <c r="G3" s="95"/>
      <c r="H3" s="95"/>
    </row>
    <row r="4" spans="1:8" ht="15" thickBot="1" x14ac:dyDescent="0.4">
      <c r="A4" s="46"/>
      <c r="B4" s="47"/>
      <c r="C4" s="47"/>
      <c r="D4" s="47"/>
      <c r="E4" s="47"/>
      <c r="F4" s="47"/>
      <c r="G4" s="47"/>
      <c r="H4" s="8"/>
    </row>
    <row r="5" spans="1:8" x14ac:dyDescent="0.35">
      <c r="A5" s="18" t="s">
        <v>18</v>
      </c>
      <c r="B5" s="12" t="s">
        <v>17</v>
      </c>
      <c r="C5" s="12"/>
      <c r="D5" s="48" t="s">
        <v>16</v>
      </c>
      <c r="E5" s="32"/>
      <c r="H5" s="6"/>
    </row>
    <row r="6" spans="1:8" x14ac:dyDescent="0.35">
      <c r="A6" s="18"/>
      <c r="B6" s="12" t="s">
        <v>15</v>
      </c>
      <c r="C6" s="12"/>
      <c r="D6" s="18"/>
      <c r="E6" s="19"/>
      <c r="H6" s="6"/>
    </row>
    <row r="7" spans="1:8" x14ac:dyDescent="0.35">
      <c r="A7" s="18"/>
      <c r="B7" s="12" t="s">
        <v>14</v>
      </c>
      <c r="C7" s="12"/>
      <c r="D7" s="18" t="s">
        <v>13</v>
      </c>
      <c r="E7" s="19">
        <v>0.47499999999999998</v>
      </c>
      <c r="H7" s="6"/>
    </row>
    <row r="8" spans="1:8" x14ac:dyDescent="0.35">
      <c r="A8" s="18"/>
      <c r="B8" s="12" t="s">
        <v>26</v>
      </c>
      <c r="C8" s="12"/>
      <c r="D8" s="18" t="s">
        <v>12</v>
      </c>
      <c r="E8" s="19">
        <v>70</v>
      </c>
      <c r="H8" s="6"/>
    </row>
    <row r="9" spans="1:8" x14ac:dyDescent="0.35">
      <c r="A9" s="18"/>
      <c r="B9" s="12" t="s">
        <v>11</v>
      </c>
      <c r="C9" s="12"/>
      <c r="D9" s="18" t="s">
        <v>10</v>
      </c>
      <c r="E9" s="19">
        <v>10</v>
      </c>
      <c r="H9" s="6"/>
    </row>
    <row r="10" spans="1:8" ht="15" thickBot="1" x14ac:dyDescent="0.4">
      <c r="A10" s="18"/>
      <c r="B10" s="12" t="s">
        <v>9</v>
      </c>
      <c r="C10" s="12"/>
      <c r="D10" s="29" t="s">
        <v>24</v>
      </c>
      <c r="E10" s="30">
        <v>6</v>
      </c>
      <c r="H10" s="6"/>
    </row>
    <row r="11" spans="1:8" ht="15" thickBot="1" x14ac:dyDescent="0.4">
      <c r="A11" s="29"/>
      <c r="B11" s="45"/>
      <c r="C11" s="45"/>
      <c r="D11" s="45"/>
      <c r="E11" s="45"/>
      <c r="F11" s="45"/>
      <c r="G11" s="45"/>
      <c r="H11" s="2"/>
    </row>
    <row r="12" spans="1:8" ht="21.5" thickBot="1" x14ac:dyDescent="0.4">
      <c r="A12" s="132" t="s">
        <v>105</v>
      </c>
      <c r="B12" s="133"/>
      <c r="C12" s="133"/>
      <c r="D12" s="133"/>
      <c r="E12" s="133"/>
      <c r="F12" s="133"/>
      <c r="G12" s="133"/>
      <c r="H12" s="134"/>
    </row>
    <row r="13" spans="1:8" ht="29.5" thickBot="1" x14ac:dyDescent="0.5">
      <c r="A13" s="103" t="s">
        <v>104</v>
      </c>
      <c r="B13" s="104"/>
      <c r="C13" s="104" t="s">
        <v>8</v>
      </c>
      <c r="D13" s="104"/>
      <c r="E13" s="104" t="s">
        <v>7</v>
      </c>
      <c r="F13" s="104"/>
      <c r="G13" s="104"/>
      <c r="H13" s="9"/>
    </row>
    <row r="14" spans="1:8" ht="104.5" customHeight="1" x14ac:dyDescent="0.35">
      <c r="A14" s="143" t="s">
        <v>113</v>
      </c>
      <c r="B14" s="144"/>
      <c r="C14" s="144"/>
      <c r="D14" s="144"/>
      <c r="E14" s="144"/>
      <c r="F14" s="144"/>
      <c r="G14" s="144"/>
      <c r="H14" s="145"/>
    </row>
    <row r="15" spans="1:8" ht="26" customHeight="1" thickBot="1" x14ac:dyDescent="0.4">
      <c r="A15" s="114"/>
      <c r="B15" s="113"/>
      <c r="C15" s="113"/>
      <c r="D15" s="113"/>
      <c r="E15" s="113"/>
      <c r="F15" s="113"/>
      <c r="G15" s="113"/>
      <c r="H15" s="115"/>
    </row>
    <row r="16" spans="1:8" x14ac:dyDescent="0.35">
      <c r="A16" s="18"/>
      <c r="B16" s="49"/>
      <c r="C16" s="90"/>
      <c r="D16" s="48" t="s">
        <v>16</v>
      </c>
      <c r="E16" s="111"/>
      <c r="F16" s="49"/>
      <c r="G16" s="49"/>
      <c r="H16" s="6"/>
    </row>
    <row r="17" spans="1:8" ht="35.15" customHeight="1" x14ac:dyDescent="0.35">
      <c r="A17" s="7"/>
      <c r="B17" s="50"/>
      <c r="C17" s="49"/>
      <c r="D17" s="112" t="s">
        <v>6</v>
      </c>
      <c r="E17" s="19">
        <v>1.3</v>
      </c>
      <c r="F17" s="49"/>
      <c r="G17" s="49"/>
      <c r="H17" s="6"/>
    </row>
    <row r="18" spans="1:8" ht="22.5" customHeight="1" thickBot="1" x14ac:dyDescent="0.4">
      <c r="A18" s="7"/>
      <c r="B18" s="50"/>
      <c r="C18" s="49"/>
      <c r="D18" s="29" t="s">
        <v>5</v>
      </c>
      <c r="E18" s="30">
        <v>1.56</v>
      </c>
      <c r="F18" s="49"/>
      <c r="G18" s="49"/>
      <c r="H18" s="6"/>
    </row>
    <row r="19" spans="1:8" ht="28" customHeight="1" x14ac:dyDescent="0.35">
      <c r="A19" s="7"/>
      <c r="B19" s="50"/>
      <c r="C19" s="49"/>
      <c r="D19" s="49"/>
      <c r="E19" s="49"/>
      <c r="F19" s="49"/>
      <c r="G19" s="49"/>
      <c r="H19" s="6"/>
    </row>
    <row r="20" spans="1:8" ht="26.15" customHeight="1" x14ac:dyDescent="0.35">
      <c r="A20" s="123" t="s">
        <v>57</v>
      </c>
      <c r="B20" s="62"/>
      <c r="C20" s="62"/>
      <c r="D20" s="62"/>
      <c r="E20" s="62"/>
      <c r="F20" s="62"/>
      <c r="G20" s="62"/>
      <c r="H20" s="6"/>
    </row>
    <row r="21" spans="1:8" ht="15" customHeight="1" x14ac:dyDescent="0.35">
      <c r="A21" s="116" t="s">
        <v>28</v>
      </c>
      <c r="B21" s="55" t="s">
        <v>29</v>
      </c>
      <c r="C21" s="55" t="s">
        <v>59</v>
      </c>
      <c r="D21" s="55" t="s">
        <v>79</v>
      </c>
      <c r="E21" s="55" t="s">
        <v>60</v>
      </c>
      <c r="F21" s="56" t="s">
        <v>75</v>
      </c>
      <c r="G21" s="62"/>
      <c r="H21" s="6"/>
    </row>
    <row r="22" spans="1:8" ht="15" customHeight="1" x14ac:dyDescent="0.35">
      <c r="A22" s="117" t="s">
        <v>71</v>
      </c>
      <c r="B22" s="57">
        <v>0.73</v>
      </c>
      <c r="C22" s="57">
        <v>1</v>
      </c>
      <c r="D22" s="65">
        <f>0.7/2</f>
        <v>0.35</v>
      </c>
      <c r="E22" s="78">
        <f>C22*D22*30</f>
        <v>10.5</v>
      </c>
      <c r="F22" s="78">
        <f>E22*B22*$E$18</f>
        <v>11.9574</v>
      </c>
      <c r="G22" s="62"/>
      <c r="H22" s="6"/>
    </row>
    <row r="23" spans="1:8" ht="15" customHeight="1" x14ac:dyDescent="0.35">
      <c r="A23" s="118" t="s">
        <v>72</v>
      </c>
      <c r="B23" s="59">
        <v>0.64</v>
      </c>
      <c r="C23" s="59">
        <v>1</v>
      </c>
      <c r="D23" s="66">
        <f>0.7/2</f>
        <v>0.35</v>
      </c>
      <c r="E23" s="61">
        <f>C23*D23*30</f>
        <v>10.5</v>
      </c>
      <c r="F23" s="61">
        <f>E23*B23*$E$18</f>
        <v>10.4832</v>
      </c>
      <c r="G23" s="62"/>
      <c r="H23" s="6"/>
    </row>
    <row r="24" spans="1:8" ht="21" customHeight="1" x14ac:dyDescent="0.35">
      <c r="A24" s="63"/>
      <c r="B24" s="62"/>
      <c r="C24" s="62"/>
      <c r="D24" s="147"/>
      <c r="E24" s="147"/>
      <c r="F24" s="62"/>
      <c r="G24" s="62"/>
      <c r="H24" s="6"/>
    </row>
    <row r="25" spans="1:8" ht="15" customHeight="1" x14ac:dyDescent="0.35">
      <c r="A25" s="63"/>
      <c r="B25" s="62"/>
      <c r="C25" s="62"/>
      <c r="D25" s="62"/>
      <c r="E25" s="62"/>
      <c r="F25" s="62"/>
      <c r="G25" s="62"/>
      <c r="H25" s="6"/>
    </row>
    <row r="26" spans="1:8" ht="20" customHeight="1" x14ac:dyDescent="0.35">
      <c r="A26" s="123" t="s">
        <v>58</v>
      </c>
      <c r="B26" s="49"/>
      <c r="C26" s="51"/>
      <c r="D26" s="52"/>
      <c r="E26" s="53"/>
      <c r="F26" s="49"/>
      <c r="G26" s="54"/>
      <c r="H26" s="6"/>
    </row>
    <row r="27" spans="1:8" x14ac:dyDescent="0.35">
      <c r="A27" s="116" t="s">
        <v>28</v>
      </c>
      <c r="B27" s="55" t="s">
        <v>29</v>
      </c>
      <c r="C27" s="55" t="s">
        <v>59</v>
      </c>
      <c r="D27" s="55" t="s">
        <v>38</v>
      </c>
      <c r="E27" s="55" t="s">
        <v>60</v>
      </c>
      <c r="F27" s="56" t="s">
        <v>75</v>
      </c>
      <c r="G27" s="54"/>
      <c r="H27" s="6"/>
    </row>
    <row r="28" spans="1:8" x14ac:dyDescent="0.35">
      <c r="A28" s="118" t="s">
        <v>70</v>
      </c>
      <c r="B28" s="61">
        <v>0.65</v>
      </c>
      <c r="C28" s="61">
        <v>2.5</v>
      </c>
      <c r="D28" s="60">
        <v>0.5</v>
      </c>
      <c r="E28" s="61">
        <f>C28*D28*30</f>
        <v>37.5</v>
      </c>
      <c r="F28" s="61">
        <f>E28*B28*$E$18</f>
        <v>38.024999999999999</v>
      </c>
      <c r="G28" s="54"/>
      <c r="H28" s="6"/>
    </row>
    <row r="29" spans="1:8" x14ac:dyDescent="0.35">
      <c r="A29" s="117" t="s">
        <v>69</v>
      </c>
      <c r="B29" s="78">
        <v>0.7</v>
      </c>
      <c r="C29" s="78">
        <v>0.76</v>
      </c>
      <c r="D29" s="58">
        <v>0.2</v>
      </c>
      <c r="E29" s="78">
        <f t="shared" ref="E29:E31" si="0">C29*D29*30</f>
        <v>4.5600000000000005</v>
      </c>
      <c r="F29" s="78">
        <f>E29*B29*$E$18</f>
        <v>4.9795200000000008</v>
      </c>
      <c r="G29" s="54"/>
      <c r="H29" s="6"/>
    </row>
    <row r="30" spans="1:8" x14ac:dyDescent="0.35">
      <c r="A30" s="118" t="s">
        <v>68</v>
      </c>
      <c r="B30" s="61">
        <v>0.48</v>
      </c>
      <c r="C30" s="61">
        <v>3.93</v>
      </c>
      <c r="D30" s="60">
        <v>0.2</v>
      </c>
      <c r="E30" s="61">
        <f t="shared" si="0"/>
        <v>23.580000000000002</v>
      </c>
      <c r="F30" s="61">
        <f>E30*B30*$E$17</f>
        <v>14.713920000000002</v>
      </c>
      <c r="G30" s="54"/>
      <c r="H30" s="6"/>
    </row>
    <row r="31" spans="1:8" ht="15" thickBot="1" x14ac:dyDescent="0.4">
      <c r="A31" s="119" t="s">
        <v>67</v>
      </c>
      <c r="B31" s="120">
        <v>0.36</v>
      </c>
      <c r="C31" s="120">
        <v>8.91</v>
      </c>
      <c r="D31" s="121">
        <v>0.1</v>
      </c>
      <c r="E31" s="120">
        <f t="shared" si="0"/>
        <v>26.73</v>
      </c>
      <c r="F31" s="120">
        <f>E31*B31*$E$17</f>
        <v>12.509640000000001</v>
      </c>
      <c r="G31" s="122"/>
      <c r="H31" s="2"/>
    </row>
    <row r="32" spans="1:8" ht="15" thickBot="1" x14ac:dyDescent="0.4">
      <c r="A32" s="64"/>
      <c r="B32" s="49"/>
      <c r="C32" s="51"/>
      <c r="D32" s="52"/>
      <c r="E32" s="53"/>
      <c r="F32" s="49"/>
      <c r="G32" s="54"/>
      <c r="H32" s="50"/>
    </row>
    <row r="33" spans="1:10" ht="21.5" thickBot="1" x14ac:dyDescent="0.4">
      <c r="A33" s="132" t="s">
        <v>114</v>
      </c>
      <c r="B33" s="133"/>
      <c r="C33" s="133"/>
      <c r="D33" s="133"/>
      <c r="E33" s="133"/>
      <c r="F33" s="133"/>
      <c r="G33" s="133"/>
      <c r="H33" s="134"/>
    </row>
    <row r="34" spans="1:10" ht="55.5" customHeight="1" thickBot="1" x14ac:dyDescent="0.4">
      <c r="A34" s="143" t="s">
        <v>115</v>
      </c>
      <c r="B34" s="144"/>
      <c r="C34" s="144"/>
      <c r="D34" s="144"/>
      <c r="E34" s="144"/>
      <c r="F34" s="144"/>
      <c r="G34" s="144"/>
      <c r="H34" s="145"/>
    </row>
    <row r="35" spans="1:10" ht="15.5" x14ac:dyDescent="0.35">
      <c r="A35" s="33" t="s">
        <v>4</v>
      </c>
      <c r="B35" s="34" t="s">
        <v>39</v>
      </c>
      <c r="C35" s="35">
        <f>SUM(F22:F23)+SUM(F28:F31)</f>
        <v>92.668680000000009</v>
      </c>
      <c r="D35" s="12"/>
      <c r="E35" s="12"/>
      <c r="F35" s="12"/>
      <c r="G35" s="12"/>
      <c r="H35" s="6"/>
    </row>
    <row r="36" spans="1:10" ht="15.5" x14ac:dyDescent="0.35">
      <c r="A36" s="36" t="s">
        <v>3</v>
      </c>
      <c r="B36" s="37" t="s">
        <v>40</v>
      </c>
      <c r="C36" s="38">
        <f>EXP(-1.0587+0.8836*LN(C35)+0.284)</f>
        <v>25.207747688508999</v>
      </c>
      <c r="D36" s="12"/>
      <c r="E36" s="12"/>
      <c r="F36" s="12"/>
      <c r="G36" s="12"/>
      <c r="H36" s="6"/>
    </row>
    <row r="37" spans="1:10" ht="15.5" x14ac:dyDescent="0.35">
      <c r="A37" s="36" t="s">
        <v>2</v>
      </c>
      <c r="B37" s="37" t="s">
        <v>41</v>
      </c>
      <c r="C37" s="38">
        <f>(C36+C35)*E7</f>
        <v>55.99130315204178</v>
      </c>
      <c r="D37" s="12"/>
      <c r="E37" s="12"/>
      <c r="F37" s="12"/>
      <c r="G37" s="12"/>
      <c r="H37" s="6"/>
    </row>
    <row r="38" spans="1:10" ht="18.5" x14ac:dyDescent="0.45">
      <c r="A38" s="36" t="s">
        <v>1</v>
      </c>
      <c r="B38" s="39" t="s">
        <v>42</v>
      </c>
      <c r="C38" s="79">
        <f>(C37+E8+E9)*(44/12)</f>
        <v>498.63477822415319</v>
      </c>
      <c r="D38" s="12"/>
      <c r="E38" s="12"/>
      <c r="F38" s="12"/>
      <c r="G38" s="12"/>
      <c r="H38" s="6"/>
    </row>
    <row r="39" spans="1:10" ht="19" thickBot="1" x14ac:dyDescent="0.5">
      <c r="A39" s="40" t="s">
        <v>25</v>
      </c>
      <c r="B39" s="41" t="s">
        <v>43</v>
      </c>
      <c r="C39" s="42">
        <f>C38*E10</f>
        <v>2991.8086693449191</v>
      </c>
      <c r="D39" s="12"/>
      <c r="E39" s="12"/>
      <c r="F39" s="12"/>
      <c r="G39" s="12"/>
      <c r="H39" s="6"/>
      <c r="J39" s="1"/>
    </row>
    <row r="40" spans="1:10" ht="15" thickBot="1" x14ac:dyDescent="0.4">
      <c r="A40" s="5"/>
      <c r="B40" s="4"/>
      <c r="C40" s="3"/>
      <c r="D40" s="3"/>
      <c r="E40" s="3"/>
      <c r="F40" s="3"/>
      <c r="G40" s="3"/>
      <c r="H40" s="2"/>
      <c r="J40" s="1"/>
    </row>
  </sheetData>
  <mergeCells count="7">
    <mergeCell ref="A14:H14"/>
    <mergeCell ref="A33:H33"/>
    <mergeCell ref="A34:H34"/>
    <mergeCell ref="D24:E24"/>
    <mergeCell ref="A1:H1"/>
    <mergeCell ref="A2:H2"/>
    <mergeCell ref="A12:H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47"/>
  <sheetViews>
    <sheetView topLeftCell="A28" zoomScale="80" zoomScaleNormal="80" workbookViewId="0">
      <pane xSplit="1" topLeftCell="O1" activePane="topRight" state="frozen"/>
      <selection pane="topRight" activeCell="AE33" sqref="AE33:AE34"/>
    </sheetView>
  </sheetViews>
  <sheetFormatPr baseColWidth="10" defaultRowHeight="14.5" x14ac:dyDescent="0.35"/>
  <cols>
    <col min="1" max="1" width="21" customWidth="1"/>
  </cols>
  <sheetData>
    <row r="1" spans="1:31" ht="47" customHeight="1" thickBot="1" x14ac:dyDescent="0.4">
      <c r="A1" s="148" t="s">
        <v>111</v>
      </c>
      <c r="B1" s="146"/>
      <c r="C1" s="146"/>
      <c r="D1" s="146"/>
      <c r="E1" s="146"/>
      <c r="F1" s="146"/>
      <c r="G1" s="146"/>
      <c r="H1" s="146"/>
      <c r="I1" s="146"/>
      <c r="J1" s="146"/>
      <c r="K1" s="146"/>
      <c r="L1" s="146"/>
      <c r="M1" s="146"/>
      <c r="N1" s="146"/>
      <c r="O1" s="146"/>
      <c r="P1" s="146"/>
      <c r="Q1" s="146"/>
      <c r="R1" s="146"/>
      <c r="S1" s="146"/>
      <c r="T1" s="146"/>
      <c r="U1" s="146"/>
      <c r="V1" s="146"/>
      <c r="W1" s="146"/>
      <c r="X1" s="149"/>
    </row>
    <row r="2" spans="1:31" ht="26.5" customHeight="1" x14ac:dyDescent="0.35">
      <c r="A2" s="110" t="s">
        <v>80</v>
      </c>
      <c r="B2" s="50"/>
      <c r="C2" s="50"/>
      <c r="D2" s="50"/>
      <c r="E2" s="50"/>
      <c r="F2" s="50"/>
      <c r="G2" s="50"/>
      <c r="H2" s="50"/>
      <c r="I2" s="50"/>
      <c r="J2" s="50"/>
      <c r="K2" s="50"/>
      <c r="L2" s="50"/>
      <c r="M2" s="50"/>
      <c r="N2" s="50"/>
      <c r="O2" s="50"/>
      <c r="P2" s="50"/>
      <c r="Q2" s="50"/>
      <c r="R2" s="50"/>
      <c r="S2" s="50"/>
      <c r="T2" s="50"/>
      <c r="U2" s="50"/>
      <c r="V2" s="50"/>
      <c r="W2" s="50"/>
      <c r="X2" s="6"/>
    </row>
    <row r="3" spans="1:31" ht="137" customHeight="1" thickBot="1" x14ac:dyDescent="0.4">
      <c r="A3" s="151" t="s">
        <v>82</v>
      </c>
      <c r="B3" s="152"/>
      <c r="C3" s="152"/>
      <c r="D3" s="152"/>
      <c r="E3" s="152"/>
      <c r="F3" s="152"/>
      <c r="G3" s="152"/>
      <c r="H3" s="152"/>
      <c r="I3" s="152"/>
      <c r="J3" s="152"/>
      <c r="K3" s="152"/>
      <c r="L3" s="152"/>
      <c r="M3" s="152"/>
      <c r="N3" s="152"/>
      <c r="O3" s="152"/>
      <c r="P3" s="152"/>
      <c r="Q3" s="152"/>
      <c r="R3" s="152"/>
      <c r="S3" s="152"/>
      <c r="T3" s="152"/>
      <c r="U3" s="152"/>
      <c r="V3" s="152"/>
      <c r="W3" s="152"/>
      <c r="X3" s="153"/>
    </row>
    <row r="4" spans="1:31" ht="16" customHeight="1" thickBot="1" x14ac:dyDescent="0.4">
      <c r="A4" s="125"/>
      <c r="B4" s="124"/>
      <c r="C4" s="124"/>
      <c r="D4" s="124"/>
      <c r="E4" s="124"/>
      <c r="F4" s="124"/>
      <c r="G4" s="124"/>
      <c r="H4" s="124"/>
      <c r="I4" s="124"/>
      <c r="J4" s="124"/>
      <c r="K4" s="124"/>
      <c r="L4" s="124"/>
      <c r="M4" s="124"/>
      <c r="N4" s="124"/>
      <c r="O4" s="124"/>
      <c r="P4" s="124"/>
      <c r="Q4" s="124"/>
      <c r="R4" s="124"/>
      <c r="S4" s="124"/>
      <c r="T4" s="124"/>
      <c r="U4" s="124"/>
      <c r="V4" s="124"/>
      <c r="W4" s="124"/>
      <c r="X4" s="124"/>
    </row>
    <row r="5" spans="1:31" ht="39.5" customHeight="1" thickBot="1" x14ac:dyDescent="0.4">
      <c r="A5" s="132" t="s">
        <v>116</v>
      </c>
      <c r="B5" s="133"/>
      <c r="C5" s="133"/>
      <c r="D5" s="133"/>
      <c r="E5" s="133"/>
      <c r="F5" s="133"/>
      <c r="G5" s="133"/>
      <c r="H5" s="133"/>
      <c r="I5" s="133"/>
      <c r="J5" s="133"/>
      <c r="K5" s="133"/>
      <c r="L5" s="133"/>
      <c r="M5" s="133"/>
      <c r="N5" s="133"/>
      <c r="O5" s="133"/>
      <c r="P5" s="133"/>
      <c r="Q5" s="133"/>
      <c r="R5" s="133"/>
      <c r="S5" s="133"/>
      <c r="T5" s="133"/>
      <c r="U5" s="133"/>
      <c r="V5" s="133"/>
      <c r="W5" s="133"/>
      <c r="X5" s="134"/>
    </row>
    <row r="6" spans="1:31" ht="21" x14ac:dyDescent="0.5">
      <c r="A6" s="150" t="s">
        <v>65</v>
      </c>
      <c r="B6" s="150"/>
      <c r="C6" s="150"/>
      <c r="D6" s="150"/>
      <c r="E6" s="150"/>
      <c r="F6" s="150"/>
      <c r="G6" s="150"/>
      <c r="H6" s="150"/>
      <c r="I6" s="150"/>
      <c r="J6" s="150"/>
      <c r="K6" s="150"/>
      <c r="L6" s="150"/>
      <c r="M6" s="150"/>
      <c r="N6" s="150"/>
      <c r="O6" s="150"/>
      <c r="P6" s="150"/>
      <c r="Q6" s="85"/>
      <c r="R6" s="85"/>
      <c r="S6" s="85"/>
      <c r="T6" s="85"/>
      <c r="U6" s="85"/>
      <c r="V6" s="85"/>
      <c r="W6" s="85"/>
      <c r="X6" s="85"/>
      <c r="Y6" s="85"/>
      <c r="Z6" s="85"/>
      <c r="AA6" s="85"/>
      <c r="AB6" s="85"/>
      <c r="AC6" s="85"/>
      <c r="AD6" s="85"/>
      <c r="AE6" s="85"/>
    </row>
    <row r="7" spans="1:31" x14ac:dyDescent="0.35">
      <c r="A7" s="16" t="s">
        <v>27</v>
      </c>
      <c r="B7" s="16">
        <v>1</v>
      </c>
      <c r="C7" s="16">
        <v>2</v>
      </c>
      <c r="D7" s="16">
        <v>3</v>
      </c>
      <c r="E7" s="16">
        <v>4</v>
      </c>
      <c r="F7" s="16">
        <v>5</v>
      </c>
      <c r="G7" s="16">
        <v>6</v>
      </c>
      <c r="H7" s="16">
        <v>7</v>
      </c>
      <c r="I7" s="16">
        <v>8</v>
      </c>
      <c r="J7" s="16">
        <v>9</v>
      </c>
      <c r="K7" s="16">
        <v>10</v>
      </c>
      <c r="L7" s="16">
        <v>11</v>
      </c>
      <c r="M7" s="16">
        <v>12</v>
      </c>
      <c r="N7" s="16">
        <v>13</v>
      </c>
      <c r="O7" s="16">
        <v>14</v>
      </c>
      <c r="P7" s="16">
        <v>15</v>
      </c>
      <c r="Q7" s="16">
        <v>16</v>
      </c>
      <c r="R7" s="16">
        <v>17</v>
      </c>
      <c r="S7" s="16">
        <v>18</v>
      </c>
      <c r="T7" s="16">
        <v>19</v>
      </c>
      <c r="U7" s="16">
        <v>20</v>
      </c>
      <c r="V7" s="16">
        <v>21</v>
      </c>
      <c r="W7" s="16">
        <v>22</v>
      </c>
      <c r="X7" s="16">
        <v>23</v>
      </c>
      <c r="Y7" s="16">
        <v>24</v>
      </c>
      <c r="Z7" s="16">
        <v>25</v>
      </c>
      <c r="AA7" s="16">
        <v>26</v>
      </c>
      <c r="AB7" s="16">
        <v>27</v>
      </c>
      <c r="AC7" s="16">
        <v>28</v>
      </c>
      <c r="AD7" s="16">
        <v>29</v>
      </c>
      <c r="AE7" s="16">
        <v>30</v>
      </c>
    </row>
    <row r="8" spans="1:31" ht="32.5" customHeight="1" x14ac:dyDescent="0.35">
      <c r="A8" s="17" t="s">
        <v>62</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row>
    <row r="9" spans="1:31" ht="16" customHeight="1" x14ac:dyDescent="0.35">
      <c r="A9" s="72" t="s">
        <v>76</v>
      </c>
      <c r="B9" s="14">
        <v>0.1</v>
      </c>
      <c r="C9" s="14">
        <f>B9+B9</f>
        <v>0.2</v>
      </c>
      <c r="D9" s="14">
        <f>C9+$B9</f>
        <v>0.30000000000000004</v>
      </c>
      <c r="E9" s="14">
        <f t="shared" ref="E9:AE9" si="0">D9+$B9</f>
        <v>0.4</v>
      </c>
      <c r="F9" s="14">
        <f t="shared" si="0"/>
        <v>0.5</v>
      </c>
      <c r="G9" s="14">
        <f t="shared" si="0"/>
        <v>0.6</v>
      </c>
      <c r="H9" s="14">
        <f t="shared" si="0"/>
        <v>0.7</v>
      </c>
      <c r="I9" s="14">
        <f t="shared" si="0"/>
        <v>0.79999999999999993</v>
      </c>
      <c r="J9" s="14">
        <f t="shared" si="0"/>
        <v>0.89999999999999991</v>
      </c>
      <c r="K9" s="14">
        <f t="shared" si="0"/>
        <v>0.99999999999999989</v>
      </c>
      <c r="L9" s="14">
        <f t="shared" si="0"/>
        <v>1.0999999999999999</v>
      </c>
      <c r="M9" s="14">
        <f t="shared" si="0"/>
        <v>1.2</v>
      </c>
      <c r="N9" s="14">
        <f t="shared" si="0"/>
        <v>1.3</v>
      </c>
      <c r="O9" s="14">
        <f t="shared" si="0"/>
        <v>1.4000000000000001</v>
      </c>
      <c r="P9" s="14">
        <f t="shared" si="0"/>
        <v>1.5000000000000002</v>
      </c>
      <c r="Q9" s="14">
        <f t="shared" si="0"/>
        <v>1.6000000000000003</v>
      </c>
      <c r="R9" s="14">
        <f t="shared" si="0"/>
        <v>1.7000000000000004</v>
      </c>
      <c r="S9" s="14">
        <f t="shared" si="0"/>
        <v>1.8000000000000005</v>
      </c>
      <c r="T9" s="14">
        <f t="shared" si="0"/>
        <v>1.9000000000000006</v>
      </c>
      <c r="U9" s="14">
        <f t="shared" si="0"/>
        <v>2.0000000000000004</v>
      </c>
      <c r="V9" s="14">
        <f t="shared" si="0"/>
        <v>2.1000000000000005</v>
      </c>
      <c r="W9" s="14">
        <f t="shared" si="0"/>
        <v>2.2000000000000006</v>
      </c>
      <c r="X9" s="14">
        <f t="shared" si="0"/>
        <v>2.3000000000000007</v>
      </c>
      <c r="Y9" s="14">
        <f t="shared" si="0"/>
        <v>2.4000000000000008</v>
      </c>
      <c r="Z9" s="14">
        <f t="shared" si="0"/>
        <v>2.5000000000000009</v>
      </c>
      <c r="AA9" s="14">
        <f t="shared" si="0"/>
        <v>2.600000000000001</v>
      </c>
      <c r="AB9" s="14">
        <f t="shared" si="0"/>
        <v>2.7000000000000011</v>
      </c>
      <c r="AC9" s="14">
        <f t="shared" si="0"/>
        <v>2.8000000000000012</v>
      </c>
      <c r="AD9" s="14">
        <f t="shared" si="0"/>
        <v>2.9000000000000012</v>
      </c>
      <c r="AE9" s="14">
        <f t="shared" si="0"/>
        <v>3.0000000000000013</v>
      </c>
    </row>
    <row r="10" spans="1:31" ht="19" customHeight="1" x14ac:dyDescent="0.35">
      <c r="A10" s="72" t="s">
        <v>77</v>
      </c>
      <c r="B10" s="14">
        <v>0.05</v>
      </c>
      <c r="C10" s="14">
        <f t="shared" ref="C10:C13" si="1">B10+B10</f>
        <v>0.1</v>
      </c>
      <c r="D10" s="14">
        <f t="shared" ref="D10:AE10" si="2">C10+$B10</f>
        <v>0.15000000000000002</v>
      </c>
      <c r="E10" s="14">
        <f t="shared" si="2"/>
        <v>0.2</v>
      </c>
      <c r="F10" s="14">
        <f t="shared" si="2"/>
        <v>0.25</v>
      </c>
      <c r="G10" s="14">
        <f t="shared" si="2"/>
        <v>0.3</v>
      </c>
      <c r="H10" s="14">
        <f t="shared" si="2"/>
        <v>0.35</v>
      </c>
      <c r="I10" s="14">
        <f t="shared" si="2"/>
        <v>0.39999999999999997</v>
      </c>
      <c r="J10" s="14">
        <f t="shared" si="2"/>
        <v>0.44999999999999996</v>
      </c>
      <c r="K10" s="14">
        <f t="shared" si="2"/>
        <v>0.49999999999999994</v>
      </c>
      <c r="L10" s="14">
        <f t="shared" si="2"/>
        <v>0.54999999999999993</v>
      </c>
      <c r="M10" s="14">
        <f t="shared" si="2"/>
        <v>0.6</v>
      </c>
      <c r="N10" s="14">
        <f t="shared" si="2"/>
        <v>0.65</v>
      </c>
      <c r="O10" s="14">
        <f t="shared" si="2"/>
        <v>0.70000000000000007</v>
      </c>
      <c r="P10" s="14">
        <f t="shared" si="2"/>
        <v>0.75000000000000011</v>
      </c>
      <c r="Q10" s="14">
        <f t="shared" si="2"/>
        <v>0.80000000000000016</v>
      </c>
      <c r="R10" s="14">
        <f t="shared" si="2"/>
        <v>0.8500000000000002</v>
      </c>
      <c r="S10" s="14">
        <f t="shared" si="2"/>
        <v>0.90000000000000024</v>
      </c>
      <c r="T10" s="14">
        <f t="shared" si="2"/>
        <v>0.95000000000000029</v>
      </c>
      <c r="U10" s="14">
        <f t="shared" si="2"/>
        <v>1.0000000000000002</v>
      </c>
      <c r="V10" s="14">
        <f t="shared" si="2"/>
        <v>1.0500000000000003</v>
      </c>
      <c r="W10" s="14">
        <f t="shared" si="2"/>
        <v>1.1000000000000003</v>
      </c>
      <c r="X10" s="14">
        <f t="shared" si="2"/>
        <v>1.1500000000000004</v>
      </c>
      <c r="Y10" s="14">
        <f t="shared" si="2"/>
        <v>1.2000000000000004</v>
      </c>
      <c r="Z10" s="14">
        <f t="shared" si="2"/>
        <v>1.2500000000000004</v>
      </c>
      <c r="AA10" s="14">
        <f t="shared" si="2"/>
        <v>1.3000000000000005</v>
      </c>
      <c r="AB10" s="14">
        <f t="shared" si="2"/>
        <v>1.3500000000000005</v>
      </c>
      <c r="AC10" s="14">
        <f t="shared" si="2"/>
        <v>1.4000000000000006</v>
      </c>
      <c r="AD10" s="14">
        <f t="shared" si="2"/>
        <v>1.4500000000000006</v>
      </c>
      <c r="AE10" s="14">
        <f t="shared" si="2"/>
        <v>1.5000000000000007</v>
      </c>
    </row>
    <row r="11" spans="1:31" ht="17.5" customHeight="1" x14ac:dyDescent="0.35">
      <c r="A11" s="72" t="s">
        <v>72</v>
      </c>
      <c r="B11" s="14">
        <v>0.05</v>
      </c>
      <c r="C11" s="14">
        <f t="shared" si="1"/>
        <v>0.1</v>
      </c>
      <c r="D11" s="14">
        <f t="shared" ref="D11:AE11" si="3">C11+$B11</f>
        <v>0.15000000000000002</v>
      </c>
      <c r="E11" s="14">
        <f t="shared" si="3"/>
        <v>0.2</v>
      </c>
      <c r="F11" s="14">
        <f t="shared" si="3"/>
        <v>0.25</v>
      </c>
      <c r="G11" s="14">
        <f t="shared" si="3"/>
        <v>0.3</v>
      </c>
      <c r="H11" s="14">
        <f t="shared" si="3"/>
        <v>0.35</v>
      </c>
      <c r="I11" s="14">
        <f t="shared" si="3"/>
        <v>0.39999999999999997</v>
      </c>
      <c r="J11" s="14">
        <f t="shared" si="3"/>
        <v>0.44999999999999996</v>
      </c>
      <c r="K11" s="14">
        <f t="shared" si="3"/>
        <v>0.49999999999999994</v>
      </c>
      <c r="L11" s="14">
        <f t="shared" si="3"/>
        <v>0.54999999999999993</v>
      </c>
      <c r="M11" s="14">
        <f t="shared" si="3"/>
        <v>0.6</v>
      </c>
      <c r="N11" s="14">
        <f t="shared" si="3"/>
        <v>0.65</v>
      </c>
      <c r="O11" s="14">
        <f t="shared" si="3"/>
        <v>0.70000000000000007</v>
      </c>
      <c r="P11" s="14">
        <f t="shared" si="3"/>
        <v>0.75000000000000011</v>
      </c>
      <c r="Q11" s="14">
        <f t="shared" si="3"/>
        <v>0.80000000000000016</v>
      </c>
      <c r="R11" s="14">
        <f t="shared" si="3"/>
        <v>0.8500000000000002</v>
      </c>
      <c r="S11" s="14">
        <f t="shared" si="3"/>
        <v>0.90000000000000024</v>
      </c>
      <c r="T11" s="14">
        <f t="shared" si="3"/>
        <v>0.95000000000000029</v>
      </c>
      <c r="U11" s="14">
        <f t="shared" si="3"/>
        <v>1.0000000000000002</v>
      </c>
      <c r="V11" s="14">
        <f t="shared" si="3"/>
        <v>1.0500000000000003</v>
      </c>
      <c r="W11" s="14">
        <f t="shared" si="3"/>
        <v>1.1000000000000003</v>
      </c>
      <c r="X11" s="14">
        <f t="shared" si="3"/>
        <v>1.1500000000000004</v>
      </c>
      <c r="Y11" s="14">
        <f t="shared" si="3"/>
        <v>1.2000000000000004</v>
      </c>
      <c r="Z11" s="14">
        <f t="shared" si="3"/>
        <v>1.2500000000000004</v>
      </c>
      <c r="AA11" s="14">
        <f t="shared" si="3"/>
        <v>1.3000000000000005</v>
      </c>
      <c r="AB11" s="14">
        <f t="shared" si="3"/>
        <v>1.3500000000000005</v>
      </c>
      <c r="AC11" s="14">
        <f t="shared" si="3"/>
        <v>1.4000000000000006</v>
      </c>
      <c r="AD11" s="14">
        <f t="shared" si="3"/>
        <v>1.4500000000000006</v>
      </c>
      <c r="AE11" s="14">
        <f t="shared" si="3"/>
        <v>1.5000000000000007</v>
      </c>
    </row>
    <row r="12" spans="1:31" ht="16" customHeight="1" x14ac:dyDescent="0.35">
      <c r="A12" s="72" t="s">
        <v>74</v>
      </c>
      <c r="B12" s="14">
        <v>0.4</v>
      </c>
      <c r="C12" s="14">
        <f t="shared" si="1"/>
        <v>0.8</v>
      </c>
      <c r="D12" s="14">
        <f t="shared" ref="D12:AE12" si="4">C12+$B12</f>
        <v>1.2000000000000002</v>
      </c>
      <c r="E12" s="14">
        <f t="shared" si="4"/>
        <v>1.6</v>
      </c>
      <c r="F12" s="14">
        <f t="shared" si="4"/>
        <v>2</v>
      </c>
      <c r="G12" s="14">
        <f t="shared" si="4"/>
        <v>2.4</v>
      </c>
      <c r="H12" s="14">
        <f t="shared" si="4"/>
        <v>2.8</v>
      </c>
      <c r="I12" s="14">
        <f t="shared" si="4"/>
        <v>3.1999999999999997</v>
      </c>
      <c r="J12" s="14">
        <f t="shared" si="4"/>
        <v>3.5999999999999996</v>
      </c>
      <c r="K12" s="14">
        <f t="shared" si="4"/>
        <v>3.9999999999999996</v>
      </c>
      <c r="L12" s="14">
        <f t="shared" si="4"/>
        <v>4.3999999999999995</v>
      </c>
      <c r="M12" s="14">
        <f t="shared" si="4"/>
        <v>4.8</v>
      </c>
      <c r="N12" s="14">
        <f t="shared" si="4"/>
        <v>5.2</v>
      </c>
      <c r="O12" s="14">
        <f t="shared" si="4"/>
        <v>5.6000000000000005</v>
      </c>
      <c r="P12" s="14">
        <f t="shared" si="4"/>
        <v>6.0000000000000009</v>
      </c>
      <c r="Q12" s="14">
        <f t="shared" si="4"/>
        <v>6.4000000000000012</v>
      </c>
      <c r="R12" s="14">
        <f t="shared" si="4"/>
        <v>6.8000000000000016</v>
      </c>
      <c r="S12" s="14">
        <f t="shared" si="4"/>
        <v>7.200000000000002</v>
      </c>
      <c r="T12" s="14">
        <f t="shared" si="4"/>
        <v>7.6000000000000023</v>
      </c>
      <c r="U12" s="14">
        <f t="shared" si="4"/>
        <v>8.0000000000000018</v>
      </c>
      <c r="V12" s="14">
        <f t="shared" si="4"/>
        <v>8.4000000000000021</v>
      </c>
      <c r="W12" s="14">
        <f t="shared" si="4"/>
        <v>8.8000000000000025</v>
      </c>
      <c r="X12" s="14">
        <f t="shared" si="4"/>
        <v>9.2000000000000028</v>
      </c>
      <c r="Y12" s="14">
        <f t="shared" si="4"/>
        <v>9.6000000000000032</v>
      </c>
      <c r="Z12" s="14">
        <f t="shared" si="4"/>
        <v>10.000000000000004</v>
      </c>
      <c r="AA12" s="14">
        <f t="shared" si="4"/>
        <v>10.400000000000004</v>
      </c>
      <c r="AB12" s="14">
        <f t="shared" si="4"/>
        <v>10.800000000000004</v>
      </c>
      <c r="AC12" s="14">
        <f t="shared" si="4"/>
        <v>11.200000000000005</v>
      </c>
      <c r="AD12" s="14">
        <f t="shared" si="4"/>
        <v>11.600000000000005</v>
      </c>
      <c r="AE12" s="14">
        <f t="shared" si="4"/>
        <v>12.000000000000005</v>
      </c>
    </row>
    <row r="13" spans="1:31" ht="19" customHeight="1" x14ac:dyDescent="0.35">
      <c r="A13" s="72" t="s">
        <v>68</v>
      </c>
      <c r="B13" s="14">
        <v>0.4</v>
      </c>
      <c r="C13" s="14">
        <f t="shared" si="1"/>
        <v>0.8</v>
      </c>
      <c r="D13" s="14">
        <f t="shared" ref="D13:AE13" si="5">C13+$B13</f>
        <v>1.2000000000000002</v>
      </c>
      <c r="E13" s="14">
        <f t="shared" si="5"/>
        <v>1.6</v>
      </c>
      <c r="F13" s="14">
        <f t="shared" si="5"/>
        <v>2</v>
      </c>
      <c r="G13" s="14">
        <f t="shared" si="5"/>
        <v>2.4</v>
      </c>
      <c r="H13" s="14">
        <f t="shared" si="5"/>
        <v>2.8</v>
      </c>
      <c r="I13" s="14">
        <f t="shared" si="5"/>
        <v>3.1999999999999997</v>
      </c>
      <c r="J13" s="14">
        <f t="shared" si="5"/>
        <v>3.5999999999999996</v>
      </c>
      <c r="K13" s="14">
        <f t="shared" si="5"/>
        <v>3.9999999999999996</v>
      </c>
      <c r="L13" s="14">
        <f t="shared" si="5"/>
        <v>4.3999999999999995</v>
      </c>
      <c r="M13" s="14">
        <f t="shared" si="5"/>
        <v>4.8</v>
      </c>
      <c r="N13" s="14">
        <f t="shared" si="5"/>
        <v>5.2</v>
      </c>
      <c r="O13" s="14">
        <f t="shared" si="5"/>
        <v>5.6000000000000005</v>
      </c>
      <c r="P13" s="14">
        <f t="shared" si="5"/>
        <v>6.0000000000000009</v>
      </c>
      <c r="Q13" s="14">
        <f t="shared" si="5"/>
        <v>6.4000000000000012</v>
      </c>
      <c r="R13" s="14">
        <f t="shared" si="5"/>
        <v>6.8000000000000016</v>
      </c>
      <c r="S13" s="14">
        <f t="shared" si="5"/>
        <v>7.200000000000002</v>
      </c>
      <c r="T13" s="14">
        <f t="shared" si="5"/>
        <v>7.6000000000000023</v>
      </c>
      <c r="U13" s="14">
        <f t="shared" si="5"/>
        <v>8.0000000000000018</v>
      </c>
      <c r="V13" s="14">
        <f t="shared" si="5"/>
        <v>8.4000000000000021</v>
      </c>
      <c r="W13" s="14">
        <f t="shared" si="5"/>
        <v>8.8000000000000025</v>
      </c>
      <c r="X13" s="14">
        <f t="shared" si="5"/>
        <v>9.2000000000000028</v>
      </c>
      <c r="Y13" s="14">
        <f t="shared" si="5"/>
        <v>9.6000000000000032</v>
      </c>
      <c r="Z13" s="14">
        <f t="shared" si="5"/>
        <v>10.000000000000004</v>
      </c>
      <c r="AA13" s="14">
        <f t="shared" si="5"/>
        <v>10.400000000000004</v>
      </c>
      <c r="AB13" s="14">
        <f t="shared" si="5"/>
        <v>10.800000000000004</v>
      </c>
      <c r="AC13" s="14">
        <f t="shared" si="5"/>
        <v>11.200000000000005</v>
      </c>
      <c r="AD13" s="14">
        <f t="shared" si="5"/>
        <v>11.600000000000005</v>
      </c>
      <c r="AE13" s="14">
        <f t="shared" si="5"/>
        <v>12.000000000000005</v>
      </c>
    </row>
    <row r="14" spans="1:31" ht="15" customHeight="1" x14ac:dyDescent="0.35">
      <c r="A14" s="17" t="s">
        <v>63</v>
      </c>
      <c r="B14" s="14">
        <f>SUM(B9:B13)</f>
        <v>1</v>
      </c>
      <c r="C14" s="14">
        <f t="shared" ref="C14:AE14" si="6">SUM(C9:C13)</f>
        <v>2</v>
      </c>
      <c r="D14" s="14">
        <f t="shared" si="6"/>
        <v>3.0000000000000004</v>
      </c>
      <c r="E14" s="14">
        <f t="shared" si="6"/>
        <v>4</v>
      </c>
      <c r="F14" s="14">
        <f t="shared" si="6"/>
        <v>5</v>
      </c>
      <c r="G14" s="14">
        <f t="shared" si="6"/>
        <v>6</v>
      </c>
      <c r="H14" s="14">
        <f t="shared" si="6"/>
        <v>6.9999999999999991</v>
      </c>
      <c r="I14" s="14">
        <f t="shared" si="6"/>
        <v>8</v>
      </c>
      <c r="J14" s="14">
        <f t="shared" si="6"/>
        <v>9</v>
      </c>
      <c r="K14" s="14">
        <f t="shared" si="6"/>
        <v>9.9999999999999982</v>
      </c>
      <c r="L14" s="14">
        <f t="shared" si="6"/>
        <v>11</v>
      </c>
      <c r="M14" s="14">
        <f t="shared" si="6"/>
        <v>12</v>
      </c>
      <c r="N14" s="14">
        <f t="shared" si="6"/>
        <v>13</v>
      </c>
      <c r="O14" s="14">
        <f t="shared" si="6"/>
        <v>14</v>
      </c>
      <c r="P14" s="14">
        <f t="shared" si="6"/>
        <v>15.000000000000004</v>
      </c>
      <c r="Q14" s="14">
        <f t="shared" si="6"/>
        <v>16.000000000000004</v>
      </c>
      <c r="R14" s="14">
        <f t="shared" si="6"/>
        <v>17.000000000000004</v>
      </c>
      <c r="S14" s="14">
        <f t="shared" si="6"/>
        <v>18.000000000000004</v>
      </c>
      <c r="T14" s="14">
        <f t="shared" si="6"/>
        <v>19.000000000000007</v>
      </c>
      <c r="U14" s="14">
        <f t="shared" si="6"/>
        <v>20.000000000000007</v>
      </c>
      <c r="V14" s="14">
        <f t="shared" si="6"/>
        <v>21.000000000000007</v>
      </c>
      <c r="W14" s="14">
        <f t="shared" si="6"/>
        <v>22.000000000000007</v>
      </c>
      <c r="X14" s="14">
        <f t="shared" si="6"/>
        <v>23.000000000000007</v>
      </c>
      <c r="Y14" s="14">
        <f t="shared" si="6"/>
        <v>24.000000000000007</v>
      </c>
      <c r="Z14" s="14">
        <f t="shared" si="6"/>
        <v>25.000000000000007</v>
      </c>
      <c r="AA14" s="14">
        <f t="shared" si="6"/>
        <v>26.000000000000007</v>
      </c>
      <c r="AB14" s="14">
        <f t="shared" si="6"/>
        <v>27.000000000000011</v>
      </c>
      <c r="AC14" s="14">
        <f t="shared" si="6"/>
        <v>28.000000000000014</v>
      </c>
      <c r="AD14" s="14">
        <f t="shared" si="6"/>
        <v>29.000000000000011</v>
      </c>
      <c r="AE14" s="14">
        <f t="shared" si="6"/>
        <v>30.000000000000014</v>
      </c>
    </row>
    <row r="15" spans="1:31" ht="35.5" customHeight="1" x14ac:dyDescent="0.35">
      <c r="A15" s="17" t="s">
        <v>64</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row>
    <row r="16" spans="1:31" ht="15" customHeight="1" x14ac:dyDescent="0.35">
      <c r="A16" s="83" t="s">
        <v>71</v>
      </c>
      <c r="B16" s="15">
        <f>B9*Sref!$E$17*Sref!$B$21</f>
        <v>0.11388000000000002</v>
      </c>
      <c r="C16" s="15">
        <f>B16+B16</f>
        <v>0.22776000000000005</v>
      </c>
      <c r="D16" s="15">
        <f>C16+$B16</f>
        <v>0.34164000000000005</v>
      </c>
      <c r="E16" s="15">
        <f t="shared" ref="E16:AE19" si="7">D16+$B16</f>
        <v>0.45552000000000009</v>
      </c>
      <c r="F16" s="15">
        <f t="shared" si="7"/>
        <v>0.56940000000000013</v>
      </c>
      <c r="G16" s="15">
        <f t="shared" si="7"/>
        <v>0.68328000000000011</v>
      </c>
      <c r="H16" s="15">
        <f t="shared" si="7"/>
        <v>0.79716000000000009</v>
      </c>
      <c r="I16" s="15">
        <f t="shared" si="7"/>
        <v>0.91104000000000007</v>
      </c>
      <c r="J16" s="15">
        <f t="shared" si="7"/>
        <v>1.0249200000000001</v>
      </c>
      <c r="K16" s="15">
        <f t="shared" si="7"/>
        <v>1.1388</v>
      </c>
      <c r="L16" s="15">
        <f t="shared" si="7"/>
        <v>1.25268</v>
      </c>
      <c r="M16" s="15">
        <f t="shared" si="7"/>
        <v>1.36656</v>
      </c>
      <c r="N16" s="15">
        <f t="shared" si="7"/>
        <v>1.48044</v>
      </c>
      <c r="O16" s="15">
        <f t="shared" si="7"/>
        <v>1.59432</v>
      </c>
      <c r="P16" s="15">
        <f t="shared" si="7"/>
        <v>1.7081999999999999</v>
      </c>
      <c r="Q16" s="15">
        <f t="shared" si="7"/>
        <v>1.8220799999999999</v>
      </c>
      <c r="R16" s="15">
        <f t="shared" si="7"/>
        <v>1.9359599999999999</v>
      </c>
      <c r="S16" s="15">
        <f t="shared" si="7"/>
        <v>2.0498400000000001</v>
      </c>
      <c r="T16" s="15">
        <f t="shared" si="7"/>
        <v>2.1637200000000001</v>
      </c>
      <c r="U16" s="15">
        <f t="shared" si="7"/>
        <v>2.2776000000000001</v>
      </c>
      <c r="V16" s="15">
        <f t="shared" si="7"/>
        <v>2.3914800000000001</v>
      </c>
      <c r="W16" s="15">
        <f t="shared" si="7"/>
        <v>2.50536</v>
      </c>
      <c r="X16" s="15">
        <f t="shared" si="7"/>
        <v>2.61924</v>
      </c>
      <c r="Y16" s="15">
        <f t="shared" si="7"/>
        <v>2.73312</v>
      </c>
      <c r="Z16" s="15">
        <f t="shared" si="7"/>
        <v>2.847</v>
      </c>
      <c r="AA16" s="15">
        <f t="shared" si="7"/>
        <v>2.96088</v>
      </c>
      <c r="AB16" s="15">
        <f t="shared" si="7"/>
        <v>3.0747599999999999</v>
      </c>
      <c r="AC16" s="15">
        <f t="shared" si="7"/>
        <v>3.1886399999999999</v>
      </c>
      <c r="AD16" s="15">
        <f t="shared" si="7"/>
        <v>3.3025199999999999</v>
      </c>
      <c r="AE16" s="15">
        <f t="shared" si="7"/>
        <v>3.4163999999999999</v>
      </c>
    </row>
    <row r="17" spans="1:31" ht="15" customHeight="1" x14ac:dyDescent="0.35">
      <c r="A17" s="83" t="s">
        <v>70</v>
      </c>
      <c r="B17" s="15">
        <f>B10*Sref!$E$17*Sref!$B$22</f>
        <v>5.0700000000000009E-2</v>
      </c>
      <c r="C17" s="15">
        <f t="shared" ref="C17:C19" si="8">B17+B17</f>
        <v>0.10140000000000002</v>
      </c>
      <c r="D17" s="15">
        <f t="shared" ref="D17:S19" si="9">C17+$B17</f>
        <v>0.15210000000000001</v>
      </c>
      <c r="E17" s="15">
        <f t="shared" si="9"/>
        <v>0.20280000000000004</v>
      </c>
      <c r="F17" s="15">
        <f t="shared" si="9"/>
        <v>0.25350000000000006</v>
      </c>
      <c r="G17" s="15">
        <f t="shared" si="9"/>
        <v>0.30420000000000008</v>
      </c>
      <c r="H17" s="15">
        <f t="shared" si="9"/>
        <v>0.3549000000000001</v>
      </c>
      <c r="I17" s="15">
        <f t="shared" si="9"/>
        <v>0.40560000000000013</v>
      </c>
      <c r="J17" s="15">
        <f t="shared" si="9"/>
        <v>0.45630000000000015</v>
      </c>
      <c r="K17" s="15">
        <f t="shared" si="9"/>
        <v>0.50700000000000012</v>
      </c>
      <c r="L17" s="15">
        <f t="shared" si="9"/>
        <v>0.55770000000000008</v>
      </c>
      <c r="M17" s="15">
        <f t="shared" si="9"/>
        <v>0.60840000000000005</v>
      </c>
      <c r="N17" s="15">
        <f t="shared" si="9"/>
        <v>0.65910000000000002</v>
      </c>
      <c r="O17" s="15">
        <f t="shared" si="9"/>
        <v>0.70979999999999999</v>
      </c>
      <c r="P17" s="15">
        <f t="shared" si="9"/>
        <v>0.76049999999999995</v>
      </c>
      <c r="Q17" s="15">
        <f t="shared" si="9"/>
        <v>0.81119999999999992</v>
      </c>
      <c r="R17" s="15">
        <f t="shared" si="9"/>
        <v>0.86189999999999989</v>
      </c>
      <c r="S17" s="15">
        <f t="shared" si="9"/>
        <v>0.91259999999999986</v>
      </c>
      <c r="T17" s="15">
        <f t="shared" si="7"/>
        <v>0.96329999999999982</v>
      </c>
      <c r="U17" s="15">
        <f t="shared" si="7"/>
        <v>1.0139999999999998</v>
      </c>
      <c r="V17" s="15">
        <f t="shared" si="7"/>
        <v>1.0646999999999998</v>
      </c>
      <c r="W17" s="15">
        <f t="shared" si="7"/>
        <v>1.1153999999999997</v>
      </c>
      <c r="X17" s="15">
        <f t="shared" si="7"/>
        <v>1.1660999999999997</v>
      </c>
      <c r="Y17" s="15">
        <f t="shared" si="7"/>
        <v>1.2167999999999997</v>
      </c>
      <c r="Z17" s="15">
        <f t="shared" si="7"/>
        <v>1.2674999999999996</v>
      </c>
      <c r="AA17" s="15">
        <f t="shared" si="7"/>
        <v>1.3181999999999996</v>
      </c>
      <c r="AB17" s="15">
        <f t="shared" si="7"/>
        <v>1.3688999999999996</v>
      </c>
      <c r="AC17" s="15">
        <f t="shared" si="7"/>
        <v>1.4195999999999995</v>
      </c>
      <c r="AD17" s="15">
        <f t="shared" si="7"/>
        <v>1.4702999999999995</v>
      </c>
      <c r="AE17" s="15">
        <f t="shared" si="7"/>
        <v>1.5209999999999995</v>
      </c>
    </row>
    <row r="18" spans="1:31" ht="15" customHeight="1" x14ac:dyDescent="0.35">
      <c r="A18" s="72" t="s">
        <v>72</v>
      </c>
      <c r="B18" s="15">
        <f>B11*Sref!$E$17*Sref!$B$23</f>
        <v>4.9920000000000013E-2</v>
      </c>
      <c r="C18" s="15">
        <f t="shared" si="8"/>
        <v>9.9840000000000026E-2</v>
      </c>
      <c r="D18" s="15">
        <f t="shared" si="9"/>
        <v>0.14976000000000003</v>
      </c>
      <c r="E18" s="15">
        <f t="shared" si="7"/>
        <v>0.19968000000000005</v>
      </c>
      <c r="F18" s="15">
        <f t="shared" si="7"/>
        <v>0.24960000000000007</v>
      </c>
      <c r="G18" s="15">
        <f t="shared" si="7"/>
        <v>0.29952000000000006</v>
      </c>
      <c r="H18" s="15">
        <f t="shared" si="7"/>
        <v>0.34944000000000008</v>
      </c>
      <c r="I18" s="15">
        <f t="shared" si="7"/>
        <v>0.3993600000000001</v>
      </c>
      <c r="J18" s="15">
        <f t="shared" si="7"/>
        <v>0.44928000000000012</v>
      </c>
      <c r="K18" s="15">
        <f t="shared" si="7"/>
        <v>0.49920000000000014</v>
      </c>
      <c r="L18" s="15">
        <f t="shared" si="7"/>
        <v>0.54912000000000016</v>
      </c>
      <c r="M18" s="15">
        <f t="shared" si="7"/>
        <v>0.59904000000000013</v>
      </c>
      <c r="N18" s="15">
        <f t="shared" si="7"/>
        <v>0.64896000000000009</v>
      </c>
      <c r="O18" s="15">
        <f t="shared" si="7"/>
        <v>0.69888000000000006</v>
      </c>
      <c r="P18" s="15">
        <f t="shared" si="7"/>
        <v>0.74880000000000002</v>
      </c>
      <c r="Q18" s="15">
        <f t="shared" si="7"/>
        <v>0.79871999999999999</v>
      </c>
      <c r="R18" s="15">
        <f t="shared" si="7"/>
        <v>0.84863999999999995</v>
      </c>
      <c r="S18" s="15">
        <f t="shared" si="7"/>
        <v>0.89855999999999991</v>
      </c>
      <c r="T18" s="15">
        <f t="shared" si="7"/>
        <v>0.94847999999999988</v>
      </c>
      <c r="U18" s="15">
        <f t="shared" si="7"/>
        <v>0.99839999999999984</v>
      </c>
      <c r="V18" s="15">
        <f t="shared" si="7"/>
        <v>1.0483199999999999</v>
      </c>
      <c r="W18" s="15">
        <f t="shared" si="7"/>
        <v>1.0982399999999999</v>
      </c>
      <c r="X18" s="15">
        <f t="shared" si="7"/>
        <v>1.1481599999999998</v>
      </c>
      <c r="Y18" s="15">
        <f t="shared" si="7"/>
        <v>1.1980799999999998</v>
      </c>
      <c r="Z18" s="15">
        <f t="shared" si="7"/>
        <v>1.2479999999999998</v>
      </c>
      <c r="AA18" s="15">
        <f t="shared" si="7"/>
        <v>1.2979199999999997</v>
      </c>
      <c r="AB18" s="15">
        <f t="shared" si="7"/>
        <v>1.3478399999999997</v>
      </c>
      <c r="AC18" s="15">
        <f t="shared" si="7"/>
        <v>1.3977599999999997</v>
      </c>
      <c r="AD18" s="15">
        <f t="shared" si="7"/>
        <v>1.4476799999999996</v>
      </c>
      <c r="AE18" s="15">
        <f t="shared" si="7"/>
        <v>1.4975999999999996</v>
      </c>
    </row>
    <row r="19" spans="1:31" ht="15" customHeight="1" x14ac:dyDescent="0.35">
      <c r="A19" s="72" t="s">
        <v>74</v>
      </c>
      <c r="B19" s="15">
        <f>B12*Sref!$E$16*Sref!$B$24</f>
        <v>0.23400000000000001</v>
      </c>
      <c r="C19" s="15">
        <f t="shared" si="8"/>
        <v>0.46800000000000003</v>
      </c>
      <c r="D19" s="15">
        <f t="shared" si="9"/>
        <v>0.70200000000000007</v>
      </c>
      <c r="E19" s="15">
        <f t="shared" si="7"/>
        <v>0.93600000000000005</v>
      </c>
      <c r="F19" s="15">
        <f t="shared" si="7"/>
        <v>1.1700000000000002</v>
      </c>
      <c r="G19" s="15">
        <f t="shared" si="7"/>
        <v>1.4040000000000001</v>
      </c>
      <c r="H19" s="15">
        <f t="shared" si="7"/>
        <v>1.6380000000000001</v>
      </c>
      <c r="I19" s="15">
        <f t="shared" si="7"/>
        <v>1.8720000000000001</v>
      </c>
      <c r="J19" s="15">
        <f t="shared" si="7"/>
        <v>2.1060000000000003</v>
      </c>
      <c r="K19" s="15">
        <f t="shared" si="7"/>
        <v>2.3400000000000003</v>
      </c>
      <c r="L19" s="15">
        <f t="shared" si="7"/>
        <v>2.5740000000000003</v>
      </c>
      <c r="M19" s="15">
        <f t="shared" si="7"/>
        <v>2.8080000000000003</v>
      </c>
      <c r="N19" s="15">
        <f t="shared" si="7"/>
        <v>3.0420000000000003</v>
      </c>
      <c r="O19" s="15">
        <f t="shared" si="7"/>
        <v>3.2760000000000002</v>
      </c>
      <c r="P19" s="15">
        <f t="shared" si="7"/>
        <v>3.5100000000000002</v>
      </c>
      <c r="Q19" s="15">
        <f t="shared" si="7"/>
        <v>3.7440000000000002</v>
      </c>
      <c r="R19" s="15">
        <f t="shared" si="7"/>
        <v>3.9780000000000002</v>
      </c>
      <c r="S19" s="15">
        <f t="shared" si="7"/>
        <v>4.2120000000000006</v>
      </c>
      <c r="T19" s="15">
        <f t="shared" si="7"/>
        <v>4.4460000000000006</v>
      </c>
      <c r="U19" s="15">
        <f t="shared" si="7"/>
        <v>4.6800000000000006</v>
      </c>
      <c r="V19" s="15">
        <f t="shared" si="7"/>
        <v>4.9140000000000006</v>
      </c>
      <c r="W19" s="15">
        <f t="shared" si="7"/>
        <v>5.1480000000000006</v>
      </c>
      <c r="X19" s="15">
        <f t="shared" si="7"/>
        <v>5.3820000000000006</v>
      </c>
      <c r="Y19" s="15">
        <f t="shared" si="7"/>
        <v>5.6160000000000005</v>
      </c>
      <c r="Z19" s="15">
        <f t="shared" si="7"/>
        <v>5.8500000000000005</v>
      </c>
      <c r="AA19" s="15">
        <f t="shared" si="7"/>
        <v>6.0840000000000005</v>
      </c>
      <c r="AB19" s="15">
        <f t="shared" si="7"/>
        <v>6.3180000000000005</v>
      </c>
      <c r="AC19" s="15">
        <f t="shared" si="7"/>
        <v>6.5520000000000005</v>
      </c>
      <c r="AD19" s="15">
        <f t="shared" si="7"/>
        <v>6.7860000000000005</v>
      </c>
      <c r="AE19" s="15">
        <f t="shared" si="7"/>
        <v>7.0200000000000005</v>
      </c>
    </row>
    <row r="20" spans="1:31" ht="15" customHeight="1" x14ac:dyDescent="0.35">
      <c r="A20" s="72" t="s">
        <v>68</v>
      </c>
      <c r="B20" s="15">
        <f>B13*Sref!$E$16*Sref!$B$25</f>
        <v>0.24959999999999999</v>
      </c>
      <c r="C20" s="15">
        <f>B20+B20</f>
        <v>0.49919999999999998</v>
      </c>
      <c r="D20" s="15">
        <f>C20+$B20</f>
        <v>0.74879999999999991</v>
      </c>
      <c r="E20" s="15">
        <f t="shared" ref="E20:AE20" si="10">D20+$B20</f>
        <v>0.99839999999999995</v>
      </c>
      <c r="F20" s="15">
        <f t="shared" si="10"/>
        <v>1.248</v>
      </c>
      <c r="G20" s="15">
        <f t="shared" si="10"/>
        <v>1.4976</v>
      </c>
      <c r="H20" s="15">
        <f t="shared" si="10"/>
        <v>1.7472000000000001</v>
      </c>
      <c r="I20" s="15">
        <f t="shared" si="10"/>
        <v>1.9968000000000001</v>
      </c>
      <c r="J20" s="15">
        <f t="shared" si="10"/>
        <v>2.2464</v>
      </c>
      <c r="K20" s="15">
        <f t="shared" si="10"/>
        <v>2.496</v>
      </c>
      <c r="L20" s="15">
        <f t="shared" si="10"/>
        <v>2.7456</v>
      </c>
      <c r="M20" s="15">
        <f t="shared" si="10"/>
        <v>2.9952000000000001</v>
      </c>
      <c r="N20" s="15">
        <f t="shared" si="10"/>
        <v>3.2448000000000001</v>
      </c>
      <c r="O20" s="15">
        <f t="shared" si="10"/>
        <v>3.4944000000000002</v>
      </c>
      <c r="P20" s="15">
        <f t="shared" si="10"/>
        <v>3.7440000000000002</v>
      </c>
      <c r="Q20" s="15">
        <f t="shared" si="10"/>
        <v>3.9936000000000003</v>
      </c>
      <c r="R20" s="15">
        <f t="shared" si="10"/>
        <v>4.2431999999999999</v>
      </c>
      <c r="S20" s="15">
        <f t="shared" si="10"/>
        <v>4.4927999999999999</v>
      </c>
      <c r="T20" s="15">
        <f t="shared" si="10"/>
        <v>4.7423999999999999</v>
      </c>
      <c r="U20" s="15">
        <f t="shared" si="10"/>
        <v>4.992</v>
      </c>
      <c r="V20" s="15">
        <f t="shared" si="10"/>
        <v>5.2416</v>
      </c>
      <c r="W20" s="15">
        <f t="shared" si="10"/>
        <v>5.4912000000000001</v>
      </c>
      <c r="X20" s="15">
        <f t="shared" si="10"/>
        <v>5.7408000000000001</v>
      </c>
      <c r="Y20" s="15">
        <f t="shared" si="10"/>
        <v>5.9904000000000002</v>
      </c>
      <c r="Z20" s="15">
        <f t="shared" si="10"/>
        <v>6.24</v>
      </c>
      <c r="AA20" s="15">
        <f t="shared" si="10"/>
        <v>6.4896000000000003</v>
      </c>
      <c r="AB20" s="15">
        <f t="shared" si="10"/>
        <v>6.7392000000000003</v>
      </c>
      <c r="AC20" s="15">
        <f t="shared" si="10"/>
        <v>6.9888000000000003</v>
      </c>
      <c r="AD20" s="15">
        <f t="shared" si="10"/>
        <v>7.2384000000000004</v>
      </c>
      <c r="AE20" s="15">
        <f t="shared" si="10"/>
        <v>7.4880000000000004</v>
      </c>
    </row>
    <row r="21" spans="1:31" ht="15" customHeight="1" x14ac:dyDescent="0.35">
      <c r="A21" s="17" t="s">
        <v>81</v>
      </c>
      <c r="B21" s="15">
        <f>SUM(B16:B20)</f>
        <v>0.69810000000000005</v>
      </c>
      <c r="C21" s="15">
        <f t="shared" ref="C21:AE21" si="11">SUM(C16:C20)</f>
        <v>1.3962000000000001</v>
      </c>
      <c r="D21" s="15">
        <f t="shared" si="11"/>
        <v>2.0943000000000001</v>
      </c>
      <c r="E21" s="15">
        <f t="shared" si="11"/>
        <v>2.7924000000000002</v>
      </c>
      <c r="F21" s="15">
        <f t="shared" si="11"/>
        <v>3.4905000000000008</v>
      </c>
      <c r="G21" s="15">
        <f t="shared" si="11"/>
        <v>4.1886000000000001</v>
      </c>
      <c r="H21" s="15">
        <f t="shared" si="11"/>
        <v>4.8867000000000003</v>
      </c>
      <c r="I21" s="15">
        <f t="shared" si="11"/>
        <v>5.5848000000000004</v>
      </c>
      <c r="J21" s="15">
        <f t="shared" si="11"/>
        <v>6.2828999999999997</v>
      </c>
      <c r="K21" s="15">
        <f t="shared" si="11"/>
        <v>6.9810000000000016</v>
      </c>
      <c r="L21" s="15">
        <f t="shared" si="11"/>
        <v>7.6791</v>
      </c>
      <c r="M21" s="15">
        <f t="shared" si="11"/>
        <v>8.3772000000000002</v>
      </c>
      <c r="N21" s="15">
        <f t="shared" si="11"/>
        <v>9.0753000000000004</v>
      </c>
      <c r="O21" s="15">
        <f t="shared" si="11"/>
        <v>9.7734000000000005</v>
      </c>
      <c r="P21" s="15">
        <f t="shared" si="11"/>
        <v>10.471500000000001</v>
      </c>
      <c r="Q21" s="15">
        <f t="shared" si="11"/>
        <v>11.169600000000001</v>
      </c>
      <c r="R21" s="15">
        <f t="shared" si="11"/>
        <v>11.867699999999999</v>
      </c>
      <c r="S21" s="15">
        <f t="shared" si="11"/>
        <v>12.565799999999999</v>
      </c>
      <c r="T21" s="15">
        <f t="shared" si="11"/>
        <v>13.2639</v>
      </c>
      <c r="U21" s="15">
        <f t="shared" si="11"/>
        <v>13.962</v>
      </c>
      <c r="V21" s="15">
        <f t="shared" si="11"/>
        <v>14.660100000000002</v>
      </c>
      <c r="W21" s="15">
        <f t="shared" si="11"/>
        <v>15.3582</v>
      </c>
      <c r="X21" s="15">
        <f t="shared" si="11"/>
        <v>16.0563</v>
      </c>
      <c r="Y21" s="15">
        <f t="shared" si="11"/>
        <v>16.7544</v>
      </c>
      <c r="Z21" s="15">
        <f t="shared" si="11"/>
        <v>17.452500000000001</v>
      </c>
      <c r="AA21" s="15">
        <f t="shared" si="11"/>
        <v>18.150600000000001</v>
      </c>
      <c r="AB21" s="15">
        <f t="shared" si="11"/>
        <v>18.848700000000001</v>
      </c>
      <c r="AC21" s="15">
        <f t="shared" si="11"/>
        <v>19.546800000000001</v>
      </c>
      <c r="AD21" s="15">
        <f t="shared" si="11"/>
        <v>20.244900000000001</v>
      </c>
      <c r="AE21" s="15">
        <f t="shared" si="11"/>
        <v>20.942999999999998</v>
      </c>
    </row>
    <row r="22" spans="1:31" x14ac:dyDescent="0.35">
      <c r="A22" s="16" t="s">
        <v>34</v>
      </c>
      <c r="B22" s="15">
        <f t="shared" ref="B22:AE22" si="12">EXP(-1.0587+0.8836*LN(B21)+0.284)</f>
        <v>0.33545764192523392</v>
      </c>
      <c r="C22" s="15">
        <f t="shared" si="12"/>
        <v>0.61891041918409173</v>
      </c>
      <c r="D22" s="15">
        <f t="shared" si="12"/>
        <v>0.88556823563661513</v>
      </c>
      <c r="E22" s="15">
        <f t="shared" si="12"/>
        <v>1.1418732474724831</v>
      </c>
      <c r="F22" s="15">
        <f t="shared" si="12"/>
        <v>1.3907452510647027</v>
      </c>
      <c r="G22" s="15">
        <f t="shared" si="12"/>
        <v>1.6338498201693394</v>
      </c>
      <c r="H22" s="15">
        <f t="shared" si="12"/>
        <v>1.8722606857865829</v>
      </c>
      <c r="I22" s="15">
        <f t="shared" si="12"/>
        <v>2.1067257439489384</v>
      </c>
      <c r="J22" s="15">
        <f t="shared" si="12"/>
        <v>2.3377947077542971</v>
      </c>
      <c r="K22" s="15">
        <f t="shared" si="12"/>
        <v>2.5658879653920117</v>
      </c>
      <c r="L22" s="15">
        <f t="shared" si="12"/>
        <v>2.7913369620653685</v>
      </c>
      <c r="M22" s="15">
        <f t="shared" si="12"/>
        <v>3.0144094237395098</v>
      </c>
      <c r="N22" s="15">
        <f t="shared" si="12"/>
        <v>3.2353259109080263</v>
      </c>
      <c r="O22" s="15">
        <f t="shared" si="12"/>
        <v>3.4542711241031485</v>
      </c>
      <c r="P22" s="15">
        <f t="shared" si="12"/>
        <v>3.6714018829234694</v>
      </c>
      <c r="Q22" s="15">
        <f t="shared" si="12"/>
        <v>3.8868529147532742</v>
      </c>
      <c r="R22" s="15">
        <f t="shared" si="12"/>
        <v>4.1007411542017769</v>
      </c>
      <c r="S22" s="15">
        <f t="shared" si="12"/>
        <v>4.3131690017216613</v>
      </c>
      <c r="T22" s="15">
        <f t="shared" si="12"/>
        <v>4.5242268373297936</v>
      </c>
      <c r="U22" s="15">
        <f t="shared" si="12"/>
        <v>4.7339949900265754</v>
      </c>
      <c r="V22" s="15">
        <f t="shared" si="12"/>
        <v>4.942545302137904</v>
      </c>
      <c r="W22" s="15">
        <f t="shared" si="12"/>
        <v>5.1499423872447299</v>
      </c>
      <c r="X22" s="15">
        <f t="shared" si="12"/>
        <v>5.3562446529329355</v>
      </c>
      <c r="Y22" s="15">
        <f t="shared" si="12"/>
        <v>5.561505140654714</v>
      </c>
      <c r="Z22" s="15">
        <f t="shared" si="12"/>
        <v>5.7657722216687715</v>
      </c>
      <c r="AA22" s="15">
        <f t="shared" si="12"/>
        <v>5.9690901784956996</v>
      </c>
      <c r="AB22" s="15">
        <f t="shared" si="12"/>
        <v>6.1714996944025744</v>
      </c>
      <c r="AC22" s="15">
        <f t="shared" si="12"/>
        <v>6.3730382683327633</v>
      </c>
      <c r="AD22" s="15">
        <f t="shared" si="12"/>
        <v>6.5737405688943094</v>
      </c>
      <c r="AE22" s="15">
        <f t="shared" si="12"/>
        <v>6.7736387381506313</v>
      </c>
    </row>
    <row r="23" spans="1:31" x14ac:dyDescent="0.35">
      <c r="A23" s="16" t="s">
        <v>35</v>
      </c>
      <c r="B23" s="15">
        <f>(B21+B22)*Sref!$E$7</f>
        <v>0.49093987991448607</v>
      </c>
      <c r="C23" s="15">
        <f>(C21+C22)*Sref!$E$7</f>
        <v>0.95717744911244362</v>
      </c>
      <c r="D23" s="15">
        <f>(D21+D22)*Sref!$E$7</f>
        <v>1.4154374119273923</v>
      </c>
      <c r="E23" s="15">
        <f>(E21+E22)*Sref!$E$7</f>
        <v>1.8687797925494296</v>
      </c>
      <c r="F23" s="15">
        <f>(F21+F22)*Sref!$E$7</f>
        <v>2.3185914942557337</v>
      </c>
      <c r="G23" s="15">
        <f>(G21+G22)*Sref!$E$7</f>
        <v>2.765663664580436</v>
      </c>
      <c r="H23" s="15">
        <f>(H21+H22)*Sref!$E$7</f>
        <v>3.2105063257486268</v>
      </c>
      <c r="I23" s="15">
        <f>(I21+I22)*Sref!$E$7</f>
        <v>3.6534747283757456</v>
      </c>
      <c r="J23" s="15">
        <f>(J21+J22)*Sref!$E$7</f>
        <v>4.0948299861832904</v>
      </c>
      <c r="K23" s="15">
        <f>(K21+K22)*Sref!$E$7</f>
        <v>4.5347717835612062</v>
      </c>
      <c r="L23" s="15">
        <f>(L21+L22)*Sref!$E$7</f>
        <v>4.9734575569810504</v>
      </c>
      <c r="M23" s="15">
        <f>(M21+M22)*Sref!$E$7</f>
        <v>5.4110144762762671</v>
      </c>
      <c r="N23" s="15">
        <f>(N21+N22)*Sref!$E$7</f>
        <v>5.847547307681312</v>
      </c>
      <c r="O23" s="15">
        <f>(O21+O22)*Sref!$E$7</f>
        <v>6.2831437839489963</v>
      </c>
      <c r="P23" s="15">
        <f>(P21+P22)*Sref!$E$7</f>
        <v>6.7178783943886478</v>
      </c>
      <c r="Q23" s="15">
        <f>(Q21+Q22)*Sref!$E$7</f>
        <v>7.1518151345078058</v>
      </c>
      <c r="R23" s="15">
        <f>(R21+R22)*Sref!$E$7</f>
        <v>7.5850095482458437</v>
      </c>
      <c r="S23" s="15">
        <f>(S21+S22)*Sref!$E$7</f>
        <v>8.0175102758177879</v>
      </c>
      <c r="T23" s="15">
        <f>(T21+T22)*Sref!$E$7</f>
        <v>8.4493602477316507</v>
      </c>
      <c r="U23" s="15">
        <f>(U21+U22)*Sref!$E$7</f>
        <v>8.8805976202626233</v>
      </c>
      <c r="V23" s="15">
        <f>(V21+V22)*Sref!$E$7</f>
        <v>9.3112565185155045</v>
      </c>
      <c r="W23" s="15">
        <f>(W21+W22)*Sref!$E$7</f>
        <v>9.7413676339412465</v>
      </c>
      <c r="X23" s="15">
        <f>(X21+X22)*Sref!$E$7</f>
        <v>10.170958710143145</v>
      </c>
      <c r="Y23" s="15">
        <f>(Y21+Y22)*Sref!$E$7</f>
        <v>10.600054941810988</v>
      </c>
      <c r="Z23" s="15">
        <f>(Z21+Z22)*Sref!$E$7</f>
        <v>11.028679305292666</v>
      </c>
      <c r="AA23" s="15">
        <f>(AA21+AA22)*Sref!$E$7</f>
        <v>11.456852834785458</v>
      </c>
      <c r="AB23" s="15">
        <f>(AB21+AB22)*Sref!$E$7</f>
        <v>11.884594854841222</v>
      </c>
      <c r="AC23" s="15">
        <f>(AC21+AC22)*Sref!$E$7</f>
        <v>12.311923177458063</v>
      </c>
      <c r="AD23" s="15">
        <f>(AD21+AD22)*Sref!$E$7</f>
        <v>12.738854270224797</v>
      </c>
      <c r="AE23" s="15">
        <f>(AE21+AE22)*Sref!$E$7</f>
        <v>13.165403400621548</v>
      </c>
    </row>
    <row r="24" spans="1:31" x14ac:dyDescent="0.35">
      <c r="A24" s="16" t="s">
        <v>32</v>
      </c>
      <c r="B24" s="15">
        <f>B7*(Sref!$E$9/30)</f>
        <v>0.33333333333333331</v>
      </c>
      <c r="C24" s="15">
        <f>C7*(Sref!$E$9/30)</f>
        <v>0.66666666666666663</v>
      </c>
      <c r="D24" s="15">
        <f>D7*(Sref!$E$9/30)</f>
        <v>1</v>
      </c>
      <c r="E24" s="15">
        <f>E7*(Sref!$E$9/30)</f>
        <v>1.3333333333333333</v>
      </c>
      <c r="F24" s="15">
        <f>F7*(Sref!$E$9/30)</f>
        <v>1.6666666666666665</v>
      </c>
      <c r="G24" s="15">
        <f>G7*(Sref!$E$9/30)</f>
        <v>2</v>
      </c>
      <c r="H24" s="15">
        <f>H7*(Sref!$E$9/30)</f>
        <v>2.333333333333333</v>
      </c>
      <c r="I24" s="15">
        <f>I7*(Sref!$E$9/30)</f>
        <v>2.6666666666666665</v>
      </c>
      <c r="J24" s="15">
        <f>J7*(Sref!$E$9/30)</f>
        <v>3</v>
      </c>
      <c r="K24" s="15">
        <f>K7*(Sref!$E$9/30)</f>
        <v>3.333333333333333</v>
      </c>
      <c r="L24" s="15">
        <f>L7*(Sref!$E$9/30)</f>
        <v>3.6666666666666665</v>
      </c>
      <c r="M24" s="15">
        <f>M7*(Sref!$E$9/30)</f>
        <v>4</v>
      </c>
      <c r="N24" s="15">
        <f>N7*(Sref!$E$9/30)</f>
        <v>4.333333333333333</v>
      </c>
      <c r="O24" s="15">
        <f>O7*(Sref!$E$9/30)</f>
        <v>4.6666666666666661</v>
      </c>
      <c r="P24" s="15">
        <f>P7*(Sref!$E$9/30)</f>
        <v>5</v>
      </c>
      <c r="Q24" s="15">
        <f>Q7*(Sref!$E$9/30)</f>
        <v>5.333333333333333</v>
      </c>
      <c r="R24" s="15">
        <f>R7*(Sref!$E$9/30)</f>
        <v>5.6666666666666661</v>
      </c>
      <c r="S24" s="15">
        <f>S7*(Sref!$E$9/30)</f>
        <v>6</v>
      </c>
      <c r="T24" s="15">
        <f>T7*(Sref!$E$9/30)</f>
        <v>6.333333333333333</v>
      </c>
      <c r="U24" s="15">
        <f>U7*(Sref!$E$9/30)</f>
        <v>6.6666666666666661</v>
      </c>
      <c r="V24" s="15">
        <f>V7*(Sref!$E$9/30)</f>
        <v>7</v>
      </c>
      <c r="W24" s="15">
        <f>W7*(Sref!$E$9/30)</f>
        <v>7.333333333333333</v>
      </c>
      <c r="X24" s="15">
        <f>X7*(Sref!$E$9/30)</f>
        <v>7.6666666666666661</v>
      </c>
      <c r="Y24" s="15">
        <f>Y7*(Sref!$E$9/30)</f>
        <v>8</v>
      </c>
      <c r="Z24" s="15">
        <f>Z7*(Sref!$E$9/30)</f>
        <v>8.3333333333333321</v>
      </c>
      <c r="AA24" s="15">
        <f>AA7*(Sref!$E$9/30)</f>
        <v>8.6666666666666661</v>
      </c>
      <c r="AB24" s="15">
        <f>AB7*(Sref!$E$9/30)</f>
        <v>9</v>
      </c>
      <c r="AC24" s="15">
        <f>AC7*(Sref!$E$9/30)</f>
        <v>9.3333333333333321</v>
      </c>
      <c r="AD24" s="15">
        <f>AD7*(Sref!$E$9/30)</f>
        <v>9.6666666666666661</v>
      </c>
      <c r="AE24" s="15">
        <f>AE7*(Sref!$E$9/30)</f>
        <v>10</v>
      </c>
    </row>
    <row r="25" spans="1:31" x14ac:dyDescent="0.35">
      <c r="A25" s="16" t="s">
        <v>36</v>
      </c>
      <c r="B25" s="15">
        <f>(B23+B24+Sref!$E$8)*(44/12)</f>
        <v>259.68900178190864</v>
      </c>
      <c r="C25" s="15">
        <f>(C23+C24+Sref!$E$8)*(44/12)</f>
        <v>262.62076175785671</v>
      </c>
      <c r="D25" s="15">
        <f>(D23+D24+Sref!$E$8)*(44/12)</f>
        <v>265.52327051040044</v>
      </c>
      <c r="E25" s="15">
        <f>(E23+E24+Sref!$E$8)*(44/12)</f>
        <v>268.40774812823679</v>
      </c>
      <c r="F25" s="15">
        <f>(F23+F24+Sref!$E$8)*(44/12)</f>
        <v>271.27927992338209</v>
      </c>
      <c r="G25" s="15">
        <f>(G23+G24+Sref!$E$8)*(44/12)</f>
        <v>274.14076677012821</v>
      </c>
      <c r="H25" s="15">
        <f>(H23+H24+Sref!$E$8)*(44/12)</f>
        <v>276.99407874996717</v>
      </c>
      <c r="I25" s="15">
        <f>(I23+I24+Sref!$E$8)*(44/12)</f>
        <v>279.84051844848881</v>
      </c>
      <c r="J25" s="15">
        <f>(J23+J24+Sref!$E$8)*(44/12)</f>
        <v>282.68104328267202</v>
      </c>
      <c r="K25" s="15">
        <f>(K23+K24+Sref!$E$8)*(44/12)</f>
        <v>285.51638542861332</v>
      </c>
      <c r="L25" s="15">
        <f>(L23+L24+Sref!$E$8)*(44/12)</f>
        <v>288.34712215337493</v>
      </c>
      <c r="M25" s="15">
        <f>(M23+M24+Sref!$E$8)*(44/12)</f>
        <v>291.17371974634631</v>
      </c>
      <c r="N25" s="15">
        <f>(N23+N24+Sref!$E$8)*(44/12)</f>
        <v>293.99656235038702</v>
      </c>
      <c r="O25" s="15">
        <f>(O23+O24+Sref!$E$8)*(44/12)</f>
        <v>296.81597165225742</v>
      </c>
      <c r="P25" s="15">
        <f>(P23+P24+Sref!$E$8)*(44/12)</f>
        <v>299.63222077942504</v>
      </c>
      <c r="Q25" s="15">
        <f>(Q23+Q24+Sref!$E$8)*(44/12)</f>
        <v>302.44554438208417</v>
      </c>
      <c r="R25" s="15">
        <f>(R23+R24+Sref!$E$8)*(44/12)</f>
        <v>305.25614612134586</v>
      </c>
      <c r="S25" s="15">
        <f>(S23+S24+Sref!$E$8)*(44/12)</f>
        <v>308.0642043446652</v>
      </c>
      <c r="T25" s="15">
        <f>(T23+T24+Sref!$E$8)*(44/12)</f>
        <v>310.86987646390497</v>
      </c>
      <c r="U25" s="15">
        <f>(U23+U24+Sref!$E$8)*(44/12)</f>
        <v>313.6733023854074</v>
      </c>
      <c r="V25" s="15">
        <f>(V23+V24+Sref!$E$8)*(44/12)</f>
        <v>316.47460723455686</v>
      </c>
      <c r="W25" s="15">
        <f>(W23+W24+Sref!$E$8)*(44/12)</f>
        <v>319.27390354667347</v>
      </c>
      <c r="X25" s="15">
        <f>(X23+X24+Sref!$E$8)*(44/12)</f>
        <v>322.07129304830261</v>
      </c>
      <c r="Y25" s="15">
        <f>(Y23+Y24+Sref!$E$8)*(44/12)</f>
        <v>324.86686811997356</v>
      </c>
      <c r="Z25" s="15">
        <f>(Z23+Z24+Sref!$E$8)*(44/12)</f>
        <v>327.66071300829532</v>
      </c>
      <c r="AA25" s="15">
        <f>(AA23+AA24+Sref!$E$8)*(44/12)</f>
        <v>330.45290483865779</v>
      </c>
      <c r="AB25" s="15">
        <f>(AB23+AB24+Sref!$E$8)*(44/12)</f>
        <v>333.24351446775114</v>
      </c>
      <c r="AC25" s="15">
        <f>(AC23+AC24+Sref!$E$8)*(44/12)</f>
        <v>336.03260720623513</v>
      </c>
      <c r="AD25" s="15">
        <f>(AD23+AD24+Sref!$E$8)*(44/12)</f>
        <v>338.82024343526871</v>
      </c>
      <c r="AE25" s="15">
        <f>(AE23+AE24+Sref!$E$8)*(44/12)</f>
        <v>341.60647913561235</v>
      </c>
    </row>
    <row r="26" spans="1:31" s="12" customFormat="1" x14ac:dyDescent="0.35">
      <c r="A26" s="16" t="s">
        <v>37</v>
      </c>
      <c r="B26" s="81">
        <f>B25*Sref!$E$10</f>
        <v>1558.1340106914517</v>
      </c>
      <c r="C26" s="81">
        <f>C25*Sref!$E$10</f>
        <v>1575.7245705471403</v>
      </c>
      <c r="D26" s="81">
        <f>D25*Sref!$E$10</f>
        <v>1593.1396230624027</v>
      </c>
      <c r="E26" s="81">
        <f>E25*Sref!$E$10</f>
        <v>1610.4464887694207</v>
      </c>
      <c r="F26" s="81">
        <f>F25*Sref!$E$10</f>
        <v>1627.6756795402925</v>
      </c>
      <c r="G26" s="81">
        <f>G25*Sref!$E$10</f>
        <v>1644.8446006207691</v>
      </c>
      <c r="H26" s="81">
        <f>H25*Sref!$E$10</f>
        <v>1661.9644724998029</v>
      </c>
      <c r="I26" s="81">
        <f>I25*Sref!$E$10</f>
        <v>1679.0431106909327</v>
      </c>
      <c r="J26" s="81">
        <f>J25*Sref!$E$10</f>
        <v>1696.0862596960321</v>
      </c>
      <c r="K26" s="81">
        <f>K25*Sref!$E$10</f>
        <v>1713.0983125716798</v>
      </c>
      <c r="L26" s="81">
        <f>L25*Sref!$E$10</f>
        <v>1730.0827329202496</v>
      </c>
      <c r="M26" s="81">
        <f>M25*Sref!$E$10</f>
        <v>1747.042318478078</v>
      </c>
      <c r="N26" s="81">
        <f>N25*Sref!$E$10</f>
        <v>1763.9793741023223</v>
      </c>
      <c r="O26" s="81">
        <f>O25*Sref!$E$10</f>
        <v>1780.8958299135445</v>
      </c>
      <c r="P26" s="81">
        <f>P25*Sref!$E$10</f>
        <v>1797.7933246765501</v>
      </c>
      <c r="Q26" s="81">
        <f>Q25*Sref!$E$10</f>
        <v>1814.6732662925051</v>
      </c>
      <c r="R26" s="81">
        <f>R25*Sref!$E$10</f>
        <v>1831.5368767280752</v>
      </c>
      <c r="S26" s="81">
        <f>S25*Sref!$E$10</f>
        <v>1848.3852260679912</v>
      </c>
      <c r="T26" s="81">
        <f>T25*Sref!$E$10</f>
        <v>1865.2192587834297</v>
      </c>
      <c r="U26" s="81">
        <f>U25*Sref!$E$10</f>
        <v>1882.0398143124444</v>
      </c>
      <c r="V26" s="81">
        <f>V25*Sref!$E$10</f>
        <v>1898.8476434073411</v>
      </c>
      <c r="W26" s="81">
        <f>W25*Sref!$E$10</f>
        <v>1915.6434212800409</v>
      </c>
      <c r="X26" s="81">
        <f>X25*Sref!$E$10</f>
        <v>1932.4277582898158</v>
      </c>
      <c r="Y26" s="81">
        <f>Y25*Sref!$E$10</f>
        <v>1949.2012087198414</v>
      </c>
      <c r="Z26" s="81">
        <f>Z25*Sref!$E$10</f>
        <v>1965.964278049772</v>
      </c>
      <c r="AA26" s="81">
        <f>AA25*Sref!$E$10</f>
        <v>1982.7174290319467</v>
      </c>
      <c r="AB26" s="81">
        <f>AB25*Sref!$E$10</f>
        <v>1999.461086806507</v>
      </c>
      <c r="AC26" s="81">
        <f>AC25*Sref!$E$10</f>
        <v>2016.1956432374109</v>
      </c>
      <c r="AD26" s="81">
        <f>AD25*Sref!$E$10</f>
        <v>2032.9214606116122</v>
      </c>
      <c r="AE26" s="81">
        <f>AE25*Sref!$E$10</f>
        <v>2049.6388748136742</v>
      </c>
    </row>
    <row r="27" spans="1:31" s="12" customFormat="1" ht="15" thickBot="1" x14ac:dyDescent="0.4">
      <c r="A27"/>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row>
    <row r="28" spans="1:31" ht="44.5" customHeight="1" thickBot="1" x14ac:dyDescent="0.4">
      <c r="A28" s="132" t="s">
        <v>117</v>
      </c>
      <c r="B28" s="133"/>
      <c r="C28" s="133"/>
      <c r="D28" s="133"/>
      <c r="E28" s="133"/>
      <c r="F28" s="133"/>
      <c r="G28" s="133"/>
      <c r="H28" s="133"/>
      <c r="I28" s="133"/>
      <c r="J28" s="133"/>
      <c r="K28" s="133"/>
      <c r="L28" s="133"/>
      <c r="M28" s="133"/>
      <c r="N28" s="133"/>
      <c r="O28" s="133"/>
      <c r="P28" s="133"/>
      <c r="Q28" s="133"/>
      <c r="R28" s="133"/>
      <c r="S28" s="133"/>
      <c r="T28" s="133"/>
      <c r="U28" s="133"/>
      <c r="V28" s="133"/>
      <c r="W28" s="133"/>
      <c r="X28" s="134"/>
    </row>
    <row r="29" spans="1:31" ht="21" x14ac:dyDescent="0.5">
      <c r="A29" s="150" t="s">
        <v>66</v>
      </c>
      <c r="B29" s="150"/>
      <c r="C29" s="150"/>
      <c r="D29" s="150"/>
      <c r="E29" s="150"/>
      <c r="F29" s="150"/>
      <c r="G29" s="150"/>
      <c r="H29" s="150"/>
      <c r="I29" s="150"/>
      <c r="J29" s="150"/>
      <c r="K29" s="150"/>
      <c r="L29" s="150"/>
      <c r="M29" s="150"/>
      <c r="N29" s="150"/>
      <c r="O29" s="150"/>
      <c r="P29" s="150"/>
      <c r="Q29" s="85"/>
      <c r="R29" s="85"/>
      <c r="S29" s="85"/>
      <c r="T29" s="85"/>
      <c r="U29" s="85"/>
      <c r="V29" s="85"/>
      <c r="W29" s="85"/>
      <c r="X29" s="85"/>
      <c r="Y29" s="85"/>
      <c r="Z29" s="85"/>
      <c r="AA29" s="85"/>
      <c r="AB29" s="85"/>
      <c r="AC29" s="85"/>
      <c r="AD29" s="85"/>
      <c r="AE29" s="85"/>
    </row>
    <row r="30" spans="1:31" x14ac:dyDescent="0.35">
      <c r="A30" s="16" t="s">
        <v>27</v>
      </c>
      <c r="B30" s="16">
        <v>1</v>
      </c>
      <c r="C30" s="16">
        <v>2</v>
      </c>
      <c r="D30" s="16">
        <v>3</v>
      </c>
      <c r="E30" s="16">
        <v>4</v>
      </c>
      <c r="F30" s="16">
        <v>5</v>
      </c>
      <c r="G30" s="16">
        <v>6</v>
      </c>
      <c r="H30" s="16">
        <v>7</v>
      </c>
      <c r="I30" s="16">
        <v>8</v>
      </c>
      <c r="J30" s="16">
        <v>9</v>
      </c>
      <c r="K30" s="16">
        <v>10</v>
      </c>
      <c r="L30" s="16">
        <v>11</v>
      </c>
      <c r="M30" s="16">
        <v>12</v>
      </c>
      <c r="N30" s="16">
        <v>13</v>
      </c>
      <c r="O30" s="16">
        <v>14</v>
      </c>
      <c r="P30" s="16">
        <v>15</v>
      </c>
      <c r="Q30" s="16">
        <v>16</v>
      </c>
      <c r="R30" s="16">
        <v>17</v>
      </c>
      <c r="S30" s="16">
        <v>18</v>
      </c>
      <c r="T30" s="16">
        <v>19</v>
      </c>
      <c r="U30" s="16">
        <v>20</v>
      </c>
      <c r="V30" s="16">
        <v>21</v>
      </c>
      <c r="W30" s="16">
        <v>22</v>
      </c>
      <c r="X30" s="16">
        <v>23</v>
      </c>
      <c r="Y30" s="16">
        <v>24</v>
      </c>
      <c r="Z30" s="16">
        <v>25</v>
      </c>
      <c r="AA30" s="16">
        <v>26</v>
      </c>
      <c r="AB30" s="16">
        <v>27</v>
      </c>
      <c r="AC30" s="16">
        <v>28</v>
      </c>
      <c r="AD30" s="16">
        <v>29</v>
      </c>
      <c r="AE30" s="16">
        <v>30</v>
      </c>
    </row>
    <row r="31" spans="1:31" x14ac:dyDescent="0.35">
      <c r="A31" s="17" t="s">
        <v>120</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row>
    <row r="32" spans="1:31" x14ac:dyDescent="0.35">
      <c r="A32" s="83" t="s">
        <v>76</v>
      </c>
      <c r="B32" s="21">
        <f>(Sprojet!E22)/30</f>
        <v>0.35</v>
      </c>
      <c r="C32" s="21">
        <f>B32+B32</f>
        <v>0.7</v>
      </c>
      <c r="D32" s="21">
        <f>C32+$B32</f>
        <v>1.0499999999999998</v>
      </c>
      <c r="E32" s="21">
        <f>D32+$B32</f>
        <v>1.4</v>
      </c>
      <c r="F32" s="21">
        <f>E32+$B32</f>
        <v>1.75</v>
      </c>
      <c r="G32" s="21">
        <f t="shared" ref="G32:AE32" si="13">F32+$B32</f>
        <v>2.1</v>
      </c>
      <c r="H32" s="21">
        <f t="shared" si="13"/>
        <v>2.4500000000000002</v>
      </c>
      <c r="I32" s="21">
        <f t="shared" si="13"/>
        <v>2.8000000000000003</v>
      </c>
      <c r="J32" s="21">
        <f t="shared" si="13"/>
        <v>3.1500000000000004</v>
      </c>
      <c r="K32" s="21">
        <f t="shared" si="13"/>
        <v>3.5000000000000004</v>
      </c>
      <c r="L32" s="21">
        <f t="shared" si="13"/>
        <v>3.8500000000000005</v>
      </c>
      <c r="M32" s="21">
        <f t="shared" si="13"/>
        <v>4.2</v>
      </c>
      <c r="N32" s="21">
        <f t="shared" si="13"/>
        <v>4.55</v>
      </c>
      <c r="O32" s="21">
        <f t="shared" si="13"/>
        <v>4.8999999999999995</v>
      </c>
      <c r="P32" s="21">
        <f t="shared" si="13"/>
        <v>5.2499999999999991</v>
      </c>
      <c r="Q32" s="21">
        <f t="shared" si="13"/>
        <v>5.5999999999999988</v>
      </c>
      <c r="R32" s="21">
        <f t="shared" si="13"/>
        <v>5.9499999999999984</v>
      </c>
      <c r="S32" s="21">
        <f t="shared" si="13"/>
        <v>6.299999999999998</v>
      </c>
      <c r="T32" s="21">
        <f t="shared" si="13"/>
        <v>6.6499999999999977</v>
      </c>
      <c r="U32" s="21">
        <f t="shared" si="13"/>
        <v>6.9999999999999973</v>
      </c>
      <c r="V32" s="21">
        <f t="shared" si="13"/>
        <v>7.349999999999997</v>
      </c>
      <c r="W32" s="21">
        <f t="shared" si="13"/>
        <v>7.6999999999999966</v>
      </c>
      <c r="X32" s="21">
        <f t="shared" si="13"/>
        <v>8.0499999999999972</v>
      </c>
      <c r="Y32" s="21">
        <f t="shared" si="13"/>
        <v>8.3999999999999968</v>
      </c>
      <c r="Z32" s="21">
        <f t="shared" si="13"/>
        <v>8.7499999999999964</v>
      </c>
      <c r="AA32" s="21">
        <f t="shared" si="13"/>
        <v>9.0999999999999961</v>
      </c>
      <c r="AB32" s="21">
        <f t="shared" si="13"/>
        <v>9.4499999999999957</v>
      </c>
      <c r="AC32" s="21">
        <f t="shared" si="13"/>
        <v>9.7999999999999954</v>
      </c>
      <c r="AD32" s="21">
        <f t="shared" si="13"/>
        <v>10.149999999999995</v>
      </c>
      <c r="AE32" s="21">
        <f t="shared" si="13"/>
        <v>10.499999999999995</v>
      </c>
    </row>
    <row r="33" spans="1:31" x14ac:dyDescent="0.35">
      <c r="A33" s="83" t="s">
        <v>77</v>
      </c>
      <c r="B33" s="21">
        <f>Sprojet!E28/30</f>
        <v>1.25</v>
      </c>
      <c r="C33" s="21">
        <f t="shared" ref="C33:C37" si="14">B33+B33</f>
        <v>2.5</v>
      </c>
      <c r="D33" s="21">
        <f>C33+$B33</f>
        <v>3.75</v>
      </c>
      <c r="E33" s="21">
        <f t="shared" ref="E33:AE33" si="15">D33+$B33</f>
        <v>5</v>
      </c>
      <c r="F33" s="21">
        <f t="shared" si="15"/>
        <v>6.25</v>
      </c>
      <c r="G33" s="21">
        <f t="shared" si="15"/>
        <v>7.5</v>
      </c>
      <c r="H33" s="21">
        <f t="shared" si="15"/>
        <v>8.75</v>
      </c>
      <c r="I33" s="21">
        <f t="shared" si="15"/>
        <v>10</v>
      </c>
      <c r="J33" s="21">
        <f t="shared" si="15"/>
        <v>11.25</v>
      </c>
      <c r="K33" s="21">
        <f t="shared" si="15"/>
        <v>12.5</v>
      </c>
      <c r="L33" s="21">
        <f t="shared" si="15"/>
        <v>13.75</v>
      </c>
      <c r="M33" s="21">
        <f t="shared" si="15"/>
        <v>15</v>
      </c>
      <c r="N33" s="21">
        <f t="shared" si="15"/>
        <v>16.25</v>
      </c>
      <c r="O33" s="21">
        <f t="shared" si="15"/>
        <v>17.5</v>
      </c>
      <c r="P33" s="21">
        <f t="shared" si="15"/>
        <v>18.75</v>
      </c>
      <c r="Q33" s="21">
        <f t="shared" si="15"/>
        <v>20</v>
      </c>
      <c r="R33" s="21">
        <f t="shared" si="15"/>
        <v>21.25</v>
      </c>
      <c r="S33" s="21">
        <f t="shared" si="15"/>
        <v>22.5</v>
      </c>
      <c r="T33" s="21">
        <f t="shared" si="15"/>
        <v>23.75</v>
      </c>
      <c r="U33" s="21">
        <f t="shared" si="15"/>
        <v>25</v>
      </c>
      <c r="V33" s="21">
        <f t="shared" si="15"/>
        <v>26.25</v>
      </c>
      <c r="W33" s="21">
        <f t="shared" si="15"/>
        <v>27.5</v>
      </c>
      <c r="X33" s="21">
        <f t="shared" si="15"/>
        <v>28.75</v>
      </c>
      <c r="Y33" s="21">
        <f t="shared" si="15"/>
        <v>30</v>
      </c>
      <c r="Z33" s="21">
        <f t="shared" si="15"/>
        <v>31.25</v>
      </c>
      <c r="AA33" s="21">
        <f t="shared" si="15"/>
        <v>32.5</v>
      </c>
      <c r="AB33" s="21">
        <f t="shared" si="15"/>
        <v>33.75</v>
      </c>
      <c r="AC33" s="21">
        <f t="shared" si="15"/>
        <v>35</v>
      </c>
      <c r="AD33" s="21">
        <f t="shared" si="15"/>
        <v>36.25</v>
      </c>
      <c r="AE33" s="21">
        <f t="shared" si="15"/>
        <v>37.5</v>
      </c>
    </row>
    <row r="34" spans="1:31" x14ac:dyDescent="0.35">
      <c r="A34" s="83" t="s">
        <v>78</v>
      </c>
      <c r="B34" s="21">
        <f>Sprojet!E29/30</f>
        <v>0.15200000000000002</v>
      </c>
      <c r="C34" s="21">
        <f t="shared" si="14"/>
        <v>0.30400000000000005</v>
      </c>
      <c r="D34" s="21">
        <f t="shared" ref="D34:S38" si="16">C34+$B34</f>
        <v>0.45600000000000007</v>
      </c>
      <c r="E34" s="21">
        <f t="shared" si="16"/>
        <v>0.6080000000000001</v>
      </c>
      <c r="F34" s="21">
        <f t="shared" si="16"/>
        <v>0.76000000000000012</v>
      </c>
      <c r="G34" s="21">
        <f t="shared" si="16"/>
        <v>0.91200000000000014</v>
      </c>
      <c r="H34" s="21">
        <f t="shared" si="16"/>
        <v>1.0640000000000001</v>
      </c>
      <c r="I34" s="21">
        <f t="shared" si="16"/>
        <v>1.2160000000000002</v>
      </c>
      <c r="J34" s="21">
        <f t="shared" si="16"/>
        <v>1.3680000000000003</v>
      </c>
      <c r="K34" s="21">
        <f t="shared" si="16"/>
        <v>1.5200000000000005</v>
      </c>
      <c r="L34" s="21">
        <f t="shared" si="16"/>
        <v>1.6720000000000006</v>
      </c>
      <c r="M34" s="21">
        <f t="shared" si="16"/>
        <v>1.8240000000000007</v>
      </c>
      <c r="N34" s="21">
        <f t="shared" si="16"/>
        <v>1.9760000000000009</v>
      </c>
      <c r="O34" s="21">
        <f t="shared" si="16"/>
        <v>2.128000000000001</v>
      </c>
      <c r="P34" s="21">
        <f t="shared" si="16"/>
        <v>2.2800000000000011</v>
      </c>
      <c r="Q34" s="21">
        <f t="shared" si="16"/>
        <v>2.4320000000000013</v>
      </c>
      <c r="R34" s="21">
        <f t="shared" si="16"/>
        <v>2.5840000000000014</v>
      </c>
      <c r="S34" s="21">
        <f t="shared" si="16"/>
        <v>2.7360000000000015</v>
      </c>
      <c r="T34" s="21">
        <f t="shared" ref="T34:AE34" si="17">S34+$B34</f>
        <v>2.8880000000000017</v>
      </c>
      <c r="U34" s="21">
        <f t="shared" si="17"/>
        <v>3.0400000000000018</v>
      </c>
      <c r="V34" s="21">
        <f t="shared" si="17"/>
        <v>3.1920000000000019</v>
      </c>
      <c r="W34" s="21">
        <f t="shared" si="17"/>
        <v>3.3440000000000021</v>
      </c>
      <c r="X34" s="21">
        <f t="shared" si="17"/>
        <v>3.4960000000000022</v>
      </c>
      <c r="Y34" s="21">
        <f t="shared" si="17"/>
        <v>3.6480000000000024</v>
      </c>
      <c r="Z34" s="21">
        <f t="shared" si="17"/>
        <v>3.8000000000000025</v>
      </c>
      <c r="AA34" s="21">
        <f t="shared" si="17"/>
        <v>3.9520000000000026</v>
      </c>
      <c r="AB34" s="21">
        <f t="shared" si="17"/>
        <v>4.1040000000000028</v>
      </c>
      <c r="AC34" s="21">
        <f t="shared" si="17"/>
        <v>4.2560000000000029</v>
      </c>
      <c r="AD34" s="21">
        <f t="shared" si="17"/>
        <v>4.408000000000003</v>
      </c>
      <c r="AE34" s="21">
        <f t="shared" si="17"/>
        <v>4.5600000000000032</v>
      </c>
    </row>
    <row r="35" spans="1:31" x14ac:dyDescent="0.35">
      <c r="A35" s="83" t="s">
        <v>72</v>
      </c>
      <c r="B35" s="21">
        <f>Sprojet!E23/30</f>
        <v>0.35</v>
      </c>
      <c r="C35" s="21">
        <f t="shared" si="14"/>
        <v>0.7</v>
      </c>
      <c r="D35" s="21">
        <f t="shared" si="16"/>
        <v>1.0499999999999998</v>
      </c>
      <c r="E35" s="21">
        <f t="shared" si="16"/>
        <v>1.4</v>
      </c>
      <c r="F35" s="21">
        <f t="shared" si="16"/>
        <v>1.75</v>
      </c>
      <c r="G35" s="21">
        <f t="shared" si="16"/>
        <v>2.1</v>
      </c>
      <c r="H35" s="21">
        <f t="shared" si="16"/>
        <v>2.4500000000000002</v>
      </c>
      <c r="I35" s="21">
        <f t="shared" si="16"/>
        <v>2.8000000000000003</v>
      </c>
      <c r="J35" s="21">
        <f t="shared" si="16"/>
        <v>3.1500000000000004</v>
      </c>
      <c r="K35" s="21">
        <f t="shared" si="16"/>
        <v>3.5000000000000004</v>
      </c>
      <c r="L35" s="21">
        <f t="shared" si="16"/>
        <v>3.8500000000000005</v>
      </c>
      <c r="M35" s="21">
        <f t="shared" si="16"/>
        <v>4.2</v>
      </c>
      <c r="N35" s="21">
        <f t="shared" si="16"/>
        <v>4.55</v>
      </c>
      <c r="O35" s="21">
        <f t="shared" si="16"/>
        <v>4.8999999999999995</v>
      </c>
      <c r="P35" s="21">
        <f t="shared" si="16"/>
        <v>5.2499999999999991</v>
      </c>
      <c r="Q35" s="21">
        <f t="shared" si="16"/>
        <v>5.5999999999999988</v>
      </c>
      <c r="R35" s="21">
        <f t="shared" si="16"/>
        <v>5.9499999999999984</v>
      </c>
      <c r="S35" s="21">
        <f t="shared" si="16"/>
        <v>6.299999999999998</v>
      </c>
      <c r="T35" s="21">
        <f t="shared" ref="T35:AE35" si="18">S35+$B35</f>
        <v>6.6499999999999977</v>
      </c>
      <c r="U35" s="21">
        <f t="shared" si="18"/>
        <v>6.9999999999999973</v>
      </c>
      <c r="V35" s="21">
        <f t="shared" si="18"/>
        <v>7.349999999999997</v>
      </c>
      <c r="W35" s="21">
        <f t="shared" si="18"/>
        <v>7.6999999999999966</v>
      </c>
      <c r="X35" s="21">
        <f t="shared" si="18"/>
        <v>8.0499999999999972</v>
      </c>
      <c r="Y35" s="21">
        <f t="shared" si="18"/>
        <v>8.3999999999999968</v>
      </c>
      <c r="Z35" s="21">
        <f t="shared" si="18"/>
        <v>8.7499999999999964</v>
      </c>
      <c r="AA35" s="21">
        <f t="shared" si="18"/>
        <v>9.0999999999999961</v>
      </c>
      <c r="AB35" s="21">
        <f t="shared" si="18"/>
        <v>9.4499999999999957</v>
      </c>
      <c r="AC35" s="21">
        <f t="shared" si="18"/>
        <v>9.7999999999999954</v>
      </c>
      <c r="AD35" s="21">
        <f t="shared" si="18"/>
        <v>10.149999999999995</v>
      </c>
      <c r="AE35" s="21">
        <f t="shared" si="18"/>
        <v>10.499999999999995</v>
      </c>
    </row>
    <row r="36" spans="1:31" x14ac:dyDescent="0.35">
      <c r="A36" s="83" t="s">
        <v>73</v>
      </c>
      <c r="B36" s="21">
        <f>Sprojet!E31/30</f>
        <v>0.89100000000000001</v>
      </c>
      <c r="C36" s="21">
        <f t="shared" si="14"/>
        <v>1.782</v>
      </c>
      <c r="D36" s="21">
        <f t="shared" si="16"/>
        <v>2.673</v>
      </c>
      <c r="E36" s="21">
        <f t="shared" si="16"/>
        <v>3.5640000000000001</v>
      </c>
      <c r="F36" s="21">
        <f t="shared" si="16"/>
        <v>4.4550000000000001</v>
      </c>
      <c r="G36" s="21">
        <f t="shared" si="16"/>
        <v>5.3460000000000001</v>
      </c>
      <c r="H36" s="21">
        <f t="shared" si="16"/>
        <v>6.2370000000000001</v>
      </c>
      <c r="I36" s="21">
        <f t="shared" si="16"/>
        <v>7.1280000000000001</v>
      </c>
      <c r="J36" s="21">
        <f t="shared" si="16"/>
        <v>8.0190000000000001</v>
      </c>
      <c r="K36" s="21">
        <f t="shared" si="16"/>
        <v>8.91</v>
      </c>
      <c r="L36" s="21">
        <f t="shared" si="16"/>
        <v>9.8010000000000002</v>
      </c>
      <c r="M36" s="21">
        <f t="shared" si="16"/>
        <v>10.692</v>
      </c>
      <c r="N36" s="21">
        <f t="shared" si="16"/>
        <v>11.583</v>
      </c>
      <c r="O36" s="21">
        <f t="shared" si="16"/>
        <v>12.474</v>
      </c>
      <c r="P36" s="21">
        <f t="shared" si="16"/>
        <v>13.365</v>
      </c>
      <c r="Q36" s="21">
        <f t="shared" si="16"/>
        <v>14.256</v>
      </c>
      <c r="R36" s="21">
        <f t="shared" si="16"/>
        <v>15.147</v>
      </c>
      <c r="S36" s="21">
        <f t="shared" si="16"/>
        <v>16.038</v>
      </c>
      <c r="T36" s="21">
        <f t="shared" ref="T36:AE36" si="19">S36+$B36</f>
        <v>16.929000000000002</v>
      </c>
      <c r="U36" s="21">
        <f t="shared" si="19"/>
        <v>17.82</v>
      </c>
      <c r="V36" s="21">
        <f t="shared" si="19"/>
        <v>18.710999999999999</v>
      </c>
      <c r="W36" s="21">
        <f t="shared" si="19"/>
        <v>19.601999999999997</v>
      </c>
      <c r="X36" s="21">
        <f t="shared" si="19"/>
        <v>20.492999999999995</v>
      </c>
      <c r="Y36" s="21">
        <f t="shared" si="19"/>
        <v>21.383999999999993</v>
      </c>
      <c r="Z36" s="21">
        <f t="shared" si="19"/>
        <v>22.274999999999991</v>
      </c>
      <c r="AA36" s="21">
        <f t="shared" si="19"/>
        <v>23.16599999999999</v>
      </c>
      <c r="AB36" s="21">
        <f t="shared" si="19"/>
        <v>24.056999999999988</v>
      </c>
      <c r="AC36" s="21">
        <f t="shared" si="19"/>
        <v>24.947999999999986</v>
      </c>
      <c r="AD36" s="21">
        <f t="shared" si="19"/>
        <v>25.838999999999984</v>
      </c>
      <c r="AE36" s="21">
        <f t="shared" si="19"/>
        <v>26.729999999999983</v>
      </c>
    </row>
    <row r="37" spans="1:31" x14ac:dyDescent="0.35">
      <c r="A37" s="84" t="s">
        <v>68</v>
      </c>
      <c r="B37" s="82">
        <f>Sprojet!E30/30</f>
        <v>0.78600000000000003</v>
      </c>
      <c r="C37" s="21">
        <f t="shared" si="14"/>
        <v>1.5720000000000001</v>
      </c>
      <c r="D37" s="21">
        <f t="shared" si="16"/>
        <v>2.3580000000000001</v>
      </c>
      <c r="E37" s="21">
        <f t="shared" si="16"/>
        <v>3.1440000000000001</v>
      </c>
      <c r="F37" s="21">
        <f t="shared" si="16"/>
        <v>3.93</v>
      </c>
      <c r="G37" s="21">
        <f t="shared" si="16"/>
        <v>4.7160000000000002</v>
      </c>
      <c r="H37" s="21">
        <f t="shared" si="16"/>
        <v>5.5020000000000007</v>
      </c>
      <c r="I37" s="21">
        <f t="shared" si="16"/>
        <v>6.2880000000000003</v>
      </c>
      <c r="J37" s="21">
        <f t="shared" si="16"/>
        <v>7.0739999999999998</v>
      </c>
      <c r="K37" s="21">
        <f t="shared" si="16"/>
        <v>7.8599999999999994</v>
      </c>
      <c r="L37" s="21">
        <f t="shared" si="16"/>
        <v>8.645999999999999</v>
      </c>
      <c r="M37" s="21">
        <f t="shared" si="16"/>
        <v>9.4319999999999986</v>
      </c>
      <c r="N37" s="21">
        <f t="shared" si="16"/>
        <v>10.217999999999998</v>
      </c>
      <c r="O37" s="21">
        <f t="shared" si="16"/>
        <v>11.003999999999998</v>
      </c>
      <c r="P37" s="21">
        <f t="shared" si="16"/>
        <v>11.789999999999997</v>
      </c>
      <c r="Q37" s="21">
        <f t="shared" si="16"/>
        <v>12.575999999999997</v>
      </c>
      <c r="R37" s="21">
        <f t="shared" si="16"/>
        <v>13.361999999999997</v>
      </c>
      <c r="S37" s="21">
        <f t="shared" si="16"/>
        <v>14.147999999999996</v>
      </c>
      <c r="T37" s="21">
        <f t="shared" ref="T37:AE37" si="20">S37+$B37</f>
        <v>14.933999999999996</v>
      </c>
      <c r="U37" s="21">
        <f t="shared" si="20"/>
        <v>15.719999999999995</v>
      </c>
      <c r="V37" s="21">
        <f t="shared" si="20"/>
        <v>16.505999999999997</v>
      </c>
      <c r="W37" s="21">
        <f t="shared" si="20"/>
        <v>17.291999999999998</v>
      </c>
      <c r="X37" s="21">
        <f t="shared" si="20"/>
        <v>18.077999999999999</v>
      </c>
      <c r="Y37" s="21">
        <f t="shared" si="20"/>
        <v>18.864000000000001</v>
      </c>
      <c r="Z37" s="21">
        <f t="shared" si="20"/>
        <v>19.650000000000002</v>
      </c>
      <c r="AA37" s="21">
        <f t="shared" si="20"/>
        <v>20.436000000000003</v>
      </c>
      <c r="AB37" s="21">
        <f t="shared" si="20"/>
        <v>21.222000000000005</v>
      </c>
      <c r="AC37" s="21">
        <f t="shared" si="20"/>
        <v>22.008000000000006</v>
      </c>
      <c r="AD37" s="21">
        <f t="shared" si="20"/>
        <v>22.794000000000008</v>
      </c>
      <c r="AE37" s="21">
        <f t="shared" si="20"/>
        <v>23.580000000000009</v>
      </c>
    </row>
    <row r="38" spans="1:31" x14ac:dyDescent="0.35">
      <c r="A38" s="20" t="s">
        <v>44</v>
      </c>
      <c r="B38" s="22">
        <f>SUM(B32:B37)</f>
        <v>3.7790000000000004</v>
      </c>
      <c r="C38" s="21">
        <f>B38*2</f>
        <v>7.5580000000000007</v>
      </c>
      <c r="D38" s="21">
        <f t="shared" si="16"/>
        <v>11.337000000000002</v>
      </c>
      <c r="E38" s="21">
        <f t="shared" ref="E38:AE38" si="21">D38+$B$38</f>
        <v>15.116000000000001</v>
      </c>
      <c r="F38" s="21">
        <f t="shared" si="21"/>
        <v>18.895000000000003</v>
      </c>
      <c r="G38" s="21">
        <f t="shared" si="21"/>
        <v>22.674000000000003</v>
      </c>
      <c r="H38" s="21">
        <f t="shared" si="21"/>
        <v>26.453000000000003</v>
      </c>
      <c r="I38" s="21">
        <f t="shared" si="21"/>
        <v>30.232000000000003</v>
      </c>
      <c r="J38" s="21">
        <f t="shared" si="21"/>
        <v>34.011000000000003</v>
      </c>
      <c r="K38" s="21">
        <f t="shared" si="21"/>
        <v>37.790000000000006</v>
      </c>
      <c r="L38" s="21">
        <f t="shared" si="21"/>
        <v>41.56900000000001</v>
      </c>
      <c r="M38" s="21">
        <f t="shared" si="21"/>
        <v>45.348000000000013</v>
      </c>
      <c r="N38" s="21">
        <f t="shared" si="21"/>
        <v>49.127000000000017</v>
      </c>
      <c r="O38" s="21">
        <f t="shared" si="21"/>
        <v>52.90600000000002</v>
      </c>
      <c r="P38" s="21">
        <f t="shared" si="21"/>
        <v>56.685000000000024</v>
      </c>
      <c r="Q38" s="21">
        <f t="shared" si="21"/>
        <v>60.464000000000027</v>
      </c>
      <c r="R38" s="21">
        <f t="shared" si="21"/>
        <v>64.243000000000023</v>
      </c>
      <c r="S38" s="21">
        <f t="shared" si="21"/>
        <v>68.02200000000002</v>
      </c>
      <c r="T38" s="21">
        <f t="shared" si="21"/>
        <v>71.801000000000016</v>
      </c>
      <c r="U38" s="21">
        <f t="shared" si="21"/>
        <v>75.580000000000013</v>
      </c>
      <c r="V38" s="21">
        <f t="shared" si="21"/>
        <v>79.359000000000009</v>
      </c>
      <c r="W38" s="21">
        <f t="shared" si="21"/>
        <v>83.138000000000005</v>
      </c>
      <c r="X38" s="21">
        <f t="shared" si="21"/>
        <v>86.917000000000002</v>
      </c>
      <c r="Y38" s="21">
        <f t="shared" si="21"/>
        <v>90.695999999999998</v>
      </c>
      <c r="Z38" s="21">
        <f t="shared" si="21"/>
        <v>94.474999999999994</v>
      </c>
      <c r="AA38" s="21">
        <f t="shared" si="21"/>
        <v>98.253999999999991</v>
      </c>
      <c r="AB38" s="21">
        <f t="shared" si="21"/>
        <v>102.03299999999999</v>
      </c>
      <c r="AC38" s="21">
        <f t="shared" si="21"/>
        <v>105.81199999999998</v>
      </c>
      <c r="AD38" s="21">
        <f t="shared" si="21"/>
        <v>109.59099999999998</v>
      </c>
      <c r="AE38" s="21">
        <f t="shared" si="21"/>
        <v>113.36999999999998</v>
      </c>
    </row>
    <row r="39" spans="1:31" x14ac:dyDescent="0.35">
      <c r="A39" s="16" t="s">
        <v>33</v>
      </c>
      <c r="B39" s="23">
        <f>(B32*Sprojet!B22*Sprojet!E18)+('Sref et proj.an'!B33*Sprojet!B28*Sprojet!E18)+('Sref et proj.an'!B34*Sprojet!B29*Sprojet!E18)+(B35*Sprojet!B23*Sprojet!E18)+'Sref et proj.an'!B36*Sprojet!B31*Sprojet!E17+'Sref et proj.an'!B37*Sprojet!B30*Sprojet!E17</f>
        <v>3.0889559999999996</v>
      </c>
      <c r="C39" s="23">
        <f t="shared" ref="C39:AE39" si="22">B39+$B$39</f>
        <v>6.1779119999999992</v>
      </c>
      <c r="D39" s="23">
        <f t="shared" si="22"/>
        <v>9.2668679999999988</v>
      </c>
      <c r="E39" s="23">
        <f t="shared" si="22"/>
        <v>12.355823999999998</v>
      </c>
      <c r="F39" s="23">
        <f t="shared" si="22"/>
        <v>15.444779999999998</v>
      </c>
      <c r="G39" s="23">
        <f t="shared" si="22"/>
        <v>18.533735999999998</v>
      </c>
      <c r="H39" s="23">
        <f t="shared" si="22"/>
        <v>21.622691999999997</v>
      </c>
      <c r="I39" s="23">
        <f t="shared" si="22"/>
        <v>24.711647999999997</v>
      </c>
      <c r="J39" s="23">
        <f t="shared" si="22"/>
        <v>27.800603999999996</v>
      </c>
      <c r="K39" s="23">
        <f t="shared" si="22"/>
        <v>30.889559999999996</v>
      </c>
      <c r="L39" s="23">
        <f t="shared" si="22"/>
        <v>33.978515999999999</v>
      </c>
      <c r="M39" s="23">
        <f t="shared" si="22"/>
        <v>37.067471999999995</v>
      </c>
      <c r="N39" s="23">
        <f t="shared" si="22"/>
        <v>40.156427999999991</v>
      </c>
      <c r="O39" s="23">
        <f t="shared" si="22"/>
        <v>43.245383999999987</v>
      </c>
      <c r="P39" s="23">
        <f t="shared" si="22"/>
        <v>46.334339999999983</v>
      </c>
      <c r="Q39" s="23">
        <f t="shared" si="22"/>
        <v>49.423295999999979</v>
      </c>
      <c r="R39" s="23">
        <f t="shared" si="22"/>
        <v>52.512251999999975</v>
      </c>
      <c r="S39" s="23">
        <f t="shared" si="22"/>
        <v>55.601207999999971</v>
      </c>
      <c r="T39" s="23">
        <f t="shared" si="22"/>
        <v>58.690163999999967</v>
      </c>
      <c r="U39" s="23">
        <f t="shared" si="22"/>
        <v>61.779119999999963</v>
      </c>
      <c r="V39" s="23">
        <f t="shared" si="22"/>
        <v>64.868075999999959</v>
      </c>
      <c r="W39" s="23">
        <f t="shared" si="22"/>
        <v>67.957031999999955</v>
      </c>
      <c r="X39" s="23">
        <f t="shared" si="22"/>
        <v>71.045987999999952</v>
      </c>
      <c r="Y39" s="23">
        <f t="shared" si="22"/>
        <v>74.134943999999948</v>
      </c>
      <c r="Z39" s="23">
        <f t="shared" si="22"/>
        <v>77.223899999999944</v>
      </c>
      <c r="AA39" s="23">
        <f t="shared" si="22"/>
        <v>80.31285599999994</v>
      </c>
      <c r="AB39" s="23">
        <f t="shared" si="22"/>
        <v>83.401811999999936</v>
      </c>
      <c r="AC39" s="23">
        <f t="shared" si="22"/>
        <v>86.490767999999932</v>
      </c>
      <c r="AD39" s="23">
        <f t="shared" si="22"/>
        <v>89.579723999999928</v>
      </c>
      <c r="AE39" s="23">
        <f t="shared" si="22"/>
        <v>92.668679999999924</v>
      </c>
    </row>
    <row r="40" spans="1:31" x14ac:dyDescent="0.35">
      <c r="A40" s="16" t="s">
        <v>34</v>
      </c>
      <c r="B40" s="23">
        <f t="shared" ref="B40:AE40" si="23">EXP(-1.0587+0.8836*LN(B39)+0.284)</f>
        <v>1.248388336715788</v>
      </c>
      <c r="C40" s="23">
        <f t="shared" si="23"/>
        <v>2.3032432480804959</v>
      </c>
      <c r="D40" s="23">
        <f t="shared" si="23"/>
        <v>3.2955965778270389</v>
      </c>
      <c r="E40" s="23">
        <f t="shared" si="23"/>
        <v>4.2494224784127645</v>
      </c>
      <c r="F40" s="23">
        <f t="shared" si="23"/>
        <v>5.1755868216560232</v>
      </c>
      <c r="G40" s="23">
        <f t="shared" si="23"/>
        <v>6.080287954504823</v>
      </c>
      <c r="H40" s="23">
        <f t="shared" si="23"/>
        <v>6.96752171157397</v>
      </c>
      <c r="I40" s="23">
        <f t="shared" si="23"/>
        <v>7.8400713494281273</v>
      </c>
      <c r="J40" s="23">
        <f t="shared" si="23"/>
        <v>8.6999825970481925</v>
      </c>
      <c r="K40" s="23">
        <f t="shared" si="23"/>
        <v>9.5488199074287863</v>
      </c>
      <c r="L40" s="23">
        <f t="shared" si="23"/>
        <v>10.387816736822897</v>
      </c>
      <c r="M40" s="23">
        <f t="shared" si="23"/>
        <v>11.217969413620596</v>
      </c>
      <c r="N40" s="23">
        <f t="shared" si="23"/>
        <v>12.040098742338843</v>
      </c>
      <c r="O40" s="23">
        <f t="shared" si="23"/>
        <v>12.854892076495352</v>
      </c>
      <c r="P40" s="23">
        <f t="shared" si="23"/>
        <v>13.662933012149312</v>
      </c>
      <c r="Q40" s="23">
        <f t="shared" si="23"/>
        <v>14.464722930322214</v>
      </c>
      <c r="R40" s="23">
        <f t="shared" si="23"/>
        <v>15.260696997139556</v>
      </c>
      <c r="S40" s="23">
        <f t="shared" si="23"/>
        <v>16.051236290611872</v>
      </c>
      <c r="T40" s="23">
        <f t="shared" si="23"/>
        <v>16.836677155316913</v>
      </c>
      <c r="U40" s="23">
        <f t="shared" si="23"/>
        <v>17.617318531492351</v>
      </c>
      <c r="V40" s="23">
        <f t="shared" si="23"/>
        <v>18.393427776653763</v>
      </c>
      <c r="W40" s="23">
        <f t="shared" si="23"/>
        <v>19.165245346914745</v>
      </c>
      <c r="X40" s="23">
        <f t="shared" si="23"/>
        <v>19.932988603097886</v>
      </c>
      <c r="Y40" s="23">
        <f t="shared" si="23"/>
        <v>20.696854936235621</v>
      </c>
      <c r="Z40" s="23">
        <f t="shared" si="23"/>
        <v>21.457024357475895</v>
      </c>
      <c r="AA40" s="23">
        <f t="shared" si="23"/>
        <v>22.213661661938271</v>
      </c>
      <c r="AB40" s="23">
        <f t="shared" si="23"/>
        <v>22.966918250305859</v>
      </c>
      <c r="AC40" s="23">
        <f t="shared" si="23"/>
        <v>23.716933672964931</v>
      </c>
      <c r="AD40" s="23">
        <f t="shared" si="23"/>
        <v>24.463836947354817</v>
      </c>
      <c r="AE40" s="23">
        <f t="shared" si="23"/>
        <v>25.207747688508977</v>
      </c>
    </row>
    <row r="41" spans="1:31" x14ac:dyDescent="0.35">
      <c r="A41" s="16" t="s">
        <v>35</v>
      </c>
      <c r="B41" s="23">
        <f>(B39+B40)*Sprojet!$E$7</f>
        <v>2.0602385599399988</v>
      </c>
      <c r="C41" s="23">
        <f>(C39+C40)*Sprojet!$E$7</f>
        <v>4.0285487428382343</v>
      </c>
      <c r="D41" s="23">
        <f>(D39+D40)*Sprojet!$E$7</f>
        <v>5.9671706744678428</v>
      </c>
      <c r="E41" s="23">
        <f>(E39+E40)*Sprojet!$E$7</f>
        <v>7.8874920772460619</v>
      </c>
      <c r="F41" s="23">
        <f>(F39+F40)*Sprojet!$E$7</f>
        <v>9.7946742402866089</v>
      </c>
      <c r="G41" s="23">
        <f>(G39+G40)*Sprojet!$E$7</f>
        <v>11.691661378389789</v>
      </c>
      <c r="H41" s="23">
        <f>(H39+H40)*Sprojet!$E$7</f>
        <v>13.580351512997634</v>
      </c>
      <c r="I41" s="23">
        <f>(I39+I40)*Sprojet!$E$7</f>
        <v>15.462066690978359</v>
      </c>
      <c r="J41" s="23">
        <f>(J39+J40)*Sprojet!$E$7</f>
        <v>17.337778633597889</v>
      </c>
      <c r="K41" s="23">
        <f>(K39+K40)*Sprojet!$E$7</f>
        <v>19.208230456028669</v>
      </c>
      <c r="L41" s="23">
        <f>(L39+L40)*Sprojet!$E$7</f>
        <v>21.074008049990876</v>
      </c>
      <c r="M41" s="23">
        <f>(M39+M40)*Sprojet!$E$7</f>
        <v>22.93558467146978</v>
      </c>
      <c r="N41" s="23">
        <f>(N39+N40)*Sprojet!$E$7</f>
        <v>24.793350202610945</v>
      </c>
      <c r="O41" s="23">
        <f>(O39+O40)*Sprojet!$E$7</f>
        <v>26.647631136335285</v>
      </c>
      <c r="P41" s="23">
        <f>(P39+P40)*Sprojet!$E$7</f>
        <v>28.498704680770913</v>
      </c>
      <c r="Q41" s="23">
        <f>(Q39+Q40)*Sprojet!$E$7</f>
        <v>30.346808991903039</v>
      </c>
      <c r="R41" s="23">
        <f>(R39+R40)*Sprojet!$E$7</f>
        <v>32.192150773641281</v>
      </c>
      <c r="S41" s="23">
        <f>(S39+S40)*Sprojet!$E$7</f>
        <v>34.034911038040619</v>
      </c>
      <c r="T41" s="23">
        <f>(T39+T40)*Sprojet!$E$7</f>
        <v>35.875249548775514</v>
      </c>
      <c r="U41" s="23">
        <f>(U39+U40)*Sprojet!$E$7</f>
        <v>37.713308302458849</v>
      </c>
      <c r="V41" s="23">
        <f>(V39+V40)*Sprojet!$E$7</f>
        <v>39.549214293910516</v>
      </c>
      <c r="W41" s="23">
        <f>(W39+W40)*Sprojet!$E$7</f>
        <v>41.38308173978448</v>
      </c>
      <c r="X41" s="23">
        <f>(X39+X40)*Sprojet!$E$7</f>
        <v>43.215013886471468</v>
      </c>
      <c r="Y41" s="23">
        <f>(Y39+Y40)*Sprojet!$E$7</f>
        <v>45.045104494711893</v>
      </c>
      <c r="Z41" s="23">
        <f>(Z39+Z40)*Sprojet!$E$7</f>
        <v>46.873439069801023</v>
      </c>
      <c r="AA41" s="23">
        <f>(AA39+AA40)*Sprojet!$E$7</f>
        <v>48.700095889420652</v>
      </c>
      <c r="AB41" s="23">
        <f>(AB39+AB40)*Sprojet!$E$7</f>
        <v>50.525146868895249</v>
      </c>
      <c r="AC41" s="23">
        <f>(AC39+AC40)*Sprojet!$E$7</f>
        <v>52.348658294658307</v>
      </c>
      <c r="AD41" s="23">
        <f>(AD39+AD40)*Sprojet!$E$7</f>
        <v>54.170691449993505</v>
      </c>
      <c r="AE41" s="23">
        <f>(AE39+AE40)*Sprojet!$E$7</f>
        <v>55.991303152041723</v>
      </c>
    </row>
    <row r="42" spans="1:31" x14ac:dyDescent="0.35">
      <c r="A42" s="16" t="s">
        <v>32</v>
      </c>
      <c r="B42" s="23">
        <f>B30*(Sprojet!$E$9/30)</f>
        <v>0.33333333333333331</v>
      </c>
      <c r="C42" s="23">
        <f>C30*(Sprojet!$E$9/30)</f>
        <v>0.66666666666666663</v>
      </c>
      <c r="D42" s="23">
        <f>D30*(Sprojet!$E$9/30)</f>
        <v>1</v>
      </c>
      <c r="E42" s="23">
        <f>E30*(Sprojet!$E$9/30)</f>
        <v>1.3333333333333333</v>
      </c>
      <c r="F42" s="23">
        <f>F30*(Sprojet!$E$9/30)</f>
        <v>1.6666666666666665</v>
      </c>
      <c r="G42" s="23">
        <f>G30*(Sprojet!$E$9/30)</f>
        <v>2</v>
      </c>
      <c r="H42" s="23">
        <f>H30*(Sprojet!$E$9/30)</f>
        <v>2.333333333333333</v>
      </c>
      <c r="I42" s="23">
        <f>I30*(Sprojet!$E$9/30)</f>
        <v>2.6666666666666665</v>
      </c>
      <c r="J42" s="23">
        <f>J30*(Sprojet!$E$9/30)</f>
        <v>3</v>
      </c>
      <c r="K42" s="23">
        <f>K30*(Sprojet!$E$9/30)</f>
        <v>3.333333333333333</v>
      </c>
      <c r="L42" s="23">
        <f>L30*(Sprojet!$E$9/30)</f>
        <v>3.6666666666666665</v>
      </c>
      <c r="M42" s="23">
        <f>M30*(Sprojet!$E$9/30)</f>
        <v>4</v>
      </c>
      <c r="N42" s="23">
        <f>N30*(Sprojet!$E$9/30)</f>
        <v>4.333333333333333</v>
      </c>
      <c r="O42" s="23">
        <f>O30*(Sprojet!$E$9/30)</f>
        <v>4.6666666666666661</v>
      </c>
      <c r="P42" s="23">
        <f>P30*(Sprojet!$E$9/30)</f>
        <v>5</v>
      </c>
      <c r="Q42" s="23">
        <f>Q30*(Sprojet!$E$9/30)</f>
        <v>5.333333333333333</v>
      </c>
      <c r="R42" s="23">
        <f>R30*(Sprojet!$E$9/30)</f>
        <v>5.6666666666666661</v>
      </c>
      <c r="S42" s="23">
        <f>S30*(Sprojet!$E$9/30)</f>
        <v>6</v>
      </c>
      <c r="T42" s="23">
        <f>T30*(Sprojet!$E$9/30)</f>
        <v>6.333333333333333</v>
      </c>
      <c r="U42" s="23">
        <f>U30*(Sprojet!$E$9/30)</f>
        <v>6.6666666666666661</v>
      </c>
      <c r="V42" s="23">
        <f>V30*(Sprojet!$E$9/30)</f>
        <v>7</v>
      </c>
      <c r="W42" s="23">
        <f>W30*(Sprojet!$E$9/30)</f>
        <v>7.333333333333333</v>
      </c>
      <c r="X42" s="23">
        <f>X30*(Sprojet!$E$9/30)</f>
        <v>7.6666666666666661</v>
      </c>
      <c r="Y42" s="23">
        <f>Y30*(Sprojet!$E$9/30)</f>
        <v>8</v>
      </c>
      <c r="Z42" s="23">
        <f>Z30*(Sprojet!$E$9/30)</f>
        <v>8.3333333333333321</v>
      </c>
      <c r="AA42" s="23">
        <f>AA30*(Sprojet!$E$9/30)</f>
        <v>8.6666666666666661</v>
      </c>
      <c r="AB42" s="23">
        <f>AB30*(Sprojet!$E$9/30)</f>
        <v>9</v>
      </c>
      <c r="AC42" s="23">
        <f>AC30*(Sprojet!$E$9/30)</f>
        <v>9.3333333333333321</v>
      </c>
      <c r="AD42" s="23">
        <f>AD30*(Sprojet!$E$9/30)</f>
        <v>9.6666666666666661</v>
      </c>
      <c r="AE42" s="23">
        <f>AE30*(Sprojet!$E$9/30)</f>
        <v>10</v>
      </c>
    </row>
    <row r="43" spans="1:31" x14ac:dyDescent="0.35">
      <c r="A43" s="16" t="s">
        <v>46</v>
      </c>
      <c r="B43" s="23">
        <f>(B41+B42+Sprojet!$E$8)*(44/12)</f>
        <v>265.44309694200223</v>
      </c>
      <c r="C43" s="23">
        <f>(C41+C42+Sprojet!$E$8)*(44/12)</f>
        <v>273.88245650151794</v>
      </c>
      <c r="D43" s="23">
        <f>(D41+D42+Sprojet!$E$8)*(44/12)</f>
        <v>282.21295913971539</v>
      </c>
      <c r="E43" s="23">
        <f>(E41+E42+Sprojet!$E$8)*(44/12)</f>
        <v>290.4763598387911</v>
      </c>
      <c r="F43" s="23">
        <f>(F41+F42+Sprojet!$E$8)*(44/12)</f>
        <v>298.69158332549529</v>
      </c>
      <c r="G43" s="23">
        <f>(G41+G42+Sprojet!$E$8)*(44/12)</f>
        <v>306.86942505409593</v>
      </c>
      <c r="H43" s="23">
        <f>(H41+H42+Sprojet!$E$8)*(44/12)</f>
        <v>315.01684443654688</v>
      </c>
      <c r="I43" s="23">
        <f>(I41+I42+Sprojet!$E$8)*(44/12)</f>
        <v>323.13868897803172</v>
      </c>
      <c r="J43" s="23">
        <f>(J41+J42+Sprojet!$E$8)*(44/12)</f>
        <v>331.23852165652562</v>
      </c>
      <c r="K43" s="23">
        <f>(K41+K42+Sprojet!$E$8)*(44/12)</f>
        <v>339.31906722766064</v>
      </c>
      <c r="L43" s="23">
        <f>(L41+L42+Sprojet!$E$8)*(44/12)</f>
        <v>347.38247396107761</v>
      </c>
      <c r="M43" s="23">
        <f>(M41+M42+Sprojet!$E$8)*(44/12)</f>
        <v>355.43047712872254</v>
      </c>
      <c r="N43" s="23">
        <f>(N41+N42+Sprojet!$E$8)*(44/12)</f>
        <v>363.46450629846237</v>
      </c>
      <c r="O43" s="23">
        <f>(O41+O42+Sprojet!$E$8)*(44/12)</f>
        <v>371.48575861100716</v>
      </c>
      <c r="P43" s="23">
        <f>(P41+P42+Sprojet!$E$8)*(44/12)</f>
        <v>379.49525049616</v>
      </c>
      <c r="Q43" s="23">
        <f>(Q41+Q42+Sprojet!$E$8)*(44/12)</f>
        <v>387.49385519253337</v>
      </c>
      <c r="R43" s="23">
        <f>(R41+R42+Sprojet!$E$8)*(44/12)</f>
        <v>395.48233061446246</v>
      </c>
      <c r="S43" s="23">
        <f>(S41+S42+Sprojet!$E$8)*(44/12)</f>
        <v>403.46134047281561</v>
      </c>
      <c r="T43" s="23">
        <f>(T41+T42+Sprojet!$E$8)*(44/12)</f>
        <v>411.43147056773245</v>
      </c>
      <c r="U43" s="23">
        <f>(U41+U42+Sprojet!$E$8)*(44/12)</f>
        <v>419.3932415534602</v>
      </c>
      <c r="V43" s="23">
        <f>(V41+V42+Sprojet!$E$8)*(44/12)</f>
        <v>427.34711907767189</v>
      </c>
      <c r="W43" s="23">
        <f>(W41+W42+Sprojet!$E$8)*(44/12)</f>
        <v>435.29352193476529</v>
      </c>
      <c r="X43" s="23">
        <f>(X41+X42+Sprojet!$E$8)*(44/12)</f>
        <v>443.23282869483978</v>
      </c>
      <c r="Y43" s="23">
        <f>(Y41+Y42+Sprojet!$E$8)*(44/12)</f>
        <v>451.16538314727694</v>
      </c>
      <c r="Z43" s="23">
        <f>(Z41+Z42+Sprojet!$E$8)*(44/12)</f>
        <v>459.09149881149261</v>
      </c>
      <c r="AA43" s="23">
        <f>(AA41+AA42+Sprojet!$E$8)*(44/12)</f>
        <v>467.01146270565346</v>
      </c>
      <c r="AB43" s="23">
        <f>(AB41+AB42+Sprojet!$E$8)*(44/12)</f>
        <v>474.92553851928261</v>
      </c>
      <c r="AC43" s="23">
        <f>(AC41+AC42+Sprojet!$E$8)*(44/12)</f>
        <v>482.83396930263598</v>
      </c>
      <c r="AD43" s="23">
        <f>(AD41+AD42+Sprojet!$E$8)*(44/12)</f>
        <v>490.73697976108724</v>
      </c>
      <c r="AE43" s="23">
        <f>(AE41+AE42+Sprojet!$E$8)*(44/12)</f>
        <v>498.63477822415297</v>
      </c>
    </row>
    <row r="44" spans="1:31" x14ac:dyDescent="0.35">
      <c r="A44" s="16" t="s">
        <v>47</v>
      </c>
      <c r="B44" s="24">
        <f>B43*Sprojet!$E$10</f>
        <v>1592.6585816520133</v>
      </c>
      <c r="C44" s="24">
        <f>C43*Sprojet!$E$10</f>
        <v>1643.2947390091076</v>
      </c>
      <c r="D44" s="24">
        <f>D43*Sprojet!$E$10</f>
        <v>1693.2777548382924</v>
      </c>
      <c r="E44" s="24">
        <f>E43*Sprojet!$E$10</f>
        <v>1742.8581590327467</v>
      </c>
      <c r="F44" s="24">
        <f>F43*Sprojet!$E$10</f>
        <v>1792.1494999529718</v>
      </c>
      <c r="G44" s="24">
        <f>G43*Sprojet!$E$10</f>
        <v>1841.2165503245756</v>
      </c>
      <c r="H44" s="24">
        <f>H43*Sprojet!$E$10</f>
        <v>1890.1010666192813</v>
      </c>
      <c r="I44" s="24">
        <f>I43*Sprojet!$E$10</f>
        <v>1938.8321338681903</v>
      </c>
      <c r="J44" s="24">
        <f>J43*Sprojet!$E$10</f>
        <v>1987.4311299391538</v>
      </c>
      <c r="K44" s="24">
        <f>K43*Sprojet!$E$10</f>
        <v>2035.9144033659638</v>
      </c>
      <c r="L44" s="24">
        <f>L43*Sprojet!$E$10</f>
        <v>2084.2948437664654</v>
      </c>
      <c r="M44" s="24">
        <f>M43*Sprojet!$E$10</f>
        <v>2132.5828627723354</v>
      </c>
      <c r="N44" s="24">
        <f>N43*Sprojet!$E$10</f>
        <v>2180.7870377907743</v>
      </c>
      <c r="O44" s="24">
        <f>O43*Sprojet!$E$10</f>
        <v>2228.9145516660428</v>
      </c>
      <c r="P44" s="24">
        <f>P43*Sprojet!$E$10</f>
        <v>2276.97150297696</v>
      </c>
      <c r="Q44" s="24">
        <f>Q43*Sprojet!$E$10</f>
        <v>2324.9631311552002</v>
      </c>
      <c r="R44" s="24">
        <f>R43*Sprojet!$E$10</f>
        <v>2372.8939836867748</v>
      </c>
      <c r="S44" s="24">
        <f>S43*Sprojet!$E$10</f>
        <v>2420.7680428368935</v>
      </c>
      <c r="T44" s="24">
        <f>T43*Sprojet!$E$10</f>
        <v>2468.5888234063946</v>
      </c>
      <c r="U44" s="24">
        <f>U43*Sprojet!$E$10</f>
        <v>2516.3594493207611</v>
      </c>
      <c r="V44" s="24">
        <f>V43*Sprojet!$E$10</f>
        <v>2564.0827144660316</v>
      </c>
      <c r="W44" s="24">
        <f>W43*Sprojet!$E$10</f>
        <v>2611.7611316085918</v>
      </c>
      <c r="X44" s="24">
        <f>X43*Sprojet!$E$10</f>
        <v>2659.3969721690387</v>
      </c>
      <c r="Y44" s="24">
        <f>Y43*Sprojet!$E$10</f>
        <v>2706.9922988836615</v>
      </c>
      <c r="Z44" s="24">
        <f>Z43*Sprojet!$E$10</f>
        <v>2754.5489928689558</v>
      </c>
      <c r="AA44" s="24">
        <f>AA43*Sprojet!$E$10</f>
        <v>2802.0687762339207</v>
      </c>
      <c r="AB44" s="24">
        <f>AB43*Sprojet!$E$10</f>
        <v>2849.5532311156958</v>
      </c>
      <c r="AC44" s="24">
        <f>AC43*Sprojet!$E$10</f>
        <v>2897.0038158158159</v>
      </c>
      <c r="AD44" s="24">
        <f>AD43*Sprojet!$E$10</f>
        <v>2944.4218785665234</v>
      </c>
      <c r="AE44" s="24">
        <f>AE43*Sprojet!$E$10</f>
        <v>2991.8086693449177</v>
      </c>
    </row>
    <row r="45" spans="1:31" ht="15" thickBot="1" x14ac:dyDescent="0.4"/>
    <row r="46" spans="1:31" ht="30" customHeight="1" thickBot="1" x14ac:dyDescent="0.4">
      <c r="A46" s="132" t="s">
        <v>118</v>
      </c>
      <c r="B46" s="133"/>
      <c r="C46" s="133"/>
      <c r="D46" s="133"/>
      <c r="E46" s="133"/>
      <c r="F46" s="133"/>
      <c r="G46" s="133"/>
      <c r="H46" s="133"/>
      <c r="I46" s="133"/>
      <c r="J46" s="133"/>
      <c r="K46" s="133"/>
      <c r="L46" s="133"/>
      <c r="M46" s="133"/>
      <c r="N46" s="133"/>
      <c r="O46" s="133"/>
      <c r="P46" s="133"/>
      <c r="Q46" s="133"/>
      <c r="R46" s="133"/>
      <c r="S46" s="133"/>
      <c r="T46" s="133"/>
      <c r="U46" s="133"/>
      <c r="V46" s="133"/>
      <c r="W46" s="133"/>
      <c r="X46" s="134"/>
    </row>
    <row r="47" spans="1:31" ht="16" thickBot="1" x14ac:dyDescent="0.4">
      <c r="A47" s="80" t="s">
        <v>51</v>
      </c>
      <c r="B47" s="26">
        <f t="shared" ref="B47:AE47" si="24">B44-B26</f>
        <v>34.524570960561505</v>
      </c>
      <c r="C47" s="27">
        <f t="shared" si="24"/>
        <v>67.570168461967341</v>
      </c>
      <c r="D47" s="27">
        <f t="shared" si="24"/>
        <v>100.13813177588963</v>
      </c>
      <c r="E47" s="27">
        <f t="shared" si="24"/>
        <v>132.41167026332596</v>
      </c>
      <c r="F47" s="27">
        <f t="shared" si="24"/>
        <v>164.47382041267929</v>
      </c>
      <c r="G47" s="27">
        <f t="shared" si="24"/>
        <v>196.37194970380642</v>
      </c>
      <c r="H47" s="27">
        <f t="shared" si="24"/>
        <v>228.13659411947833</v>
      </c>
      <c r="I47" s="27">
        <f t="shared" si="24"/>
        <v>259.7890231772576</v>
      </c>
      <c r="J47" s="27">
        <f t="shared" si="24"/>
        <v>291.3448702431217</v>
      </c>
      <c r="K47" s="27">
        <f t="shared" si="24"/>
        <v>322.81609079428404</v>
      </c>
      <c r="L47" s="27">
        <f t="shared" si="24"/>
        <v>354.21211084621586</v>
      </c>
      <c r="M47" s="27">
        <f t="shared" si="24"/>
        <v>385.54054429425742</v>
      </c>
      <c r="N47" s="27">
        <f t="shared" si="24"/>
        <v>416.80766368845207</v>
      </c>
      <c r="O47" s="27">
        <f t="shared" si="24"/>
        <v>448.01872175249832</v>
      </c>
      <c r="P47" s="27">
        <f t="shared" si="24"/>
        <v>479.17817830040985</v>
      </c>
      <c r="Q47" s="27">
        <f t="shared" si="24"/>
        <v>510.28986486269514</v>
      </c>
      <c r="R47" s="27">
        <f t="shared" si="24"/>
        <v>541.35710695869966</v>
      </c>
      <c r="S47" s="27">
        <f t="shared" si="24"/>
        <v>572.38281676890233</v>
      </c>
      <c r="T47" s="27">
        <f t="shared" si="24"/>
        <v>603.36956462296484</v>
      </c>
      <c r="U47" s="27">
        <f t="shared" si="24"/>
        <v>634.31963500831671</v>
      </c>
      <c r="V47" s="27">
        <f t="shared" si="24"/>
        <v>665.23507105869044</v>
      </c>
      <c r="W47" s="27">
        <f t="shared" si="24"/>
        <v>696.11771032855086</v>
      </c>
      <c r="X47" s="27">
        <f t="shared" si="24"/>
        <v>726.96921387922293</v>
      </c>
      <c r="Y47" s="27">
        <f t="shared" si="24"/>
        <v>757.79109016382017</v>
      </c>
      <c r="Z47" s="27">
        <f t="shared" si="24"/>
        <v>788.58471481918377</v>
      </c>
      <c r="AA47" s="27">
        <f t="shared" si="24"/>
        <v>819.35134720197402</v>
      </c>
      <c r="AB47" s="27">
        <f t="shared" si="24"/>
        <v>850.09214430918882</v>
      </c>
      <c r="AC47" s="27">
        <f t="shared" si="24"/>
        <v>880.80817257840499</v>
      </c>
      <c r="AD47" s="27">
        <f t="shared" si="24"/>
        <v>911.5004179549112</v>
      </c>
      <c r="AE47" s="28">
        <f t="shared" si="24"/>
        <v>942.1697945312435</v>
      </c>
    </row>
  </sheetData>
  <mergeCells count="7">
    <mergeCell ref="A46:X46"/>
    <mergeCell ref="A1:X1"/>
    <mergeCell ref="A5:X5"/>
    <mergeCell ref="A28:X28"/>
    <mergeCell ref="A6:P6"/>
    <mergeCell ref="A29:P29"/>
    <mergeCell ref="A3:X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10"/>
  <sheetViews>
    <sheetView workbookViewId="0">
      <selection activeCell="E10" sqref="E10"/>
    </sheetView>
  </sheetViews>
  <sheetFormatPr baseColWidth="10" defaultRowHeight="14.5" x14ac:dyDescent="0.35"/>
  <cols>
    <col min="2" max="2" width="30.1796875" customWidth="1"/>
  </cols>
  <sheetData>
    <row r="1" spans="2:5" ht="26.5" customHeight="1" thickBot="1" x14ac:dyDescent="0.4">
      <c r="B1" s="154" t="s">
        <v>119</v>
      </c>
      <c r="C1" s="155"/>
      <c r="D1" s="155"/>
    </row>
    <row r="2" spans="2:5" ht="21.5" thickBot="1" x14ac:dyDescent="0.4">
      <c r="B2" s="132" t="s">
        <v>50</v>
      </c>
      <c r="C2" s="133"/>
      <c r="D2" s="134"/>
    </row>
    <row r="3" spans="2:5" x14ac:dyDescent="0.35">
      <c r="B3" s="11" t="s">
        <v>49</v>
      </c>
      <c r="C3" s="50"/>
      <c r="D3" s="86">
        <f>Sref!C34</f>
        <v>2049.6388748136742</v>
      </c>
    </row>
    <row r="4" spans="2:5" x14ac:dyDescent="0.35">
      <c r="B4" s="25" t="s">
        <v>48</v>
      </c>
      <c r="C4" s="50"/>
      <c r="D4" s="87">
        <f>Sprojet!C39</f>
        <v>2991.8086693449191</v>
      </c>
    </row>
    <row r="5" spans="2:5" x14ac:dyDescent="0.35">
      <c r="B5" s="25" t="s">
        <v>52</v>
      </c>
      <c r="C5" s="50"/>
      <c r="D5" s="126">
        <f>D4-D3</f>
        <v>942.16979453124486</v>
      </c>
    </row>
    <row r="6" spans="2:5" x14ac:dyDescent="0.35">
      <c r="B6" s="73" t="s">
        <v>54</v>
      </c>
      <c r="C6" s="50"/>
      <c r="D6" s="74">
        <v>0.1</v>
      </c>
    </row>
    <row r="7" spans="2:5" x14ac:dyDescent="0.35">
      <c r="B7" s="73" t="s">
        <v>53</v>
      </c>
      <c r="C7" s="50"/>
      <c r="D7" s="74">
        <v>0.15</v>
      </c>
    </row>
    <row r="8" spans="2:5" x14ac:dyDescent="0.35">
      <c r="B8" s="73" t="s">
        <v>55</v>
      </c>
      <c r="C8" s="50"/>
      <c r="D8" s="74">
        <v>0</v>
      </c>
    </row>
    <row r="9" spans="2:5" x14ac:dyDescent="0.35">
      <c r="B9" s="73"/>
      <c r="C9" s="50"/>
      <c r="D9" s="74"/>
      <c r="E9" s="127"/>
    </row>
    <row r="10" spans="2:5" ht="16" thickBot="1" x14ac:dyDescent="0.4">
      <c r="B10" s="75" t="s">
        <v>56</v>
      </c>
      <c r="C10" s="76"/>
      <c r="D10" s="77">
        <f>D5*((1-D6)*(1-D7)*(1-D8))</f>
        <v>720.75989281640238</v>
      </c>
    </row>
  </sheetData>
  <mergeCells count="2">
    <mergeCell ref="B1:D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Notice</vt:lpstr>
      <vt:lpstr>Sref</vt:lpstr>
      <vt:lpstr>Sprojet</vt:lpstr>
      <vt:lpstr>Sref et proj.an</vt:lpstr>
      <vt:lpstr>REA forêt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cbreitcorbiere</dc:creator>
  <cp:lastModifiedBy>cbreitcorbiere</cp:lastModifiedBy>
  <dcterms:created xsi:type="dcterms:W3CDTF">2020-01-17T15:38:22Z</dcterms:created>
  <dcterms:modified xsi:type="dcterms:W3CDTF">2020-05-15T08:49:45Z</dcterms:modified>
</cp:coreProperties>
</file>