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ouyguesconstruction.sharepoint.com/sites/ELANRejeneo/Documents partages/General/03 - Commerce &amp; Production/04 - LBC Bâtiment/01 - Notifié/3F Normanvie_VDR_Biosourcée/02 - Preuves/12 - Calcul Stock C/"/>
    </mc:Choice>
  </mc:AlternateContent>
  <xr:revisionPtr revIDLastSave="347" documentId="11_A33E9AFA76D9A5877D430BA15B70D3FDBBC86A26" xr6:coauthVersionLast="47" xr6:coauthVersionMax="47" xr10:uidLastSave="{1032EA17-8AAD-4C38-A2AE-83489FD72328}"/>
  <bookViews>
    <workbookView xWindow="-120" yWindow="-16320" windowWidth="29040" windowHeight="15720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  <sheet name="données-listes" sheetId="8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43" i="2"/>
  <c r="D15" i="2" l="1"/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41" i="5" l="1"/>
  <c r="C40" i="5"/>
  <c r="C56" i="5"/>
  <c r="C30" i="5"/>
  <c r="C77" i="5"/>
  <c r="C60" i="5"/>
  <c r="C107" i="5"/>
  <c r="C35" i="5"/>
  <c r="C80" i="5"/>
  <c r="C68" i="5"/>
  <c r="C105" i="5"/>
  <c r="C81" i="5"/>
  <c r="C85" i="5"/>
  <c r="C37" i="5"/>
  <c r="C52" i="5"/>
  <c r="C99" i="5"/>
  <c r="C27" i="5"/>
  <c r="C32" i="5"/>
  <c r="C96" i="5"/>
  <c r="C88" i="5"/>
  <c r="C103" i="5"/>
  <c r="C108" i="5"/>
  <c r="C44" i="5"/>
  <c r="C91" i="5"/>
  <c r="C71" i="5"/>
  <c r="C45" i="5"/>
  <c r="C72" i="5"/>
  <c r="C33" i="5"/>
  <c r="C36" i="5"/>
  <c r="C23" i="5"/>
  <c r="C113" i="5"/>
  <c r="C112" i="5"/>
  <c r="C97" i="5"/>
  <c r="C110" i="5"/>
  <c r="C92" i="5"/>
  <c r="C28" i="5"/>
  <c r="C67" i="5"/>
  <c r="C53" i="5"/>
  <c r="C65" i="5"/>
  <c r="C43" i="5"/>
  <c r="C49" i="5"/>
  <c r="C83" i="5"/>
  <c r="C24" i="5"/>
  <c r="C48" i="5"/>
  <c r="C89" i="5"/>
  <c r="C95" i="5"/>
  <c r="C78" i="5"/>
  <c r="C84" i="5"/>
  <c r="C31" i="5"/>
  <c r="C59" i="5"/>
  <c r="C106" i="5"/>
  <c r="C104" i="5"/>
  <c r="C94" i="5"/>
  <c r="C101" i="5"/>
  <c r="C73" i="5"/>
  <c r="C63" i="5"/>
  <c r="C100" i="5"/>
  <c r="C93" i="5"/>
  <c r="C25" i="5"/>
  <c r="C57" i="5"/>
  <c r="C64" i="5"/>
  <c r="C55" i="5"/>
  <c r="C38" i="5"/>
  <c r="C76" i="5"/>
  <c r="C54" i="5"/>
  <c r="C51" i="5"/>
  <c r="C74" i="5"/>
  <c r="C66" i="5"/>
  <c r="C58" i="5"/>
  <c r="C42" i="5"/>
  <c r="C75" i="5"/>
  <c r="C70" i="5"/>
  <c r="C79" i="5"/>
  <c r="C47" i="5"/>
  <c r="C102" i="5"/>
  <c r="C90" i="5"/>
  <c r="C109" i="5"/>
  <c r="C114" i="5"/>
  <c r="C50" i="5"/>
  <c r="C62" i="5"/>
  <c r="C98" i="5"/>
  <c r="C34" i="5"/>
  <c r="C61" i="5"/>
  <c r="C26" i="5"/>
  <c r="C87" i="5"/>
  <c r="C82" i="5"/>
  <c r="C111" i="5"/>
  <c r="C86" i="5"/>
  <c r="C39" i="5"/>
  <c r="C46" i="5"/>
  <c r="C69" i="5"/>
  <c r="B20" i="5" l="1"/>
  <c r="B5" i="3" s="1"/>
  <c r="B8" i="3" s="1"/>
  <c r="B9" i="3" s="1"/>
  <c r="C115" i="5"/>
</calcChain>
</file>

<file path=xl/sharedStrings.xml><?xml version="1.0" encoding="utf-8"?>
<sst xmlns="http://schemas.openxmlformats.org/spreadsheetml/2006/main" count="473" uniqueCount="231">
  <si>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</si>
  <si>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</si>
  <si>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</si>
  <si>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</si>
  <si>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</si>
  <si>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</si>
  <si>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</si>
  <si>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</si>
  <si>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</si>
  <si>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</si>
  <si>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</si>
  <si>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</si>
  <si>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</si>
  <si>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</si>
  <si>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</si>
  <si>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</si>
  <si>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</si>
  <si>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</si>
  <si>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</si>
  <si>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</si>
  <si>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</si>
  <si>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</si>
  <si>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</si>
  <si>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</si>
  <si>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</si>
  <si>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</si>
  <si>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</si>
  <si>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</si>
  <si>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</si>
  <si>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</si>
  <si>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</si>
  <si>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</si>
  <si>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</si>
  <si>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</si>
  <si>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</si>
  <si>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</si>
  <si>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</si>
  <si>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</si>
  <si>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</si>
  <si>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</si>
  <si>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</si>
  <si>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</si>
  <si>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</si>
  <si>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</si>
  <si>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</si>
  <si>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</si>
  <si>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</si>
  <si>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</si>
  <si>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</si>
  <si>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</si>
  <si>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</si>
  <si>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</si>
  <si>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</si>
  <si>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</si>
  <si>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</si>
  <si>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</si>
  <si>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</si>
  <si>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</si>
  <si>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</si>
  <si>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</si>
  <si>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</si>
  <si>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>Département</t>
  </si>
  <si>
    <t>Région</t>
  </si>
  <si>
    <t>Régions</t>
  </si>
  <si>
    <t>01</t>
  </si>
  <si>
    <t>Ain</t>
  </si>
  <si>
    <t>Auvergne-Rhône-Alpes</t>
  </si>
  <si>
    <t>02</t>
  </si>
  <si>
    <t>Aisne</t>
  </si>
  <si>
    <t>Hauts-de-France</t>
  </si>
  <si>
    <t>Bourgogne-Franche-Comté</t>
  </si>
  <si>
    <t>03</t>
  </si>
  <si>
    <t>Allier</t>
  </si>
  <si>
    <t>Bretagne</t>
  </si>
  <si>
    <t>04</t>
  </si>
  <si>
    <t>Alpes-de-Haute-Provence</t>
  </si>
  <si>
    <t>Provence-Alpes-Côte d'Azur</t>
  </si>
  <si>
    <t>Centre-Val de Loire</t>
  </si>
  <si>
    <t>05</t>
  </si>
  <si>
    <t>Hautes-Alpes</t>
  </si>
  <si>
    <t>Corse</t>
  </si>
  <si>
    <t>06</t>
  </si>
  <si>
    <t>Alpes-Maritimes</t>
  </si>
  <si>
    <t>Grand Est</t>
  </si>
  <si>
    <t>07</t>
  </si>
  <si>
    <t>Ardèche</t>
  </si>
  <si>
    <t>08</t>
  </si>
  <si>
    <t>Ardennes</t>
  </si>
  <si>
    <t>Île-de-France</t>
  </si>
  <si>
    <t>09</t>
  </si>
  <si>
    <t>Ariège</t>
  </si>
  <si>
    <t>Occitanie</t>
  </si>
  <si>
    <t>Normandie</t>
  </si>
  <si>
    <t>Aube</t>
  </si>
  <si>
    <t>Nouvelle-Aquitaine</t>
  </si>
  <si>
    <t>Aude</t>
  </si>
  <si>
    <t>Aveyron</t>
  </si>
  <si>
    <t>Pays de la Loire</t>
  </si>
  <si>
    <t>Bouches-du-Rhône</t>
  </si>
  <si>
    <t>Calvados</t>
  </si>
  <si>
    <t>Guadeloupe</t>
  </si>
  <si>
    <t>Cantal</t>
  </si>
  <si>
    <t>Martinique</t>
  </si>
  <si>
    <t>Charente</t>
  </si>
  <si>
    <t>Guyane</t>
  </si>
  <si>
    <t>Charente-Maritime</t>
  </si>
  <si>
    <t>La Réunion</t>
  </si>
  <si>
    <t>Cher</t>
  </si>
  <si>
    <t>Mayotte</t>
  </si>
  <si>
    <t>Corrèze</t>
  </si>
  <si>
    <t>2A</t>
  </si>
  <si>
    <t>Corse-du-Sud</t>
  </si>
  <si>
    <t>2B</t>
  </si>
  <si>
    <t>Haute-Corse</t>
  </si>
  <si>
    <t>Côte-d'Or</t>
  </si>
  <si>
    <t>Côtes 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</si>
  <si>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</si>
  <si>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</si>
  <si>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</si>
  <si>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</si>
  <si>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</si>
  <si>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</si>
  <si>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</si>
  <si>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</si>
  <si>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</si>
  <si>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</si>
  <si>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</si>
  <si>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</si>
  <si>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</si>
  <si>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</si>
  <si>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</si>
  <si>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</si>
  <si>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</si>
  <si>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</si>
  <si>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</si>
  <si>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</si>
  <si>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</si>
  <si>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</si>
  <si>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</si>
  <si>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</si>
  <si>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</si>
  <si>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</si>
  <si>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</si>
  <si>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</si>
  <si>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</si>
  <si>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</si>
  <si>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</si>
  <si>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</si>
  <si>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</si>
  <si>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</si>
  <si>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</si>
  <si>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</si>
  <si>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</si>
  <si>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</si>
  <si>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</si>
  <si>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</si>
  <si>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</si>
  <si>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</si>
  <si>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</si>
  <si>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</si>
  <si>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</si>
  <si>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</si>
  <si>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</si>
  <si>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</si>
  <si>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</si>
  <si>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</si>
  <si>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</si>
  <si>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</si>
  <si>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</si>
  <si>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</si>
  <si>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</si>
  <si>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</si>
  <si>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</si>
  <si>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</si>
  <si>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</si>
  <si>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</si>
  <si>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</si>
  <si>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</si>
  <si>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</si>
  <si>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</si>
  <si>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</si>
  <si>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</si>
  <si>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</si>
  <si>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</si>
  <si>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</si>
  <si>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</si>
  <si>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Seine-St-Denis</t>
  </si>
  <si>
    <t>Val-de-Marne</t>
  </si>
  <si>
    <t>Val-D'Oise</t>
  </si>
  <si>
    <t>Bâtiment 1</t>
  </si>
  <si>
    <t>Bâtiment 3</t>
  </si>
  <si>
    <t>Bâtiment 2</t>
  </si>
  <si>
    <t xml:space="preserve">Logement </t>
  </si>
  <si>
    <t xml:space="preserve">Oui </t>
  </si>
  <si>
    <t>Chaussée des berges</t>
  </si>
  <si>
    <t>Val-de-Reuil</t>
  </si>
  <si>
    <t>Platelages en lames de bois</t>
  </si>
  <si>
    <t>Mur ossature bois avec montant d'une largeur de 200 mm et un entraxe de 60 cm non isolé, fabriqué en France</t>
  </si>
  <si>
    <t>Isolation thermique par panneaux</t>
  </si>
  <si>
    <t>Cloison distributive</t>
  </si>
  <si>
    <t>Encoffrement des poutres et poteaux bois</t>
  </si>
  <si>
    <t>Cloisons sans laine de verre</t>
  </si>
  <si>
    <t>Cloison séparative de 180 mm ép_SAD 180</t>
  </si>
  <si>
    <t>Doublage isolant thermo-acoustique hydrofuge</t>
  </si>
  <si>
    <t>Doublage 2 BA 13 + LM sur ascenseurs</t>
  </si>
  <si>
    <t>Plafond plaque de plâtre sur ossature métallique LM</t>
  </si>
  <si>
    <t>Armstrong Sahara 15 mm (PT)</t>
  </si>
  <si>
    <t>Plafond 2 BA 13 + 80 mm de LM</t>
  </si>
  <si>
    <t>Bloc-porte de distribution</t>
  </si>
  <si>
    <t>Bloc-porte technique non-tôlé</t>
  </si>
  <si>
    <t>Claustra en profils verticaux et horinzontaux</t>
  </si>
  <si>
    <t>Marmoleum decibel</t>
  </si>
  <si>
    <t>TRADIFLOR 2S3</t>
  </si>
  <si>
    <t>m2</t>
  </si>
  <si>
    <t>m3</t>
  </si>
  <si>
    <t>m</t>
  </si>
  <si>
    <t>CLT Piveteau bois</t>
  </si>
  <si>
    <t>Poutre LC</t>
  </si>
  <si>
    <t>STEICOFLEX</t>
  </si>
  <si>
    <t>Linéaire de poteaux</t>
  </si>
  <si>
    <t>Cloison séparatives de 120 mm</t>
  </si>
  <si>
    <t xml:space="preserve">Linéaire de poteaux </t>
  </si>
  <si>
    <t>Cloisons séparatives de 120 mm</t>
  </si>
  <si>
    <t>Plafond de plaque de plâtre perforée sur ossature métallique 
GYPTONE</t>
  </si>
  <si>
    <t>Cédric LEFEBVRE</t>
  </si>
  <si>
    <t>Gaine technique sur ossature métallique dans pièces principales</t>
  </si>
  <si>
    <t>Plafond de plaque de plâtre perforée sur ossature métallique
 GYPTONE</t>
  </si>
  <si>
    <t>Baradage sur MOB + bardage sur béton + plafond des halls
 + bardage bois sur acrotères</t>
  </si>
  <si>
    <t>Mur ossature bois avec montant d'une largeur de 200 mm et 
un entraxe de 60 cm non isolé, fabriqué en France</t>
  </si>
  <si>
    <t>Bardage sur MOB + bardage sur béton + plafond des halls 
+ bardage bois sur acrotères</t>
  </si>
  <si>
    <t>Baradage sur MOB + bardage sur béton + plafond des halls 
+ bardage bois sur acrotères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</si>
</sst>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-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tabSelected="1" workbookViewId="0">
      <selection activeCell="B13" sqref="B13:N24"/>
    </sheetView>
  </sheetViews>
  <sheetFormatPr baseColWidth="10" defaultRowHeight="15"/>
  <sheetData>
    <row r="2" spans="2:14">
      <c r="B2" t="s">
        <v>26</v>
      </c>
    </row>
    <row r="13" spans="2:14">
      <c r="B13" s="91" t="s">
        <v>39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2:14"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2:14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2:14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2:14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2:14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2:14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2:14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2:14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2:14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2:14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2:14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1"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baseColWidth="10" defaultColWidth="11.42578125" defaultRowHeight="15"/>
  <cols>
    <col min="1" max="1" width="13" style="38" customWidth="1"/>
    <col min="2" max="3" width="24" style="35" customWidth="1"/>
    <col min="4" max="4" width="32.7109375" style="35" customWidth="1"/>
    <col min="5" max="5" width="22.140625" style="35" customWidth="1"/>
    <col min="6" max="6" width="12.7109375" style="37" customWidth="1"/>
    <col min="7" max="7" width="14.85546875" style="35" customWidth="1"/>
    <col min="8" max="8" width="19.5703125" style="35" customWidth="1"/>
    <col min="9" max="9" width="32.42578125" style="35" customWidth="1"/>
    <col min="10" max="10" width="23.85546875" style="35" customWidth="1"/>
    <col min="11" max="11" width="41.85546875" style="35" bestFit="1" customWidth="1"/>
    <col min="12" max="12" width="23.85546875" style="35" customWidth="1"/>
    <col min="13" max="16" width="28" style="35" customWidth="1"/>
    <col min="17" max="17" width="33.7109375" style="36" customWidth="1"/>
    <col min="18" max="16384" width="11.42578125" style="35"/>
  </cols>
  <sheetData>
    <row r="1" spans="1:17" customFormat="1" ht="34.5" customHeight="1">
      <c r="A1" s="38"/>
      <c r="B1" s="45" t="s">
        <v>36</v>
      </c>
      <c r="C1" s="45"/>
      <c r="D1" s="45"/>
      <c r="E1" s="44">
        <f>COUNTA(B:B)-2</f>
        <v>3</v>
      </c>
      <c r="F1" s="43"/>
      <c r="G1" s="45" t="s">
        <v>40</v>
      </c>
      <c r="H1" s="45"/>
      <c r="I1" s="44">
        <f>SUM(Tableau2[Surface de plancher (SDP)])</f>
        <v>7206</v>
      </c>
      <c r="K1" s="45" t="s">
        <v>46</v>
      </c>
      <c r="L1" s="44">
        <f>SUM(Tableau2[Surface de référence -Sréf (m²)])</f>
        <v>6301.2</v>
      </c>
      <c r="M1" s="35"/>
      <c r="N1" s="35"/>
      <c r="O1" s="45" t="s">
        <v>48</v>
      </c>
      <c r="P1" s="44">
        <f>SUM(Tableau2[StockC (kgCeq)])</f>
        <v>461295.2</v>
      </c>
      <c r="Q1" s="44"/>
    </row>
    <row r="2" spans="1:17">
      <c r="Q2" s="35"/>
    </row>
    <row r="3" spans="1:17" s="40" customFormat="1" ht="105" customHeight="1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>
      <c r="A4" s="39">
        <v>1</v>
      </c>
      <c r="B4" s="49" t="s">
        <v>189</v>
      </c>
      <c r="C4" s="49" t="s">
        <v>192</v>
      </c>
      <c r="D4" s="49" t="s">
        <v>194</v>
      </c>
      <c r="E4" s="49" t="s">
        <v>195</v>
      </c>
      <c r="F4" s="50">
        <v>27100</v>
      </c>
      <c r="G4" s="49">
        <v>27</v>
      </c>
      <c r="H4" s="49" t="s">
        <v>92</v>
      </c>
      <c r="I4" s="49" t="s">
        <v>224</v>
      </c>
      <c r="J4" s="49" t="s">
        <v>193</v>
      </c>
      <c r="K4" s="49">
        <v>2456</v>
      </c>
      <c r="L4" s="49">
        <v>2145.6</v>
      </c>
      <c r="M4" s="83">
        <v>45901</v>
      </c>
      <c r="N4" s="83">
        <v>46449</v>
      </c>
      <c r="O4" s="49">
        <v>73</v>
      </c>
      <c r="P4" s="51">
        <f>Tableau2[[#This Row],[StockC (kgCeq/m²Sréf)]]*Tableau2[[#This Row],[Surface de référence -Sréf (m²)]]</f>
        <v>156628.79999999999</v>
      </c>
      <c r="Q4" s="49"/>
    </row>
    <row r="5" spans="1:17">
      <c r="A5" s="39">
        <v>2</v>
      </c>
      <c r="B5" s="49" t="s">
        <v>191</v>
      </c>
      <c r="C5" s="49" t="s">
        <v>192</v>
      </c>
      <c r="D5" s="49" t="s">
        <v>194</v>
      </c>
      <c r="E5" s="49" t="s">
        <v>195</v>
      </c>
      <c r="F5" s="50">
        <v>27100</v>
      </c>
      <c r="G5" s="49">
        <v>27</v>
      </c>
      <c r="H5" s="49" t="s">
        <v>92</v>
      </c>
      <c r="I5" s="49" t="s">
        <v>224</v>
      </c>
      <c r="J5" s="49" t="s">
        <v>193</v>
      </c>
      <c r="K5" s="49">
        <v>2002</v>
      </c>
      <c r="L5" s="49">
        <v>1750.9</v>
      </c>
      <c r="M5" s="83">
        <v>45915</v>
      </c>
      <c r="N5" s="83">
        <v>46456</v>
      </c>
      <c r="O5" s="49">
        <v>71</v>
      </c>
      <c r="P5" s="51">
        <f>Tableau2[[#This Row],[StockC (kgCeq/m²Sréf)]]*Tableau2[[#This Row],[Surface de référence -Sréf (m²)]]</f>
        <v>124313.90000000001</v>
      </c>
      <c r="Q5" s="49"/>
    </row>
    <row r="6" spans="1:17">
      <c r="A6" s="39">
        <v>3</v>
      </c>
      <c r="B6" s="49" t="s">
        <v>190</v>
      </c>
      <c r="C6" s="49" t="s">
        <v>192</v>
      </c>
      <c r="D6" s="49" t="s">
        <v>194</v>
      </c>
      <c r="E6" s="49" t="s">
        <v>195</v>
      </c>
      <c r="F6" s="50">
        <v>27100</v>
      </c>
      <c r="G6" s="49">
        <v>27</v>
      </c>
      <c r="H6" s="49" t="s">
        <v>92</v>
      </c>
      <c r="I6" s="49" t="s">
        <v>224</v>
      </c>
      <c r="J6" s="49" t="s">
        <v>193</v>
      </c>
      <c r="K6" s="49">
        <v>2748</v>
      </c>
      <c r="L6" s="49">
        <v>2404.6999999999998</v>
      </c>
      <c r="M6" s="83">
        <v>46129</v>
      </c>
      <c r="N6" s="83">
        <v>46478</v>
      </c>
      <c r="O6" s="49">
        <v>75</v>
      </c>
      <c r="P6" s="51">
        <f>Tableau2[[#This Row],[StockC (kgCeq/m²Sréf)]]*Tableau2[[#This Row],[Surface de référence -Sréf (m²)]]</f>
        <v>180352.5</v>
      </c>
      <c r="Q6" s="49"/>
    </row>
    <row r="7" spans="1:17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cdDJT+ifrbxt2UNscINWYO89F0Rtx3Yt8hDi9BoaKzK4L77aWSgWz/sB5Jgg+RPy9YiiX6fp/wIkbgkT4qEQzg==" saltValue="CbXn2c8NXfRuQhCZyoJcUg==" spinCount="100000" sheet="1" objects="1" scenarios="1"/>
  <phoneticPr fontId="25" type="noConversion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7:O540 K4:K6 M4:O6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G2:H3 G541:H1048576</xm:sqref>
        </x14:dataValidation>
        <x14:dataValidation type="list" allowBlank="1" showInputMessage="1" showErrorMessage="1" xr:uid="{00000000-0002-0000-0100-000004000000}">
          <x14:formula1>
            <xm:f>'données-listes'!$B$2:$B$102</xm:f>
          </x14:formula1>
          <xm:sqref>G4:G540</xm:sqref>
        </x14:dataValidation>
        <x14:dataValidation type="list" allowBlank="1" showInputMessage="1" showErrorMessage="1" xr:uid="{00000000-0002-0000-0100-000005000000}">
          <x14:formula1>
            <xm:f>'données-listes'!$F$2:$F$19</xm:f>
          </x14:formula1>
          <xm:sqref>H4:H540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70" zoomScaleNormal="70" workbookViewId="0">
      <selection activeCell="E13" sqref="E13"/>
    </sheetView>
  </sheetViews>
  <sheetFormatPr baseColWidth="10" defaultColWidth="10.85546875" defaultRowHeight="15"/>
  <cols>
    <col min="2" max="2" width="60" customWidth="1"/>
    <col min="3" max="3" width="14.42578125" customWidth="1"/>
    <col min="4" max="4" width="19" customWidth="1"/>
    <col min="5" max="5" width="18.5703125" customWidth="1"/>
    <col min="6" max="7" width="17.7109375" customWidth="1"/>
    <col min="8" max="8" width="115.5703125" bestFit="1" customWidth="1"/>
  </cols>
  <sheetData>
    <row r="1" spans="1:13">
      <c r="A1" s="4" t="s">
        <v>2</v>
      </c>
      <c r="B1" s="5"/>
      <c r="C1" s="5"/>
      <c r="D1" s="6"/>
      <c r="E1" s="6"/>
      <c r="F1" s="6"/>
      <c r="G1" s="6"/>
      <c r="H1" s="6"/>
    </row>
    <row r="2" spans="1:13">
      <c r="B2" s="7"/>
      <c r="C2" s="1"/>
    </row>
    <row r="3" spans="1:13" ht="16.5">
      <c r="B3" s="69" t="s">
        <v>50</v>
      </c>
      <c r="C3" s="70">
        <f>(Général!P1*44/12)/1000</f>
        <v>1691.4157333333335</v>
      </c>
      <c r="D3" s="14" t="s">
        <v>52</v>
      </c>
    </row>
    <row r="4" spans="1:13" ht="16.5">
      <c r="B4" s="73"/>
      <c r="C4" s="74"/>
      <c r="D4" s="14"/>
    </row>
    <row r="5" spans="1:13">
      <c r="B5" s="7"/>
      <c r="C5" s="8"/>
    </row>
    <row r="6" spans="1:13">
      <c r="B6" s="69" t="s">
        <v>41</v>
      </c>
      <c r="C6" s="71">
        <f>IF(MAX(Tableau2[Date de livraison du bâtiment (jj/mm/aaaa)])&lt;&gt;0,YEAR(MAX(Tableau2[Date de livraison du bâtiment (jj/mm/aaaa)])),"")</f>
        <v>2027</v>
      </c>
    </row>
    <row r="7" spans="1:13">
      <c r="B7" s="73"/>
      <c r="C7" s="8"/>
      <c r="D7" s="13"/>
    </row>
    <row r="8" spans="1:13">
      <c r="B8" s="69" t="s">
        <v>42</v>
      </c>
      <c r="C8" s="71">
        <f>Général!I1</f>
        <v>7206</v>
      </c>
      <c r="D8" s="13"/>
    </row>
    <row r="9" spans="1:13">
      <c r="B9" s="69" t="s">
        <v>43</v>
      </c>
      <c r="C9" s="72">
        <f>Général!L1</f>
        <v>6301.2</v>
      </c>
      <c r="D9" s="13"/>
      <c r="F9" s="46" t="s">
        <v>44</v>
      </c>
    </row>
    <row r="10" spans="1:13">
      <c r="B10" s="7"/>
      <c r="C10" s="8"/>
    </row>
    <row r="11" spans="1:13">
      <c r="B11" s="1" t="s">
        <v>3</v>
      </c>
      <c r="C11" s="1"/>
    </row>
    <row r="12" spans="1:13" ht="42.7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ht="16.5">
      <c r="A13" s="75">
        <v>1</v>
      </c>
      <c r="B13" s="75" t="s">
        <v>196</v>
      </c>
      <c r="C13" s="76" t="s">
        <v>213</v>
      </c>
      <c r="D13" s="77">
        <v>33.33</v>
      </c>
      <c r="E13" s="75">
        <f>8.7*(44/12)</f>
        <v>31.899999999999995</v>
      </c>
      <c r="F13" s="27">
        <f>E13*D13</f>
        <v>1063.2269999999999</v>
      </c>
      <c r="G13" s="75">
        <v>50</v>
      </c>
      <c r="H13" s="78">
        <v>33658</v>
      </c>
      <c r="I13" s="2"/>
      <c r="J13" s="2"/>
      <c r="K13" s="2"/>
      <c r="L13" s="2"/>
      <c r="M13" s="2"/>
    </row>
    <row r="14" spans="1:13" ht="16.5">
      <c r="A14" s="75">
        <v>1</v>
      </c>
      <c r="B14" s="75" t="s">
        <v>216</v>
      </c>
      <c r="C14" s="76" t="s">
        <v>214</v>
      </c>
      <c r="D14" s="77">
        <v>404.56</v>
      </c>
      <c r="E14" s="75">
        <f>240.14*(44/12)</f>
        <v>880.51333333333321</v>
      </c>
      <c r="F14" s="27">
        <f t="shared" ref="F14:F104" si="0">E14*D14</f>
        <v>356220.47413333331</v>
      </c>
      <c r="G14" s="75">
        <v>100</v>
      </c>
      <c r="H14" s="78">
        <v>41753</v>
      </c>
      <c r="I14" s="2"/>
      <c r="J14" s="2"/>
      <c r="K14" s="2"/>
      <c r="L14" s="2"/>
      <c r="M14" s="2"/>
    </row>
    <row r="15" spans="1:13" ht="16.5">
      <c r="A15" s="75">
        <v>1</v>
      </c>
      <c r="B15" s="75" t="s">
        <v>217</v>
      </c>
      <c r="C15" s="76" t="s">
        <v>214</v>
      </c>
      <c r="D15" s="77">
        <f>64.17</f>
        <v>64.17</v>
      </c>
      <c r="E15" s="75">
        <f>330*(44/12)</f>
        <v>1210</v>
      </c>
      <c r="F15" s="27">
        <f t="shared" si="0"/>
        <v>77645.7</v>
      </c>
      <c r="G15" s="75">
        <v>100</v>
      </c>
      <c r="H15" s="78">
        <v>30451</v>
      </c>
      <c r="I15" s="2"/>
      <c r="J15" s="2"/>
      <c r="K15" s="2"/>
      <c r="L15" s="2"/>
      <c r="M15" s="2"/>
    </row>
    <row r="16" spans="1:13" ht="49.5">
      <c r="A16" s="75">
        <v>1</v>
      </c>
      <c r="B16" s="90" t="s">
        <v>197</v>
      </c>
      <c r="C16" s="76" t="s">
        <v>213</v>
      </c>
      <c r="D16" s="77">
        <v>1117.7</v>
      </c>
      <c r="E16" s="75">
        <f>7.78*(44/12)</f>
        <v>28.526666666666667</v>
      </c>
      <c r="F16" s="27">
        <f t="shared" si="0"/>
        <v>31884.255333333334</v>
      </c>
      <c r="G16" s="75">
        <v>100</v>
      </c>
      <c r="H16" s="78">
        <v>41801</v>
      </c>
      <c r="I16" s="2"/>
      <c r="J16" s="2"/>
      <c r="K16" s="2"/>
      <c r="L16" s="2"/>
      <c r="M16" s="2"/>
    </row>
    <row r="17" spans="1:13" ht="16.5">
      <c r="A17" s="75">
        <v>1</v>
      </c>
      <c r="B17" s="75" t="s">
        <v>218</v>
      </c>
      <c r="C17" s="76" t="s">
        <v>213</v>
      </c>
      <c r="D17" s="77">
        <v>2192</v>
      </c>
      <c r="E17" s="75">
        <f>2.33*44/12</f>
        <v>8.5433333333333348</v>
      </c>
      <c r="F17" s="27">
        <f t="shared" si="0"/>
        <v>18726.986666666671</v>
      </c>
      <c r="G17" s="75">
        <v>50</v>
      </c>
      <c r="H17" s="78">
        <v>28738</v>
      </c>
      <c r="I17" s="2"/>
      <c r="J17" s="2"/>
      <c r="K17" s="2"/>
      <c r="L17" s="2"/>
      <c r="M17" s="2"/>
    </row>
    <row r="18" spans="1:13" ht="16.5">
      <c r="A18" s="75">
        <v>1</v>
      </c>
      <c r="B18" s="75" t="s">
        <v>221</v>
      </c>
      <c r="C18" s="76" t="s">
        <v>214</v>
      </c>
      <c r="D18" s="77">
        <v>25.87</v>
      </c>
      <c r="E18" s="75">
        <f>210*(44/12)</f>
        <v>770</v>
      </c>
      <c r="F18" s="27">
        <f t="shared" si="0"/>
        <v>19919.900000000001</v>
      </c>
      <c r="G18" s="75">
        <v>100</v>
      </c>
      <c r="H18" s="78">
        <v>30452</v>
      </c>
      <c r="I18" s="2"/>
      <c r="J18" s="2"/>
      <c r="K18" s="2"/>
      <c r="L18" s="2"/>
      <c r="M18" s="2"/>
    </row>
    <row r="19" spans="1:13" ht="16.5">
      <c r="A19" s="75">
        <v>1</v>
      </c>
      <c r="B19" s="75" t="s">
        <v>198</v>
      </c>
      <c r="C19" s="76" t="s">
        <v>213</v>
      </c>
      <c r="D19" s="77">
        <v>835.61</v>
      </c>
      <c r="E19" s="75">
        <f>1.574*(44/12)</f>
        <v>5.7713333333333336</v>
      </c>
      <c r="F19" s="27">
        <f t="shared" si="0"/>
        <v>4822.5838466666673</v>
      </c>
      <c r="G19" s="75">
        <v>50</v>
      </c>
      <c r="H19" s="78">
        <v>35888</v>
      </c>
      <c r="I19" s="2"/>
      <c r="J19" s="2"/>
      <c r="K19" s="2"/>
      <c r="L19" s="2"/>
      <c r="M19" s="2"/>
    </row>
    <row r="20" spans="1:13" ht="16.5">
      <c r="A20" s="75">
        <v>1</v>
      </c>
      <c r="B20" s="75" t="s">
        <v>222</v>
      </c>
      <c r="C20" s="76" t="s">
        <v>213</v>
      </c>
      <c r="D20" s="77">
        <v>380.3</v>
      </c>
      <c r="E20" s="75">
        <f>0.694*(44/12)</f>
        <v>2.5446666666666662</v>
      </c>
      <c r="F20" s="27">
        <f t="shared" si="0"/>
        <v>967.73673333333318</v>
      </c>
      <c r="G20" s="75">
        <v>50</v>
      </c>
      <c r="H20" s="78">
        <v>38669</v>
      </c>
      <c r="I20" s="2"/>
      <c r="J20" s="2"/>
      <c r="K20" s="2"/>
      <c r="L20" s="2"/>
      <c r="M20" s="2"/>
    </row>
    <row r="21" spans="1:13" ht="16.5">
      <c r="A21" s="75">
        <v>1</v>
      </c>
      <c r="B21" s="75" t="s">
        <v>199</v>
      </c>
      <c r="C21" s="76" t="s">
        <v>213</v>
      </c>
      <c r="D21" s="77">
        <v>1269.23</v>
      </c>
      <c r="E21" s="75">
        <f>0.35*(44/12)</f>
        <v>1.2833333333333332</v>
      </c>
      <c r="F21" s="27">
        <f t="shared" si="0"/>
        <v>1628.8451666666665</v>
      </c>
      <c r="G21" s="75">
        <v>50</v>
      </c>
      <c r="H21" s="78">
        <v>38652</v>
      </c>
      <c r="I21" s="2"/>
      <c r="J21" s="2"/>
      <c r="K21" s="2"/>
      <c r="L21" s="2"/>
      <c r="M21" s="2"/>
    </row>
    <row r="22" spans="1:13" ht="16.5">
      <c r="A22" s="75">
        <v>1</v>
      </c>
      <c r="B22" s="75" t="s">
        <v>225</v>
      </c>
      <c r="C22" s="76" t="s">
        <v>213</v>
      </c>
      <c r="D22" s="77">
        <v>217.74</v>
      </c>
      <c r="E22" s="75">
        <f>0.684*(44/12)</f>
        <v>2.508</v>
      </c>
      <c r="F22" s="27">
        <f t="shared" si="0"/>
        <v>546.09192000000007</v>
      </c>
      <c r="G22" s="75">
        <v>50</v>
      </c>
      <c r="H22" s="78">
        <v>38681</v>
      </c>
      <c r="I22" s="2"/>
      <c r="J22" s="2"/>
      <c r="K22" s="2"/>
      <c r="L22" s="2"/>
      <c r="M22" s="2"/>
    </row>
    <row r="23" spans="1:13" ht="16.5">
      <c r="A23" s="75">
        <v>1</v>
      </c>
      <c r="B23" s="90" t="s">
        <v>200</v>
      </c>
      <c r="C23" s="76" t="s">
        <v>213</v>
      </c>
      <c r="D23" s="77">
        <v>421.6</v>
      </c>
      <c r="E23" s="75">
        <f>0.167*(44/12)</f>
        <v>0.6123333333333334</v>
      </c>
      <c r="F23" s="27">
        <f t="shared" si="0"/>
        <v>258.15973333333335</v>
      </c>
      <c r="G23" s="75">
        <v>50</v>
      </c>
      <c r="H23" s="78">
        <v>34257</v>
      </c>
      <c r="I23" s="2"/>
      <c r="J23" s="2"/>
      <c r="K23" s="2"/>
      <c r="L23" s="2"/>
      <c r="M23" s="2"/>
    </row>
    <row r="24" spans="1:13" ht="16.5">
      <c r="A24" s="75">
        <v>1</v>
      </c>
      <c r="B24" s="75" t="s">
        <v>201</v>
      </c>
      <c r="C24" s="76" t="s">
        <v>213</v>
      </c>
      <c r="D24" s="77">
        <v>607.57000000000005</v>
      </c>
      <c r="E24" s="75">
        <f>0.334*(44/12)</f>
        <v>1.2246666666666668</v>
      </c>
      <c r="F24" s="27">
        <f t="shared" si="0"/>
        <v>744.07072666666681</v>
      </c>
      <c r="G24" s="75">
        <v>50</v>
      </c>
      <c r="H24" s="78">
        <v>37036</v>
      </c>
      <c r="I24" s="2"/>
      <c r="J24" s="2"/>
      <c r="K24" s="2"/>
      <c r="L24" s="2"/>
      <c r="M24" s="2"/>
    </row>
    <row r="25" spans="1:13" ht="16.5">
      <c r="A25" s="75">
        <v>1</v>
      </c>
      <c r="B25" s="75" t="s">
        <v>202</v>
      </c>
      <c r="C25" s="76" t="s">
        <v>213</v>
      </c>
      <c r="D25" s="77">
        <v>564.92999999999995</v>
      </c>
      <c r="E25" s="75">
        <f>0.871*(44/12)</f>
        <v>3.1936666666666667</v>
      </c>
      <c r="F25" s="27">
        <f t="shared" si="0"/>
        <v>1804.1981099999998</v>
      </c>
      <c r="G25" s="75">
        <v>50</v>
      </c>
      <c r="H25" s="78">
        <v>38671</v>
      </c>
      <c r="I25" s="2"/>
      <c r="J25" s="2"/>
      <c r="K25" s="2"/>
      <c r="L25" s="2"/>
      <c r="M25" s="2"/>
    </row>
    <row r="26" spans="1:13" ht="16.5">
      <c r="A26" s="75">
        <v>1</v>
      </c>
      <c r="B26" s="75" t="s">
        <v>203</v>
      </c>
      <c r="C26" s="76" t="s">
        <v>213</v>
      </c>
      <c r="D26" s="77">
        <v>82.52</v>
      </c>
      <c r="E26" s="75">
        <f>0.168*(44/12)</f>
        <v>0.61599999999999999</v>
      </c>
      <c r="F26" s="27">
        <f t="shared" si="0"/>
        <v>50.832319999999996</v>
      </c>
      <c r="G26" s="75">
        <v>50</v>
      </c>
      <c r="H26" s="78">
        <v>40015</v>
      </c>
      <c r="I26" s="2"/>
      <c r="J26" s="2"/>
      <c r="K26" s="2"/>
      <c r="L26" s="2"/>
      <c r="M26" s="2"/>
    </row>
    <row r="27" spans="1:13" ht="16.5">
      <c r="A27" s="75">
        <v>1</v>
      </c>
      <c r="B27" s="75" t="s">
        <v>203</v>
      </c>
      <c r="C27" s="76" t="s">
        <v>213</v>
      </c>
      <c r="D27" s="77">
        <v>1927.22</v>
      </c>
      <c r="E27" s="75">
        <f>0.169*(44/12)</f>
        <v>0.6196666666666667</v>
      </c>
      <c r="F27" s="27">
        <f t="shared" si="0"/>
        <v>1194.2339933333335</v>
      </c>
      <c r="G27" s="75">
        <v>50</v>
      </c>
      <c r="H27" s="78">
        <v>38184</v>
      </c>
      <c r="I27" s="2"/>
      <c r="J27" s="2"/>
      <c r="K27" s="2"/>
      <c r="L27" s="2"/>
      <c r="M27" s="2"/>
    </row>
    <row r="28" spans="1:13" ht="16.5">
      <c r="A28" s="75">
        <v>1</v>
      </c>
      <c r="B28" s="75" t="s">
        <v>204</v>
      </c>
      <c r="C28" s="76" t="s">
        <v>213</v>
      </c>
      <c r="D28" s="77">
        <v>94.82</v>
      </c>
      <c r="E28" s="75">
        <v>3.5799999999999998E-2</v>
      </c>
      <c r="F28" s="27">
        <f t="shared" si="0"/>
        <v>3.3945559999999997</v>
      </c>
      <c r="G28" s="75">
        <v>50</v>
      </c>
      <c r="H28" s="78">
        <v>39977</v>
      </c>
      <c r="I28" s="2"/>
      <c r="J28" s="2"/>
      <c r="K28" s="2"/>
      <c r="L28" s="2"/>
      <c r="M28" s="2"/>
    </row>
    <row r="29" spans="1:13" ht="16.5">
      <c r="A29" s="75">
        <v>1</v>
      </c>
      <c r="B29" s="75" t="s">
        <v>205</v>
      </c>
      <c r="C29" s="76" t="s">
        <v>213</v>
      </c>
      <c r="D29" s="77">
        <v>2079.96</v>
      </c>
      <c r="E29" s="75">
        <f>0.0028*(44/12)</f>
        <v>1.0266666666666667E-2</v>
      </c>
      <c r="F29" s="27">
        <f t="shared" si="0"/>
        <v>21.354255999999999</v>
      </c>
      <c r="G29" s="75">
        <v>50</v>
      </c>
      <c r="H29" s="78">
        <v>43013</v>
      </c>
      <c r="I29" s="2"/>
      <c r="J29" s="2"/>
      <c r="K29" s="2"/>
      <c r="L29" s="2"/>
      <c r="M29" s="2"/>
    </row>
    <row r="30" spans="1:13" ht="49.5">
      <c r="A30" s="75">
        <v>1</v>
      </c>
      <c r="B30" s="90" t="s">
        <v>226</v>
      </c>
      <c r="C30" s="76" t="s">
        <v>213</v>
      </c>
      <c r="D30" s="77">
        <v>16.11</v>
      </c>
      <c r="E30" s="75">
        <f>0.174*(44/12)</f>
        <v>0.6379999999999999</v>
      </c>
      <c r="F30" s="27">
        <f t="shared" si="0"/>
        <v>10.278179999999997</v>
      </c>
      <c r="G30" s="75">
        <v>50</v>
      </c>
      <c r="H30" s="78">
        <v>33883</v>
      </c>
      <c r="I30" s="2"/>
      <c r="J30" s="2"/>
      <c r="K30" s="2"/>
      <c r="L30" s="2"/>
      <c r="M30" s="2"/>
    </row>
    <row r="31" spans="1:13" ht="16.5">
      <c r="A31" s="75">
        <v>1</v>
      </c>
      <c r="B31" s="90" t="s">
        <v>206</v>
      </c>
      <c r="C31" s="76" t="s">
        <v>213</v>
      </c>
      <c r="D31" s="77">
        <v>191.26</v>
      </c>
      <c r="E31" s="75">
        <f>0.191*(44/12)</f>
        <v>0.70033333333333336</v>
      </c>
      <c r="F31" s="27">
        <f t="shared" si="0"/>
        <v>133.94575333333333</v>
      </c>
      <c r="G31" s="75">
        <v>50</v>
      </c>
      <c r="H31" s="78">
        <v>33323</v>
      </c>
      <c r="I31" s="2"/>
      <c r="J31" s="2"/>
      <c r="K31" s="2"/>
      <c r="L31" s="2"/>
      <c r="M31" s="2"/>
    </row>
    <row r="32" spans="1:13" ht="16.5">
      <c r="A32" s="75">
        <v>1</v>
      </c>
      <c r="B32" s="90" t="s">
        <v>207</v>
      </c>
      <c r="C32" s="76" t="s">
        <v>213</v>
      </c>
      <c r="D32" s="77">
        <v>4078.2</v>
      </c>
      <c r="E32" s="75">
        <f>0.167*(44/12)</f>
        <v>0.6123333333333334</v>
      </c>
      <c r="F32" s="27">
        <f t="shared" si="0"/>
        <v>2497.2178000000004</v>
      </c>
      <c r="G32" s="75">
        <v>50</v>
      </c>
      <c r="H32" s="78">
        <v>34919</v>
      </c>
      <c r="I32" s="2"/>
      <c r="J32" s="2"/>
      <c r="K32" s="2"/>
      <c r="L32" s="2"/>
      <c r="M32" s="2"/>
    </row>
    <row r="33" spans="1:13" ht="16.5">
      <c r="A33" s="75">
        <v>1</v>
      </c>
      <c r="B33" s="75" t="s">
        <v>208</v>
      </c>
      <c r="C33" s="76" t="s">
        <v>213</v>
      </c>
      <c r="D33" s="77">
        <v>347.06</v>
      </c>
      <c r="E33" s="75">
        <f>8.05*(44/12)</f>
        <v>29.516666666666669</v>
      </c>
      <c r="F33" s="27">
        <f t="shared" si="0"/>
        <v>10244.054333333333</v>
      </c>
      <c r="G33" s="75">
        <v>25</v>
      </c>
      <c r="H33" s="78">
        <v>46692</v>
      </c>
      <c r="I33" s="2"/>
      <c r="J33" s="2"/>
      <c r="K33" s="2"/>
      <c r="L33" s="2"/>
      <c r="M33" s="2"/>
    </row>
    <row r="34" spans="1:13" ht="16.5">
      <c r="A34" s="75">
        <v>1</v>
      </c>
      <c r="B34" s="75" t="s">
        <v>209</v>
      </c>
      <c r="C34" s="76" t="s">
        <v>213</v>
      </c>
      <c r="D34" s="77">
        <v>56</v>
      </c>
      <c r="E34" s="75">
        <f>5.87*(44/12)</f>
        <v>21.523333333333333</v>
      </c>
      <c r="F34" s="27">
        <f t="shared" si="0"/>
        <v>1205.3066666666666</v>
      </c>
      <c r="G34" s="75">
        <v>30</v>
      </c>
      <c r="H34" s="78">
        <v>29577</v>
      </c>
      <c r="I34" s="2"/>
      <c r="J34" s="2"/>
      <c r="K34" s="2"/>
      <c r="L34" s="2"/>
      <c r="M34" s="2"/>
    </row>
    <row r="35" spans="1:13" ht="49.5">
      <c r="A35" s="75">
        <v>1</v>
      </c>
      <c r="B35" s="90" t="s">
        <v>227</v>
      </c>
      <c r="C35" s="76" t="s">
        <v>213</v>
      </c>
      <c r="D35" s="77">
        <v>1275.6199999999999</v>
      </c>
      <c r="E35" s="75">
        <f>5.44*(44/12)</f>
        <v>19.946666666666669</v>
      </c>
      <c r="F35" s="27">
        <f t="shared" si="0"/>
        <v>25444.366933333335</v>
      </c>
      <c r="G35" s="75">
        <v>50</v>
      </c>
      <c r="H35" s="78">
        <v>30446</v>
      </c>
      <c r="I35" s="2"/>
      <c r="J35" s="2"/>
      <c r="K35" s="2"/>
      <c r="L35" s="2"/>
      <c r="M35" s="2"/>
    </row>
    <row r="36" spans="1:13" ht="16.5">
      <c r="A36" s="75">
        <v>1</v>
      </c>
      <c r="B36" s="75" t="s">
        <v>210</v>
      </c>
      <c r="C36" s="76" t="s">
        <v>215</v>
      </c>
      <c r="D36" s="77">
        <v>43.43</v>
      </c>
      <c r="E36" s="75">
        <f>53.9*(44/12)</f>
        <v>197.63333333333333</v>
      </c>
      <c r="F36" s="27">
        <f t="shared" si="0"/>
        <v>8583.2156666666669</v>
      </c>
      <c r="G36" s="75">
        <v>50</v>
      </c>
      <c r="H36" s="78">
        <v>33959</v>
      </c>
      <c r="I36" s="2"/>
      <c r="J36" s="2"/>
      <c r="K36" s="2"/>
      <c r="L36" s="2"/>
      <c r="M36" s="2"/>
    </row>
    <row r="37" spans="1:13" ht="16.5">
      <c r="A37" s="75">
        <v>1</v>
      </c>
      <c r="B37" s="75" t="s">
        <v>211</v>
      </c>
      <c r="C37" s="76" t="s">
        <v>213</v>
      </c>
      <c r="D37" s="77">
        <v>150.33000000000001</v>
      </c>
      <c r="E37" s="75">
        <f>1.09*(44/12)</f>
        <v>3.9966666666666666</v>
      </c>
      <c r="F37" s="27">
        <f t="shared" si="0"/>
        <v>600.81889999999999</v>
      </c>
      <c r="G37" s="75">
        <v>25</v>
      </c>
      <c r="H37" s="78">
        <v>45719</v>
      </c>
      <c r="I37" s="2"/>
      <c r="J37" s="2"/>
      <c r="K37" s="2"/>
      <c r="L37" s="2"/>
      <c r="M37" s="2"/>
    </row>
    <row r="38" spans="1:13" ht="16.5">
      <c r="A38" s="75">
        <v>1</v>
      </c>
      <c r="B38" s="75" t="s">
        <v>212</v>
      </c>
      <c r="C38" s="76" t="s">
        <v>213</v>
      </c>
      <c r="D38" s="77">
        <v>1936.45</v>
      </c>
      <c r="E38" s="75">
        <f>0.00634*(44/12)</f>
        <v>2.3246666666666665E-2</v>
      </c>
      <c r="F38" s="27">
        <f t="shared" si="0"/>
        <v>45.016007666666667</v>
      </c>
      <c r="G38" s="75">
        <v>25</v>
      </c>
      <c r="H38" s="78">
        <v>40922</v>
      </c>
      <c r="I38" s="2"/>
      <c r="J38" s="2"/>
      <c r="K38" s="2"/>
      <c r="L38" s="2"/>
      <c r="M38" s="2"/>
    </row>
    <row r="39" spans="1:13" ht="16.5">
      <c r="A39" s="75">
        <v>2</v>
      </c>
      <c r="B39" s="90" t="s">
        <v>196</v>
      </c>
      <c r="C39" s="76" t="s">
        <v>213</v>
      </c>
      <c r="D39" s="77">
        <v>33.33</v>
      </c>
      <c r="E39" s="75">
        <f>8.7*(44/12)</f>
        <v>31.899999999999995</v>
      </c>
      <c r="F39" s="27">
        <f t="shared" si="0"/>
        <v>1063.2269999999999</v>
      </c>
      <c r="G39" s="75">
        <v>50</v>
      </c>
      <c r="H39" s="78">
        <v>33658</v>
      </c>
      <c r="I39" s="2"/>
      <c r="J39" s="2"/>
      <c r="K39" s="2"/>
      <c r="L39" s="2"/>
      <c r="M39" s="2"/>
    </row>
    <row r="40" spans="1:13" ht="16.5">
      <c r="A40" s="75">
        <v>2</v>
      </c>
      <c r="B40" s="90" t="s">
        <v>216</v>
      </c>
      <c r="C40" s="76" t="s">
        <v>214</v>
      </c>
      <c r="D40" s="77">
        <v>316.93</v>
      </c>
      <c r="E40" s="75">
        <f>240.14*(44/12)</f>
        <v>880.51333333333321</v>
      </c>
      <c r="F40" s="27">
        <f t="shared" si="0"/>
        <v>279061.09073333332</v>
      </c>
      <c r="G40" s="75">
        <v>100</v>
      </c>
      <c r="H40" s="78">
        <v>41753</v>
      </c>
      <c r="I40" s="2"/>
      <c r="J40" s="2"/>
      <c r="K40" s="2"/>
      <c r="L40" s="2"/>
      <c r="M40" s="2"/>
    </row>
    <row r="41" spans="1:13" ht="16.5">
      <c r="A41" s="75">
        <v>2</v>
      </c>
      <c r="B41" s="75" t="s">
        <v>217</v>
      </c>
      <c r="C41" s="76" t="s">
        <v>214</v>
      </c>
      <c r="D41" s="77">
        <v>52.01</v>
      </c>
      <c r="E41" s="75">
        <f>330*(44/12)</f>
        <v>1210</v>
      </c>
      <c r="F41" s="27">
        <f t="shared" si="0"/>
        <v>62932.1</v>
      </c>
      <c r="G41" s="75">
        <v>100</v>
      </c>
      <c r="H41" s="78">
        <v>30451</v>
      </c>
      <c r="I41" s="2"/>
      <c r="J41" s="2"/>
      <c r="K41" s="2"/>
      <c r="L41" s="2"/>
      <c r="M41" s="2"/>
    </row>
    <row r="42" spans="1:13" ht="49.5">
      <c r="A42" s="75">
        <v>2</v>
      </c>
      <c r="B42" s="90" t="s">
        <v>228</v>
      </c>
      <c r="C42" s="76" t="s">
        <v>213</v>
      </c>
      <c r="D42" s="77">
        <v>903.69</v>
      </c>
      <c r="E42" s="75">
        <f>7.78*(44/12)</f>
        <v>28.526666666666667</v>
      </c>
      <c r="F42" s="27">
        <f t="shared" si="0"/>
        <v>25779.263400000003</v>
      </c>
      <c r="G42" s="75">
        <v>100</v>
      </c>
      <c r="H42" s="78">
        <v>41801</v>
      </c>
      <c r="I42" s="2"/>
      <c r="J42" s="2"/>
      <c r="K42" s="2"/>
      <c r="L42" s="2"/>
      <c r="M42" s="2"/>
    </row>
    <row r="43" spans="1:13" ht="16.5">
      <c r="A43" s="75">
        <v>2</v>
      </c>
      <c r="B43" s="75" t="s">
        <v>218</v>
      </c>
      <c r="C43" s="76" t="s">
        <v>213</v>
      </c>
      <c r="D43" s="77">
        <f>903.69+729.95</f>
        <v>1633.64</v>
      </c>
      <c r="E43" s="75">
        <f>2.33*(44/12)</f>
        <v>8.543333333333333</v>
      </c>
      <c r="F43" s="27">
        <f t="shared" si="0"/>
        <v>13956.731066666667</v>
      </c>
      <c r="G43" s="75">
        <v>50</v>
      </c>
      <c r="H43" s="78">
        <v>28738</v>
      </c>
      <c r="I43" s="2"/>
      <c r="J43" s="2"/>
      <c r="K43" s="2"/>
      <c r="L43" s="2"/>
      <c r="M43" s="2"/>
    </row>
    <row r="44" spans="1:13" ht="16.5">
      <c r="A44" s="75">
        <v>2</v>
      </c>
      <c r="B44" s="75" t="s">
        <v>219</v>
      </c>
      <c r="C44" s="76" t="s">
        <v>214</v>
      </c>
      <c r="D44" s="77">
        <v>17.32</v>
      </c>
      <c r="E44" s="75">
        <f>210*(44/12)</f>
        <v>770</v>
      </c>
      <c r="F44" s="27">
        <f t="shared" si="0"/>
        <v>13336.4</v>
      </c>
      <c r="G44" s="75">
        <v>100</v>
      </c>
      <c r="H44" s="78">
        <v>30452</v>
      </c>
      <c r="I44" s="2"/>
      <c r="J44" s="2"/>
      <c r="K44" s="2"/>
      <c r="L44" s="2"/>
      <c r="M44" s="2"/>
    </row>
    <row r="45" spans="1:13" ht="16.5">
      <c r="A45" s="75">
        <v>2</v>
      </c>
      <c r="B45" s="75" t="s">
        <v>198</v>
      </c>
      <c r="C45" s="76" t="s">
        <v>213</v>
      </c>
      <c r="D45" s="77">
        <v>579.07000000000005</v>
      </c>
      <c r="E45" s="75">
        <f>1.574*(44/12)</f>
        <v>5.7713333333333336</v>
      </c>
      <c r="F45" s="27">
        <f t="shared" si="0"/>
        <v>3342.0059933333337</v>
      </c>
      <c r="G45" s="75">
        <v>50</v>
      </c>
      <c r="H45" s="78">
        <v>35888</v>
      </c>
      <c r="I45" s="2"/>
      <c r="J45" s="2"/>
      <c r="K45" s="2"/>
      <c r="L45" s="2"/>
      <c r="M45" s="2"/>
    </row>
    <row r="46" spans="1:13" ht="16.5">
      <c r="A46" s="75">
        <v>2</v>
      </c>
      <c r="B46" s="75" t="s">
        <v>220</v>
      </c>
      <c r="C46" s="76" t="s">
        <v>213</v>
      </c>
      <c r="D46" s="77">
        <v>310.04000000000002</v>
      </c>
      <c r="E46" s="75">
        <f>0.694*(44/12)</f>
        <v>2.5446666666666662</v>
      </c>
      <c r="F46" s="27">
        <f t="shared" si="0"/>
        <v>788.94845333333319</v>
      </c>
      <c r="G46" s="75">
        <v>50</v>
      </c>
      <c r="H46" s="78">
        <v>38669</v>
      </c>
      <c r="I46" s="2"/>
      <c r="J46" s="2"/>
      <c r="K46" s="2"/>
      <c r="L46" s="2"/>
      <c r="M46" s="2"/>
    </row>
    <row r="47" spans="1:13" ht="16.5">
      <c r="A47" s="75">
        <v>2</v>
      </c>
      <c r="B47" s="90" t="s">
        <v>199</v>
      </c>
      <c r="C47" s="76" t="s">
        <v>213</v>
      </c>
      <c r="D47" s="77">
        <v>940.48</v>
      </c>
      <c r="E47" s="75">
        <f>0.35*(44/12)</f>
        <v>1.2833333333333332</v>
      </c>
      <c r="F47" s="27">
        <f t="shared" si="0"/>
        <v>1206.9493333333332</v>
      </c>
      <c r="G47" s="75">
        <v>50</v>
      </c>
      <c r="H47" s="78">
        <v>38652</v>
      </c>
      <c r="I47" s="2"/>
      <c r="J47" s="2"/>
      <c r="K47" s="2"/>
      <c r="L47" s="2"/>
      <c r="M47" s="2"/>
    </row>
    <row r="48" spans="1:13" ht="16.5">
      <c r="A48" s="75">
        <v>2</v>
      </c>
      <c r="B48" s="75" t="s">
        <v>225</v>
      </c>
      <c r="C48" s="76" t="s">
        <v>213</v>
      </c>
      <c r="D48" s="77">
        <v>190.86</v>
      </c>
      <c r="E48" s="75">
        <f>0.684*(44/12)</f>
        <v>2.508</v>
      </c>
      <c r="F48" s="27">
        <f t="shared" si="0"/>
        <v>478.67688000000004</v>
      </c>
      <c r="G48" s="75">
        <v>50</v>
      </c>
      <c r="H48" s="78">
        <v>38681</v>
      </c>
      <c r="I48" s="2"/>
      <c r="J48" s="2"/>
      <c r="K48" s="2"/>
      <c r="L48" s="2"/>
      <c r="M48" s="2"/>
    </row>
    <row r="49" spans="1:13" ht="16.5">
      <c r="A49" s="75">
        <v>2</v>
      </c>
      <c r="B49" s="75" t="s">
        <v>200</v>
      </c>
      <c r="C49" s="76" t="s">
        <v>213</v>
      </c>
      <c r="D49" s="77">
        <v>393.19</v>
      </c>
      <c r="E49" s="75">
        <f>0.167*(44/12)</f>
        <v>0.6123333333333334</v>
      </c>
      <c r="F49" s="27">
        <f t="shared" si="0"/>
        <v>240.76334333333335</v>
      </c>
      <c r="G49" s="75">
        <v>50</v>
      </c>
      <c r="H49" s="78">
        <v>34257</v>
      </c>
      <c r="I49" s="2"/>
      <c r="J49" s="2"/>
      <c r="K49" s="2"/>
      <c r="L49" s="2"/>
      <c r="M49" s="2"/>
    </row>
    <row r="50" spans="1:13" ht="16.5">
      <c r="A50" s="75">
        <v>2</v>
      </c>
      <c r="B50" s="75" t="s">
        <v>201</v>
      </c>
      <c r="C50" s="76" t="s">
        <v>213</v>
      </c>
      <c r="D50" s="77">
        <v>513.83000000000004</v>
      </c>
      <c r="E50" s="75">
        <f>0.334*(44/12)</f>
        <v>1.2246666666666668</v>
      </c>
      <c r="F50" s="27">
        <f t="shared" si="0"/>
        <v>629.27047333333348</v>
      </c>
      <c r="G50" s="75">
        <v>50</v>
      </c>
      <c r="H50" s="78">
        <v>37036</v>
      </c>
      <c r="I50" s="2"/>
      <c r="J50" s="2"/>
      <c r="K50" s="2"/>
      <c r="L50" s="2"/>
      <c r="M50" s="2"/>
    </row>
    <row r="51" spans="1:13" ht="16.5">
      <c r="A51" s="75">
        <v>2</v>
      </c>
      <c r="B51" s="75" t="s">
        <v>202</v>
      </c>
      <c r="C51" s="76" t="s">
        <v>213</v>
      </c>
      <c r="D51" s="77">
        <v>465.01</v>
      </c>
      <c r="E51" s="75">
        <f>0.871*(44/12)</f>
        <v>3.1936666666666667</v>
      </c>
      <c r="F51" s="27">
        <f t="shared" si="0"/>
        <v>1485.0869366666666</v>
      </c>
      <c r="G51" s="75">
        <v>50</v>
      </c>
      <c r="H51" s="78">
        <v>38671</v>
      </c>
      <c r="I51" s="2"/>
      <c r="J51" s="2"/>
      <c r="K51" s="2"/>
      <c r="L51" s="2"/>
      <c r="M51" s="2"/>
    </row>
    <row r="52" spans="1:13" ht="16.5">
      <c r="A52" s="75">
        <v>2</v>
      </c>
      <c r="B52" s="75" t="s">
        <v>203</v>
      </c>
      <c r="C52" s="76" t="s">
        <v>213</v>
      </c>
      <c r="D52" s="77">
        <v>158.80000000000001</v>
      </c>
      <c r="E52" s="75">
        <f>0.168*(44/12)</f>
        <v>0.61599999999999999</v>
      </c>
      <c r="F52" s="27">
        <f t="shared" si="0"/>
        <v>97.820800000000006</v>
      </c>
      <c r="G52" s="75">
        <v>50</v>
      </c>
      <c r="H52" s="78">
        <v>40015</v>
      </c>
      <c r="I52" s="2"/>
      <c r="J52" s="2"/>
      <c r="K52" s="2"/>
      <c r="L52" s="2"/>
      <c r="M52" s="2"/>
    </row>
    <row r="53" spans="1:13" ht="16.5">
      <c r="A53" s="75">
        <v>2</v>
      </c>
      <c r="B53" s="75" t="s">
        <v>203</v>
      </c>
      <c r="C53" s="76" t="s">
        <v>213</v>
      </c>
      <c r="D53" s="77">
        <v>1554.72</v>
      </c>
      <c r="E53" s="75">
        <f>0.169*(44/12)</f>
        <v>0.6196666666666667</v>
      </c>
      <c r="F53" s="27">
        <f t="shared" si="0"/>
        <v>963.40816000000007</v>
      </c>
      <c r="G53" s="75">
        <v>50</v>
      </c>
      <c r="H53" s="78">
        <v>38184</v>
      </c>
      <c r="I53" s="2"/>
      <c r="J53" s="2"/>
      <c r="K53" s="2"/>
      <c r="L53" s="2"/>
      <c r="M53" s="2"/>
    </row>
    <row r="54" spans="1:13" ht="16.5">
      <c r="A54" s="75">
        <v>2</v>
      </c>
      <c r="B54" s="90" t="s">
        <v>205</v>
      </c>
      <c r="C54" s="76" t="s">
        <v>213</v>
      </c>
      <c r="D54" s="77">
        <v>1620.06</v>
      </c>
      <c r="E54" s="75">
        <f>0.0028*(44/12)</f>
        <v>1.0266666666666667E-2</v>
      </c>
      <c r="F54" s="27">
        <f t="shared" si="0"/>
        <v>16.632615999999999</v>
      </c>
      <c r="G54" s="75">
        <v>50</v>
      </c>
      <c r="H54" s="78">
        <v>43013</v>
      </c>
      <c r="I54" s="2"/>
      <c r="J54" s="2"/>
      <c r="K54" s="2"/>
      <c r="L54" s="2"/>
      <c r="M54" s="2"/>
    </row>
    <row r="55" spans="1:13" ht="49.5">
      <c r="A55" s="75">
        <v>2</v>
      </c>
      <c r="B55" s="90" t="s">
        <v>223</v>
      </c>
      <c r="C55" s="76" t="s">
        <v>213</v>
      </c>
      <c r="D55" s="77">
        <v>8.18</v>
      </c>
      <c r="E55" s="75">
        <f>0.174*(44/12)</f>
        <v>0.6379999999999999</v>
      </c>
      <c r="F55" s="27">
        <f t="shared" si="0"/>
        <v>5.2188399999999993</v>
      </c>
      <c r="G55" s="75">
        <v>50</v>
      </c>
      <c r="H55" s="78">
        <v>33883</v>
      </c>
      <c r="I55" s="2"/>
      <c r="J55" s="2"/>
      <c r="K55" s="2"/>
      <c r="L55" s="2"/>
      <c r="M55" s="2"/>
    </row>
    <row r="56" spans="1:13" ht="16.5">
      <c r="A56" s="75">
        <v>2</v>
      </c>
      <c r="B56" s="75" t="s">
        <v>206</v>
      </c>
      <c r="C56" s="76" t="s">
        <v>213</v>
      </c>
      <c r="D56" s="77">
        <v>163.15</v>
      </c>
      <c r="E56" s="75">
        <f>0.191*(44/12)</f>
        <v>0.70033333333333336</v>
      </c>
      <c r="F56" s="27">
        <f t="shared" si="0"/>
        <v>114.25938333333335</v>
      </c>
      <c r="G56" s="75">
        <v>50</v>
      </c>
      <c r="H56" s="78">
        <v>33323</v>
      </c>
      <c r="I56" s="2"/>
      <c r="J56" s="2"/>
      <c r="K56" s="2"/>
      <c r="L56" s="2"/>
      <c r="M56" s="2"/>
    </row>
    <row r="57" spans="1:13" ht="16.5">
      <c r="A57" s="75">
        <v>2</v>
      </c>
      <c r="B57" s="75" t="s">
        <v>207</v>
      </c>
      <c r="C57" s="76" t="s">
        <v>213</v>
      </c>
      <c r="D57" s="77">
        <v>3235.09</v>
      </c>
      <c r="E57" s="75">
        <f>0.167*(44/12)</f>
        <v>0.6123333333333334</v>
      </c>
      <c r="F57" s="27">
        <f t="shared" si="0"/>
        <v>1980.9534433333336</v>
      </c>
      <c r="G57" s="75">
        <v>50</v>
      </c>
      <c r="H57" s="78">
        <v>34919</v>
      </c>
      <c r="I57" s="2"/>
      <c r="J57" s="2"/>
      <c r="K57" s="2"/>
      <c r="L57" s="2"/>
      <c r="M57" s="2"/>
    </row>
    <row r="58" spans="1:13" ht="16.5">
      <c r="A58" s="75">
        <v>2</v>
      </c>
      <c r="B58" s="75" t="s">
        <v>208</v>
      </c>
      <c r="C58" s="76" t="s">
        <v>213</v>
      </c>
      <c r="D58" s="77">
        <v>279.41000000000003</v>
      </c>
      <c r="E58" s="75">
        <f>8.05*(44/12)</f>
        <v>29.516666666666669</v>
      </c>
      <c r="F58" s="27">
        <f t="shared" si="0"/>
        <v>8247.2518333333355</v>
      </c>
      <c r="G58" s="75">
        <v>25</v>
      </c>
      <c r="H58" s="78">
        <v>46692</v>
      </c>
      <c r="I58" s="2"/>
      <c r="J58" s="2"/>
      <c r="K58" s="2"/>
      <c r="L58" s="2"/>
      <c r="M58" s="2"/>
    </row>
    <row r="59" spans="1:13" ht="16.5">
      <c r="A59" s="75">
        <v>2</v>
      </c>
      <c r="B59" s="75" t="s">
        <v>209</v>
      </c>
      <c r="C59" s="76" t="s">
        <v>213</v>
      </c>
      <c r="D59" s="77">
        <v>56</v>
      </c>
      <c r="E59" s="75">
        <f>5.87*(44/12)</f>
        <v>21.523333333333333</v>
      </c>
      <c r="F59" s="27">
        <f t="shared" si="0"/>
        <v>1205.3066666666666</v>
      </c>
      <c r="G59" s="75">
        <v>30</v>
      </c>
      <c r="H59" s="78">
        <v>29577</v>
      </c>
      <c r="I59" s="2"/>
      <c r="J59" s="2"/>
      <c r="K59" s="2"/>
      <c r="L59" s="2"/>
      <c r="M59" s="2"/>
    </row>
    <row r="60" spans="1:13" ht="49.5">
      <c r="A60" s="75">
        <v>2</v>
      </c>
      <c r="B60" s="90" t="s">
        <v>229</v>
      </c>
      <c r="C60" s="76" t="s">
        <v>213</v>
      </c>
      <c r="D60" s="77">
        <v>1119.07</v>
      </c>
      <c r="E60" s="75">
        <f>5.44*(44/12)</f>
        <v>19.946666666666669</v>
      </c>
      <c r="F60" s="27">
        <f t="shared" si="0"/>
        <v>22321.716266666666</v>
      </c>
      <c r="G60" s="75">
        <v>50</v>
      </c>
      <c r="H60" s="78">
        <v>30446</v>
      </c>
      <c r="I60" s="2"/>
      <c r="J60" s="2"/>
      <c r="K60" s="2"/>
      <c r="L60" s="2"/>
      <c r="M60" s="2"/>
    </row>
    <row r="61" spans="1:13" ht="16.5">
      <c r="A61" s="75">
        <v>2</v>
      </c>
      <c r="B61" s="90" t="s">
        <v>210</v>
      </c>
      <c r="C61" s="76" t="s">
        <v>215</v>
      </c>
      <c r="D61" s="77">
        <v>58.91</v>
      </c>
      <c r="E61" s="75">
        <f>53.9*(44/12)</f>
        <v>197.63333333333333</v>
      </c>
      <c r="F61" s="27">
        <f t="shared" si="0"/>
        <v>11642.579666666665</v>
      </c>
      <c r="G61" s="75">
        <v>50</v>
      </c>
      <c r="H61" s="78">
        <v>33959</v>
      </c>
      <c r="I61" s="2"/>
      <c r="J61" s="2"/>
      <c r="K61" s="2"/>
      <c r="L61" s="2"/>
      <c r="M61" s="2"/>
    </row>
    <row r="62" spans="1:13" ht="16.5">
      <c r="A62" s="75">
        <v>2</v>
      </c>
      <c r="B62" s="75" t="s">
        <v>211</v>
      </c>
      <c r="C62" s="76" t="s">
        <v>213</v>
      </c>
      <c r="D62" s="77">
        <v>126.84</v>
      </c>
      <c r="E62" s="75">
        <f>1.09*(44/12)</f>
        <v>3.9966666666666666</v>
      </c>
      <c r="F62" s="27">
        <f t="shared" si="0"/>
        <v>506.93720000000002</v>
      </c>
      <c r="G62" s="75">
        <v>25</v>
      </c>
      <c r="H62" s="78">
        <v>45719</v>
      </c>
      <c r="I62" s="2"/>
      <c r="J62" s="2"/>
      <c r="K62" s="2"/>
      <c r="L62" s="2"/>
      <c r="M62" s="2"/>
    </row>
    <row r="63" spans="1:13" ht="16.5">
      <c r="A63" s="75">
        <v>2</v>
      </c>
      <c r="B63" s="75" t="s">
        <v>212</v>
      </c>
      <c r="C63" s="76" t="s">
        <v>213</v>
      </c>
      <c r="D63" s="77">
        <v>1587</v>
      </c>
      <c r="E63" s="75">
        <f>0.00634*(44/12)</f>
        <v>2.3246666666666665E-2</v>
      </c>
      <c r="F63" s="27">
        <f t="shared" si="0"/>
        <v>36.89246</v>
      </c>
      <c r="G63" s="75">
        <v>25</v>
      </c>
      <c r="H63" s="78">
        <v>40922</v>
      </c>
      <c r="I63" s="2"/>
      <c r="J63" s="2"/>
      <c r="K63" s="2"/>
      <c r="L63" s="2"/>
      <c r="M63" s="2"/>
    </row>
    <row r="64" spans="1:13" ht="16.5">
      <c r="A64" s="75">
        <v>3</v>
      </c>
      <c r="B64" s="75" t="s">
        <v>196</v>
      </c>
      <c r="C64" s="76" t="s">
        <v>213</v>
      </c>
      <c r="D64" s="77">
        <v>33.33</v>
      </c>
      <c r="E64" s="75">
        <f>8.7*(44/12)</f>
        <v>31.899999999999995</v>
      </c>
      <c r="F64" s="27">
        <f t="shared" si="0"/>
        <v>1063.2269999999999</v>
      </c>
      <c r="G64" s="75">
        <v>50</v>
      </c>
      <c r="H64" s="78">
        <v>33658</v>
      </c>
      <c r="I64" s="2"/>
      <c r="J64" s="2"/>
      <c r="K64" s="2"/>
      <c r="L64" s="2"/>
      <c r="M64" s="2"/>
    </row>
    <row r="65" spans="1:13" ht="16.5">
      <c r="A65" s="75">
        <v>3</v>
      </c>
      <c r="B65" s="75" t="s">
        <v>216</v>
      </c>
      <c r="C65" s="76" t="s">
        <v>214</v>
      </c>
      <c r="D65" s="77">
        <v>454.03</v>
      </c>
      <c r="E65" s="75">
        <f>240.14*(44/12)</f>
        <v>880.51333333333321</v>
      </c>
      <c r="F65" s="27">
        <f t="shared" si="0"/>
        <v>399779.46873333323</v>
      </c>
      <c r="G65" s="75">
        <v>100</v>
      </c>
      <c r="H65" s="78">
        <v>41753</v>
      </c>
      <c r="I65" s="2"/>
      <c r="J65" s="2"/>
      <c r="K65" s="2"/>
      <c r="L65" s="2"/>
      <c r="M65" s="2"/>
    </row>
    <row r="66" spans="1:13" ht="16.5">
      <c r="A66" s="75">
        <v>3</v>
      </c>
      <c r="B66" s="75" t="s">
        <v>217</v>
      </c>
      <c r="C66" s="76" t="s">
        <v>214</v>
      </c>
      <c r="D66" s="77">
        <v>71.73</v>
      </c>
      <c r="E66" s="75">
        <f>330*(44/12)</f>
        <v>1210</v>
      </c>
      <c r="F66" s="27">
        <f t="shared" si="0"/>
        <v>86793.3</v>
      </c>
      <c r="G66" s="75">
        <v>100</v>
      </c>
      <c r="H66" s="78">
        <v>30451</v>
      </c>
      <c r="I66" s="2"/>
      <c r="J66" s="2"/>
      <c r="K66" s="2"/>
      <c r="L66" s="2"/>
      <c r="M66" s="2"/>
    </row>
    <row r="67" spans="1:13" ht="49.5">
      <c r="A67" s="75">
        <v>3</v>
      </c>
      <c r="B67" s="90" t="s">
        <v>197</v>
      </c>
      <c r="C67" s="76" t="s">
        <v>213</v>
      </c>
      <c r="D67" s="77">
        <v>1197.05</v>
      </c>
      <c r="E67" s="75">
        <f>7.78*(44/12)</f>
        <v>28.526666666666667</v>
      </c>
      <c r="F67" s="27">
        <f t="shared" si="0"/>
        <v>34147.846333333335</v>
      </c>
      <c r="G67" s="75">
        <v>100</v>
      </c>
      <c r="H67" s="78">
        <v>41801</v>
      </c>
      <c r="I67" s="2"/>
      <c r="J67" s="2"/>
      <c r="K67" s="2"/>
      <c r="L67" s="2"/>
      <c r="M67" s="2"/>
    </row>
    <row r="68" spans="1:13" ht="16.5">
      <c r="A68" s="75">
        <v>3</v>
      </c>
      <c r="B68" s="75" t="s">
        <v>218</v>
      </c>
      <c r="C68" s="76" t="s">
        <v>213</v>
      </c>
      <c r="D68" s="77">
        <v>2179</v>
      </c>
      <c r="E68" s="75">
        <f>2.33*(44/12)</f>
        <v>8.543333333333333</v>
      </c>
      <c r="F68" s="27">
        <f t="shared" si="0"/>
        <v>18615.923333333332</v>
      </c>
      <c r="G68" s="75">
        <v>50</v>
      </c>
      <c r="H68" s="78">
        <v>28738</v>
      </c>
      <c r="I68" s="2"/>
      <c r="J68" s="2"/>
      <c r="K68" s="2"/>
      <c r="L68" s="2"/>
      <c r="M68" s="2"/>
    </row>
    <row r="69" spans="1:13" ht="16.5">
      <c r="A69" s="75">
        <v>3</v>
      </c>
      <c r="B69" s="90" t="s">
        <v>221</v>
      </c>
      <c r="C69" s="76" t="s">
        <v>214</v>
      </c>
      <c r="D69" s="77">
        <v>26.45</v>
      </c>
      <c r="E69" s="75">
        <f>210*(44/12)</f>
        <v>770</v>
      </c>
      <c r="F69" s="27">
        <f t="shared" si="0"/>
        <v>20366.5</v>
      </c>
      <c r="G69" s="75">
        <v>100</v>
      </c>
      <c r="H69" s="78">
        <v>30452</v>
      </c>
      <c r="I69" s="2"/>
      <c r="J69" s="2"/>
      <c r="K69" s="2"/>
      <c r="L69" s="2"/>
      <c r="M69" s="2"/>
    </row>
    <row r="70" spans="1:13" ht="16.5">
      <c r="A70" s="75">
        <v>3</v>
      </c>
      <c r="B70" s="75" t="s">
        <v>198</v>
      </c>
      <c r="C70" s="76" t="s">
        <v>213</v>
      </c>
      <c r="D70" s="77">
        <v>930.23</v>
      </c>
      <c r="E70" s="75">
        <f>1.574*(44/12)</f>
        <v>5.7713333333333336</v>
      </c>
      <c r="F70" s="27">
        <f t="shared" si="0"/>
        <v>5368.6674066666674</v>
      </c>
      <c r="G70" s="75">
        <v>50</v>
      </c>
      <c r="H70" s="78">
        <v>35888</v>
      </c>
      <c r="I70" s="2"/>
      <c r="J70" s="2"/>
      <c r="K70" s="2"/>
      <c r="L70" s="2"/>
      <c r="M70" s="2"/>
    </row>
    <row r="71" spans="1:13" ht="16.5">
      <c r="A71" s="75">
        <v>3</v>
      </c>
      <c r="B71" s="75" t="s">
        <v>222</v>
      </c>
      <c r="C71" s="76" t="s">
        <v>213</v>
      </c>
      <c r="D71" s="77">
        <v>504.96</v>
      </c>
      <c r="E71" s="75">
        <f>0.694*(44/12)</f>
        <v>2.5446666666666662</v>
      </c>
      <c r="F71" s="27">
        <f t="shared" si="0"/>
        <v>1284.9548799999998</v>
      </c>
      <c r="G71" s="75">
        <v>50</v>
      </c>
      <c r="H71" s="78">
        <v>38669</v>
      </c>
      <c r="I71" s="2"/>
      <c r="J71" s="2"/>
      <c r="K71" s="2"/>
      <c r="L71" s="2"/>
      <c r="M71" s="2"/>
    </row>
    <row r="72" spans="1:13" ht="16.5">
      <c r="A72" s="75">
        <v>3</v>
      </c>
      <c r="B72" s="75" t="s">
        <v>199</v>
      </c>
      <c r="C72" s="76" t="s">
        <v>213</v>
      </c>
      <c r="D72" s="77">
        <v>1440.12</v>
      </c>
      <c r="E72" s="75">
        <f>0.35*(44/12)</f>
        <v>1.2833333333333332</v>
      </c>
      <c r="F72" s="27">
        <f t="shared" si="0"/>
        <v>1848.1539999999998</v>
      </c>
      <c r="G72" s="75">
        <v>50</v>
      </c>
      <c r="H72" s="78">
        <v>38652</v>
      </c>
      <c r="I72" s="2"/>
      <c r="J72" s="2"/>
      <c r="K72" s="2"/>
      <c r="L72" s="2"/>
      <c r="M72" s="2"/>
    </row>
    <row r="73" spans="1:13" ht="16.5">
      <c r="A73" s="75">
        <v>3</v>
      </c>
      <c r="B73" s="75" t="s">
        <v>225</v>
      </c>
      <c r="C73" s="76" t="s">
        <v>214</v>
      </c>
      <c r="D73" s="77">
        <v>220.65</v>
      </c>
      <c r="E73" s="75">
        <f>0.684*(44/12)</f>
        <v>2.508</v>
      </c>
      <c r="F73" s="27">
        <f t="shared" si="0"/>
        <v>553.39020000000005</v>
      </c>
      <c r="G73" s="75">
        <v>25</v>
      </c>
      <c r="H73" s="78">
        <v>38681</v>
      </c>
      <c r="I73" s="2"/>
      <c r="J73" s="2"/>
      <c r="K73" s="2"/>
      <c r="L73" s="2"/>
      <c r="M73" s="2"/>
    </row>
    <row r="74" spans="1:13" ht="16.5">
      <c r="A74" s="75">
        <v>3</v>
      </c>
      <c r="B74" s="75" t="s">
        <v>200</v>
      </c>
      <c r="C74" s="76" t="s">
        <v>213</v>
      </c>
      <c r="D74" s="77">
        <v>470.67</v>
      </c>
      <c r="E74" s="75">
        <f>0.167*(44/12)</f>
        <v>0.6123333333333334</v>
      </c>
      <c r="F74" s="27">
        <f t="shared" si="0"/>
        <v>288.20693000000006</v>
      </c>
      <c r="G74" s="75">
        <v>50</v>
      </c>
      <c r="H74" s="78">
        <v>34257</v>
      </c>
      <c r="I74" s="2"/>
      <c r="J74" s="2"/>
      <c r="K74" s="2"/>
      <c r="L74" s="2"/>
      <c r="M74" s="2"/>
    </row>
    <row r="75" spans="1:13" ht="16.5">
      <c r="A75" s="75">
        <v>3</v>
      </c>
      <c r="B75" s="75" t="s">
        <v>201</v>
      </c>
      <c r="C75" s="76" t="s">
        <v>213</v>
      </c>
      <c r="D75" s="77">
        <v>660.78</v>
      </c>
      <c r="E75" s="75">
        <f>0.334*(44/12)</f>
        <v>1.2246666666666668</v>
      </c>
      <c r="F75" s="27">
        <f t="shared" si="0"/>
        <v>809.23524000000009</v>
      </c>
      <c r="G75" s="75">
        <v>50</v>
      </c>
      <c r="H75" s="78">
        <v>37036</v>
      </c>
      <c r="I75" s="2"/>
      <c r="J75" s="2"/>
      <c r="K75" s="2"/>
      <c r="L75" s="2"/>
      <c r="M75" s="2"/>
    </row>
    <row r="76" spans="1:13" ht="16.5">
      <c r="A76" s="75">
        <v>3</v>
      </c>
      <c r="B76" s="75" t="s">
        <v>202</v>
      </c>
      <c r="C76" s="76" t="s">
        <v>213</v>
      </c>
      <c r="D76" s="77">
        <v>646.54</v>
      </c>
      <c r="E76" s="75">
        <f>0.871*(44/12)</f>
        <v>3.1936666666666667</v>
      </c>
      <c r="F76" s="27">
        <f t="shared" si="0"/>
        <v>2064.8332466666666</v>
      </c>
      <c r="G76" s="75">
        <v>50</v>
      </c>
      <c r="H76" s="78">
        <v>38671</v>
      </c>
      <c r="I76" s="2"/>
      <c r="J76" s="2"/>
      <c r="K76" s="2"/>
      <c r="L76" s="2"/>
      <c r="M76" s="2"/>
    </row>
    <row r="77" spans="1:13" ht="16.5">
      <c r="A77" s="75">
        <v>3</v>
      </c>
      <c r="B77" s="90" t="s">
        <v>203</v>
      </c>
      <c r="C77" s="76" t="s">
        <v>213</v>
      </c>
      <c r="D77" s="77">
        <v>87.55</v>
      </c>
      <c r="E77" s="75">
        <f>0.168*(44/12)</f>
        <v>0.61599999999999999</v>
      </c>
      <c r="F77" s="27">
        <f t="shared" si="0"/>
        <v>53.930799999999998</v>
      </c>
      <c r="G77" s="75">
        <v>50</v>
      </c>
      <c r="H77" s="78">
        <v>40015</v>
      </c>
      <c r="I77" s="2"/>
      <c r="J77" s="2"/>
      <c r="K77" s="2"/>
      <c r="L77" s="2"/>
      <c r="M77" s="2"/>
    </row>
    <row r="78" spans="1:13" ht="16.5">
      <c r="A78" s="75">
        <v>3</v>
      </c>
      <c r="B78" s="75" t="s">
        <v>203</v>
      </c>
      <c r="C78" s="76" t="s">
        <v>213</v>
      </c>
      <c r="D78" s="77">
        <v>1554.74</v>
      </c>
      <c r="E78" s="75">
        <f>0.169*(44/12)</f>
        <v>0.6196666666666667</v>
      </c>
      <c r="F78" s="27">
        <f t="shared" si="0"/>
        <v>963.42055333333337</v>
      </c>
      <c r="G78" s="75">
        <v>50</v>
      </c>
      <c r="H78" s="78">
        <v>38184</v>
      </c>
      <c r="I78" s="2"/>
      <c r="J78" s="2"/>
      <c r="K78" s="2"/>
      <c r="L78" s="2"/>
      <c r="M78" s="2"/>
    </row>
    <row r="79" spans="1:13" ht="16.5">
      <c r="A79" s="75">
        <v>3</v>
      </c>
      <c r="B79" s="75" t="s">
        <v>204</v>
      </c>
      <c r="C79" s="76" t="s">
        <v>213</v>
      </c>
      <c r="D79" s="77">
        <v>47.42</v>
      </c>
      <c r="E79" s="75">
        <f>0.0358*(44/12)</f>
        <v>0.13126666666666664</v>
      </c>
      <c r="F79" s="27">
        <f t="shared" si="0"/>
        <v>6.2246653333333324</v>
      </c>
      <c r="G79" s="75">
        <v>50</v>
      </c>
      <c r="H79" s="78">
        <v>39977</v>
      </c>
      <c r="I79" s="2"/>
      <c r="J79" s="2"/>
      <c r="K79" s="2"/>
      <c r="L79" s="2"/>
      <c r="M79" s="2"/>
    </row>
    <row r="80" spans="1:13" ht="16.5">
      <c r="A80" s="75">
        <v>3</v>
      </c>
      <c r="B80" s="75" t="s">
        <v>205</v>
      </c>
      <c r="C80" s="76" t="s">
        <v>213</v>
      </c>
      <c r="D80" s="77">
        <v>2270.56</v>
      </c>
      <c r="E80" s="75">
        <f>0.0028*(44/12)</f>
        <v>1.0266666666666667E-2</v>
      </c>
      <c r="F80" s="27">
        <f t="shared" si="0"/>
        <v>23.311082666666668</v>
      </c>
      <c r="G80" s="75">
        <v>50</v>
      </c>
      <c r="H80" s="78">
        <v>43013</v>
      </c>
      <c r="I80" s="2"/>
      <c r="J80" s="2"/>
      <c r="K80" s="2"/>
      <c r="L80" s="2"/>
      <c r="M80" s="2"/>
    </row>
    <row r="81" spans="1:13" ht="49.5">
      <c r="A81" s="75">
        <v>3</v>
      </c>
      <c r="B81" s="90" t="s">
        <v>226</v>
      </c>
      <c r="C81" s="76" t="s">
        <v>213</v>
      </c>
      <c r="D81" s="77">
        <v>16.22</v>
      </c>
      <c r="E81" s="75">
        <f>0.174*(44/12)</f>
        <v>0.6379999999999999</v>
      </c>
      <c r="F81" s="27">
        <f t="shared" si="0"/>
        <v>10.348359999999998</v>
      </c>
      <c r="G81" s="75">
        <v>50</v>
      </c>
      <c r="H81" s="78">
        <v>33883</v>
      </c>
      <c r="I81" s="2"/>
      <c r="J81" s="2"/>
      <c r="K81" s="2"/>
      <c r="L81" s="2"/>
      <c r="M81" s="2"/>
    </row>
    <row r="82" spans="1:13" ht="16.5">
      <c r="A82" s="75">
        <v>3</v>
      </c>
      <c r="B82" s="75" t="s">
        <v>206</v>
      </c>
      <c r="C82" s="76" t="s">
        <v>213</v>
      </c>
      <c r="D82" s="77">
        <v>224.72</v>
      </c>
      <c r="E82" s="75">
        <f>0.191*(44/12)</f>
        <v>0.70033333333333336</v>
      </c>
      <c r="F82" s="27">
        <f t="shared" si="0"/>
        <v>157.37890666666667</v>
      </c>
      <c r="G82" s="75">
        <v>50</v>
      </c>
      <c r="H82" s="78">
        <v>33323</v>
      </c>
      <c r="I82" s="2"/>
      <c r="J82" s="2"/>
      <c r="K82" s="2"/>
      <c r="L82" s="2"/>
      <c r="M82" s="2"/>
    </row>
    <row r="83" spans="1:13" ht="16.5">
      <c r="A83" s="75">
        <v>3</v>
      </c>
      <c r="B83" s="75" t="s">
        <v>207</v>
      </c>
      <c r="C83" s="76" t="s">
        <v>213</v>
      </c>
      <c r="D83" s="77">
        <v>4561.74</v>
      </c>
      <c r="E83" s="75">
        <f>0.167*(44/12)</f>
        <v>0.6123333333333334</v>
      </c>
      <c r="F83" s="27">
        <f t="shared" si="0"/>
        <v>2793.30546</v>
      </c>
      <c r="G83" s="75">
        <v>50</v>
      </c>
      <c r="H83" s="78">
        <v>34919</v>
      </c>
      <c r="I83" s="2"/>
      <c r="J83" s="2"/>
      <c r="K83" s="2"/>
      <c r="L83" s="2"/>
      <c r="M83" s="2"/>
    </row>
    <row r="84" spans="1:13" ht="16.5">
      <c r="A84" s="75">
        <v>3</v>
      </c>
      <c r="B84" s="90" t="s">
        <v>208</v>
      </c>
      <c r="C84" s="76" t="s">
        <v>213</v>
      </c>
      <c r="D84" s="77">
        <v>384.78</v>
      </c>
      <c r="E84" s="75">
        <f>8.05*(44/12)</f>
        <v>29.516666666666669</v>
      </c>
      <c r="F84" s="27">
        <f t="shared" si="0"/>
        <v>11357.423000000001</v>
      </c>
      <c r="G84" s="75">
        <v>25</v>
      </c>
      <c r="H84" s="78">
        <v>46692</v>
      </c>
      <c r="I84" s="2"/>
      <c r="J84" s="2"/>
      <c r="K84" s="2"/>
      <c r="L84" s="2"/>
      <c r="M84" s="2"/>
    </row>
    <row r="85" spans="1:13" ht="16.5">
      <c r="A85" s="75">
        <v>3</v>
      </c>
      <c r="B85" s="75" t="s">
        <v>209</v>
      </c>
      <c r="C85" s="76" t="s">
        <v>213</v>
      </c>
      <c r="D85" s="77">
        <v>56</v>
      </c>
      <c r="E85" s="75">
        <f>5.87*(44/12)</f>
        <v>21.523333333333333</v>
      </c>
      <c r="F85" s="27">
        <f t="shared" si="0"/>
        <v>1205.3066666666666</v>
      </c>
      <c r="G85" s="75">
        <v>30</v>
      </c>
      <c r="H85" s="78">
        <v>29577</v>
      </c>
      <c r="I85" s="2"/>
      <c r="J85" s="2"/>
      <c r="K85" s="2"/>
      <c r="L85" s="2"/>
      <c r="M85" s="2"/>
    </row>
    <row r="86" spans="1:13" ht="49.5">
      <c r="A86" s="75">
        <v>3</v>
      </c>
      <c r="B86" s="90" t="s">
        <v>230</v>
      </c>
      <c r="C86" s="76" t="s">
        <v>213</v>
      </c>
      <c r="D86" s="77">
        <v>1476.84</v>
      </c>
      <c r="E86" s="75">
        <f>5.44*(44/12)</f>
        <v>19.946666666666669</v>
      </c>
      <c r="F86" s="27">
        <f t="shared" si="0"/>
        <v>29458.035200000002</v>
      </c>
      <c r="G86" s="75">
        <v>50</v>
      </c>
      <c r="H86" s="78">
        <v>30446</v>
      </c>
      <c r="I86" s="2"/>
      <c r="J86" s="2"/>
      <c r="K86" s="2"/>
      <c r="L86" s="2"/>
      <c r="M86" s="2"/>
    </row>
    <row r="87" spans="1:13" ht="16.5">
      <c r="A87" s="75">
        <v>3</v>
      </c>
      <c r="B87" s="75" t="s">
        <v>210</v>
      </c>
      <c r="C87" s="76" t="s">
        <v>215</v>
      </c>
      <c r="D87" s="77">
        <v>56.63</v>
      </c>
      <c r="E87" s="75">
        <f>53.9*(44/12)</f>
        <v>197.63333333333333</v>
      </c>
      <c r="F87" s="27">
        <f t="shared" si="0"/>
        <v>11191.975666666667</v>
      </c>
      <c r="G87" s="75">
        <v>50</v>
      </c>
      <c r="H87" s="78">
        <v>33959</v>
      </c>
      <c r="I87" s="2"/>
      <c r="J87" s="2"/>
      <c r="K87" s="2"/>
      <c r="L87" s="2"/>
      <c r="M87" s="2"/>
    </row>
    <row r="88" spans="1:13" ht="16.5">
      <c r="A88" s="75">
        <v>3</v>
      </c>
      <c r="B88" s="75" t="s">
        <v>211</v>
      </c>
      <c r="C88" s="76" t="s">
        <v>213</v>
      </c>
      <c r="D88" s="77">
        <v>175.68</v>
      </c>
      <c r="E88" s="75">
        <f>1.09*(44/12)</f>
        <v>3.9966666666666666</v>
      </c>
      <c r="F88" s="27">
        <f t="shared" si="0"/>
        <v>702.13440000000003</v>
      </c>
      <c r="G88" s="75">
        <v>25</v>
      </c>
      <c r="H88" s="78">
        <v>45719</v>
      </c>
      <c r="I88" s="2"/>
      <c r="J88" s="2"/>
      <c r="K88" s="2"/>
      <c r="L88" s="2"/>
      <c r="M88" s="2"/>
    </row>
    <row r="89" spans="1:13" ht="16.5">
      <c r="A89" s="75">
        <v>3</v>
      </c>
      <c r="B89" s="75" t="s">
        <v>212</v>
      </c>
      <c r="C89" s="76" t="s">
        <v>213</v>
      </c>
      <c r="D89" s="77">
        <v>2168.11</v>
      </c>
      <c r="E89" s="75">
        <f>0.00634*(44/12)</f>
        <v>2.3246666666666665E-2</v>
      </c>
      <c r="F89" s="27">
        <f t="shared" si="0"/>
        <v>50.401330466666664</v>
      </c>
      <c r="G89" s="75">
        <v>25</v>
      </c>
      <c r="H89" s="78">
        <v>40922</v>
      </c>
      <c r="I89" s="2"/>
      <c r="J89" s="2"/>
      <c r="K89" s="2"/>
      <c r="L89" s="2"/>
      <c r="M89" s="2"/>
    </row>
    <row r="90" spans="1:13" ht="16.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ht="16.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ht="16.5">
      <c r="A92" s="75"/>
      <c r="B92" s="90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ht="16.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ht="16.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ht="16.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ht="16.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ht="16.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ht="16.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ht="16.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ht="16.5">
      <c r="A100" s="75"/>
      <c r="B100" s="90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ht="16.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ht="16.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ht="16.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ht="16.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ht="16.5">
      <c r="B105" s="30" t="s">
        <v>11</v>
      </c>
      <c r="C105" s="31"/>
      <c r="D105" s="32"/>
      <c r="E105" s="33"/>
      <c r="F105" s="34">
        <f>SUM(F13:F104)</f>
        <v>1648662.6590808001</v>
      </c>
      <c r="G105" s="47"/>
      <c r="H105" s="47"/>
      <c r="I105" s="2"/>
      <c r="J105" s="2"/>
      <c r="K105" s="2"/>
      <c r="L105" s="2"/>
      <c r="M105" s="2"/>
    </row>
    <row r="106" spans="1:13" ht="16.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64" zoomScaleNormal="85" workbookViewId="0">
      <selection activeCell="E11" sqref="E11"/>
    </sheetView>
  </sheetViews>
  <sheetFormatPr baseColWidth="10" defaultRowHeight="15"/>
  <cols>
    <col min="1" max="1" width="60.85546875" bestFit="1" customWidth="1"/>
    <col min="2" max="2" width="35.42578125" bestFit="1" customWidth="1"/>
    <col min="3" max="3" width="44.7109375" customWidth="1"/>
    <col min="6" max="6" width="18.85546875" bestFit="1" customWidth="1"/>
  </cols>
  <sheetData>
    <row r="1" spans="1:9">
      <c r="A1" s="4" t="s">
        <v>51</v>
      </c>
      <c r="B1" s="6"/>
      <c r="C1" s="6"/>
      <c r="D1" s="6"/>
      <c r="E1" s="6"/>
      <c r="F1" s="6"/>
      <c r="G1" s="6"/>
    </row>
    <row r="2" spans="1:9">
      <c r="A2" s="7"/>
      <c r="B2" s="52"/>
    </row>
    <row r="3" spans="1:9" ht="15.75">
      <c r="A3" s="66" t="s">
        <v>53</v>
      </c>
      <c r="B3" s="67">
        <f>'Données projet'!C3</f>
        <v>1691.4157333333335</v>
      </c>
      <c r="D3" t="s">
        <v>0</v>
      </c>
      <c r="E3" s="54">
        <f>(2*16+12)/12</f>
        <v>3.6666666666666665</v>
      </c>
      <c r="F3" s="53" t="s">
        <v>55</v>
      </c>
    </row>
    <row r="5" spans="1:9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>
      <c r="A6" s="12"/>
      <c r="B6" s="13"/>
      <c r="C6" s="13"/>
      <c r="D6" s="13"/>
      <c r="E6" s="13"/>
      <c r="F6" s="13"/>
      <c r="G6" s="13"/>
      <c r="H6" s="13"/>
      <c r="I6" s="13"/>
    </row>
    <row r="7" spans="1:9" ht="16.5">
      <c r="A7" s="82" t="s">
        <v>13</v>
      </c>
      <c r="B7" s="81">
        <f>'Données projet'!C6</f>
        <v>2027</v>
      </c>
    </row>
    <row r="8" spans="1:9" ht="16.5">
      <c r="A8" s="2" t="s">
        <v>14</v>
      </c>
      <c r="B8" s="63">
        <f>IF(Général!C4="Tertiaire ",30,20)</f>
        <v>20</v>
      </c>
    </row>
    <row r="9" spans="1:9" ht="16.5">
      <c r="A9" s="2" t="s">
        <v>15</v>
      </c>
      <c r="B9" s="63">
        <f>IF(Général!C4="Tertiaire ",50,40)</f>
        <v>40</v>
      </c>
    </row>
    <row r="10" spans="1:9" ht="16.5">
      <c r="A10" s="2"/>
      <c r="B10" s="62"/>
    </row>
    <row r="11" spans="1:9" ht="15.75">
      <c r="A11" s="3" t="str">
        <f>"StockCO2𝑟𝑒f (" &amp;B7&amp;") (tCO2e/m²SDP)"</f>
        <v>StockCO2𝑟𝑒f (2027) (tCO2e/m²SDP)</v>
      </c>
      <c r="B11" s="62">
        <f>((B8)+((B7-2015)/(2035-2015))*(B9-B8))/1000</f>
        <v>3.2000000000000001E-2</v>
      </c>
    </row>
    <row r="12" spans="1:9" ht="15.75">
      <c r="A12" s="64" t="s">
        <v>54</v>
      </c>
      <c r="B12" s="65">
        <f>B11*'Données projet'!C8</f>
        <v>230.59200000000001</v>
      </c>
      <c r="E12" s="16"/>
    </row>
    <row r="13" spans="1:9" ht="16.5">
      <c r="A13" s="15"/>
      <c r="B13" s="11"/>
      <c r="E13" s="16"/>
    </row>
    <row r="14" spans="1:9">
      <c r="A14" s="4" t="s">
        <v>16</v>
      </c>
      <c r="B14" s="6"/>
      <c r="C14" s="6"/>
      <c r="D14" s="6"/>
      <c r="E14" s="6"/>
      <c r="F14" s="6"/>
      <c r="G14" s="6"/>
    </row>
    <row r="16" spans="1:9" ht="15.75">
      <c r="A16" s="65" t="s">
        <v>17</v>
      </c>
      <c r="B16" s="68">
        <f>B3-B12</f>
        <v>1460.8237333333334</v>
      </c>
    </row>
    <row r="18" spans="1:7">
      <c r="A18" s="4" t="s">
        <v>18</v>
      </c>
      <c r="B18" s="6"/>
      <c r="C18" s="6"/>
      <c r="D18" s="6"/>
      <c r="E18" s="6"/>
      <c r="F18" s="6"/>
      <c r="G18" s="6"/>
    </row>
    <row r="19" spans="1:7">
      <c r="A19" s="7"/>
    </row>
    <row r="20" spans="1:7" ht="16.5">
      <c r="A20" s="79" t="s">
        <v>23</v>
      </c>
      <c r="B20" s="80">
        <f>SUMPRODUCT(C23:C114,D23:D114)/100</f>
        <v>0.92162893760491571</v>
      </c>
      <c r="D20" s="25"/>
    </row>
    <row r="21" spans="1:7" ht="17.25" thickBot="1">
      <c r="A21" s="2"/>
      <c r="B21" s="2"/>
      <c r="C21" s="25"/>
      <c r="D21" s="25"/>
    </row>
    <row r="22" spans="1:7" ht="57">
      <c r="A22" s="17" t="s">
        <v>4</v>
      </c>
      <c r="B22" s="9" t="s">
        <v>19</v>
      </c>
      <c r="C22" s="9" t="s">
        <v>20</v>
      </c>
      <c r="D22" s="10" t="s">
        <v>21</v>
      </c>
    </row>
    <row r="23" spans="1:7" ht="16.5">
      <c r="A23" s="18" t="str">
        <f>'Données projet'!B13</f>
        <v>Platelages en lames de bois</v>
      </c>
      <c r="B23" s="19">
        <f>'Données projet'!F13</f>
        <v>1063.2269999999999</v>
      </c>
      <c r="C23" s="20">
        <f t="shared" ref="C23:C86" si="0">B23/$B$115</f>
        <v>6.4490269986025789E-4</v>
      </c>
      <c r="D23" s="21">
        <f>'Données projet'!G13</f>
        <v>50</v>
      </c>
    </row>
    <row r="24" spans="1:7" ht="16.5">
      <c r="A24" s="18" t="str">
        <f>'Données projet'!B14</f>
        <v>CLT Piveteau bois</v>
      </c>
      <c r="B24" s="19">
        <f>'Données projet'!F14</f>
        <v>356220.47413333331</v>
      </c>
      <c r="C24" s="20">
        <f t="shared" si="0"/>
        <v>0.21606632028164055</v>
      </c>
      <c r="D24" s="21">
        <f>'Données projet'!G14</f>
        <v>100</v>
      </c>
    </row>
    <row r="25" spans="1:7" ht="16.5">
      <c r="A25" s="18" t="str">
        <f>'Données projet'!B15</f>
        <v>Poutre LC</v>
      </c>
      <c r="B25" s="19">
        <f>'Données projet'!F15</f>
        <v>77645.7</v>
      </c>
      <c r="C25" s="20">
        <f t="shared" si="0"/>
        <v>4.7096171901710199E-2</v>
      </c>
      <c r="D25" s="21">
        <f>'Données projet'!G15</f>
        <v>100</v>
      </c>
    </row>
    <row r="26" spans="1:7" ht="16.5">
      <c r="A26" s="18" t="str">
        <f>'Données projet'!B16</f>
        <v>Mur ossature bois avec montant d'une largeur de 200 mm et un entraxe de 60 cm non isolé, fabriqué en France</v>
      </c>
      <c r="B26" s="19">
        <f>'Données projet'!F16</f>
        <v>31884.255333333334</v>
      </c>
      <c r="C26" s="20">
        <f t="shared" si="0"/>
        <v>1.9339465934838464E-2</v>
      </c>
      <c r="D26" s="21">
        <f>'Données projet'!G16</f>
        <v>100</v>
      </c>
    </row>
    <row r="27" spans="1:7" ht="16.5">
      <c r="A27" s="18" t="str">
        <f>'Données projet'!B17</f>
        <v>STEICOFLEX</v>
      </c>
      <c r="B27" s="19">
        <f>'Données projet'!F17</f>
        <v>18726.986666666671</v>
      </c>
      <c r="C27" s="20">
        <f t="shared" si="0"/>
        <v>1.1358895383187587E-2</v>
      </c>
      <c r="D27" s="21">
        <f>'Données projet'!G17</f>
        <v>50</v>
      </c>
    </row>
    <row r="28" spans="1:7" ht="16.5">
      <c r="A28" s="18" t="str">
        <f>'Données projet'!B18</f>
        <v xml:space="preserve">Linéaire de poteaux </v>
      </c>
      <c r="B28" s="19">
        <f>'Données projet'!F18</f>
        <v>19919.900000000001</v>
      </c>
      <c r="C28" s="20">
        <f t="shared" si="0"/>
        <v>1.2082459616757619E-2</v>
      </c>
      <c r="D28" s="21">
        <f>'Données projet'!G18</f>
        <v>100</v>
      </c>
    </row>
    <row r="29" spans="1:7" ht="16.5">
      <c r="A29" s="18" t="str">
        <f>'Données projet'!B19</f>
        <v>Isolation thermique par panneaux</v>
      </c>
      <c r="B29" s="19">
        <f>'Données projet'!F19</f>
        <v>4822.5838466666673</v>
      </c>
      <c r="C29" s="20">
        <f t="shared" si="0"/>
        <v>2.9251489503349724E-3</v>
      </c>
      <c r="D29" s="21">
        <f>'Données projet'!G19</f>
        <v>50</v>
      </c>
    </row>
    <row r="30" spans="1:7" ht="16.5">
      <c r="A30" s="18" t="str">
        <f>'Données projet'!B20</f>
        <v>Cloisons séparatives de 120 mm</v>
      </c>
      <c r="B30" s="19">
        <f>'Données projet'!F20</f>
        <v>967.73673333333318</v>
      </c>
      <c r="C30" s="20">
        <f t="shared" si="0"/>
        <v>5.8698286638752878E-4</v>
      </c>
      <c r="D30" s="21">
        <f>'Données projet'!G20</f>
        <v>50</v>
      </c>
    </row>
    <row r="31" spans="1:7" ht="16.5">
      <c r="A31" s="18" t="str">
        <f>'Données projet'!B21</f>
        <v>Cloison distributive</v>
      </c>
      <c r="B31" s="19">
        <f>'Données projet'!F21</f>
        <v>1628.8451666666665</v>
      </c>
      <c r="C31" s="20">
        <f t="shared" si="0"/>
        <v>9.8797965593204928E-4</v>
      </c>
      <c r="D31" s="21">
        <f>'Données projet'!G21</f>
        <v>50</v>
      </c>
    </row>
    <row r="32" spans="1:7" ht="16.5">
      <c r="A32" s="18" t="str">
        <f>'Données projet'!B22</f>
        <v>Gaine technique sur ossature métallique dans pièces principales</v>
      </c>
      <c r="B32" s="19">
        <f>'Données projet'!F22</f>
        <v>546.09192000000007</v>
      </c>
      <c r="C32" s="20">
        <f t="shared" si="0"/>
        <v>3.3123326775925748E-4</v>
      </c>
      <c r="D32" s="21">
        <f>'Données projet'!G22</f>
        <v>50</v>
      </c>
    </row>
    <row r="33" spans="1:8" ht="18.75">
      <c r="A33" s="18" t="str">
        <f>'Données projet'!B23</f>
        <v>Encoffrement des poutres et poteaux bois</v>
      </c>
      <c r="B33" s="19">
        <f>'Données projet'!F23</f>
        <v>258.15973333333335</v>
      </c>
      <c r="C33" s="20">
        <f t="shared" si="0"/>
        <v>1.5658736001048778E-4</v>
      </c>
      <c r="D33" s="21">
        <f>'Données projet'!G23</f>
        <v>50</v>
      </c>
      <c r="F33" s="92"/>
      <c r="G33" s="92"/>
      <c r="H33" s="92"/>
    </row>
    <row r="34" spans="1:8" ht="16.5">
      <c r="A34" s="18" t="str">
        <f>'Données projet'!B24</f>
        <v>Cloisons sans laine de verre</v>
      </c>
      <c r="B34" s="19">
        <f>'Données projet'!F24</f>
        <v>744.07072666666681</v>
      </c>
      <c r="C34" s="20">
        <f t="shared" si="0"/>
        <v>4.5131775294863418E-4</v>
      </c>
      <c r="D34" s="21">
        <f>'Données projet'!G24</f>
        <v>50</v>
      </c>
    </row>
    <row r="35" spans="1:8" ht="16.5">
      <c r="A35" s="18" t="str">
        <f>'Données projet'!B25</f>
        <v>Cloison séparative de 180 mm ép_SAD 180</v>
      </c>
      <c r="B35" s="19">
        <f>'Données projet'!F25</f>
        <v>1804.1981099999998</v>
      </c>
      <c r="C35" s="20">
        <f t="shared" si="0"/>
        <v>1.0943403734308614E-3</v>
      </c>
      <c r="D35" s="21">
        <f>'Données projet'!G25</f>
        <v>50</v>
      </c>
    </row>
    <row r="36" spans="1:8" ht="16.5">
      <c r="A36" s="18" t="str">
        <f>'Données projet'!B26</f>
        <v>Doublage isolant thermo-acoustique hydrofuge</v>
      </c>
      <c r="B36" s="19">
        <f>'Données projet'!F26</f>
        <v>50.832319999999996</v>
      </c>
      <c r="C36" s="20">
        <f t="shared" si="0"/>
        <v>3.0832456670269456E-5</v>
      </c>
      <c r="D36" s="21">
        <f>'Données projet'!G26</f>
        <v>50</v>
      </c>
    </row>
    <row r="37" spans="1:8" ht="16.5">
      <c r="A37" s="18" t="str">
        <f>'Données projet'!B27</f>
        <v>Doublage isolant thermo-acoustique hydrofuge</v>
      </c>
      <c r="B37" s="19">
        <f>'Données projet'!F27</f>
        <v>1194.2339933333335</v>
      </c>
      <c r="C37" s="20">
        <f t="shared" si="0"/>
        <v>7.2436528282818636E-4</v>
      </c>
      <c r="D37" s="21">
        <f>'Données projet'!G27</f>
        <v>50</v>
      </c>
    </row>
    <row r="38" spans="1:8" ht="16.5">
      <c r="A38" s="18" t="str">
        <f>'Données projet'!B28</f>
        <v>Doublage 2 BA 13 + LM sur ascenseurs</v>
      </c>
      <c r="B38" s="19">
        <f>'Données projet'!F28</f>
        <v>3.3945559999999997</v>
      </c>
      <c r="C38" s="20">
        <f t="shared" si="0"/>
        <v>2.0589754861631969E-6</v>
      </c>
      <c r="D38" s="21">
        <f>'Données projet'!G28</f>
        <v>50</v>
      </c>
    </row>
    <row r="39" spans="1:8" ht="16.5">
      <c r="A39" s="18" t="str">
        <f>'Données projet'!B29</f>
        <v>Plafond plaque de plâtre sur ossature métallique LM</v>
      </c>
      <c r="B39" s="19">
        <f>'Données projet'!F29</f>
        <v>21.354255999999999</v>
      </c>
      <c r="C39" s="20">
        <f t="shared" si="0"/>
        <v>1.2952471436397977E-5</v>
      </c>
      <c r="D39" s="21">
        <f>'Données projet'!G29</f>
        <v>50</v>
      </c>
    </row>
    <row r="40" spans="1:8" ht="16.5">
      <c r="A40" s="18" t="str">
        <f>'Données projet'!B30</f>
        <v>Plafond de plaque de plâtre perforée sur ossature métallique
 GYPTONE</v>
      </c>
      <c r="B40" s="19">
        <f>'Données projet'!F30</f>
        <v>10.278179999999997</v>
      </c>
      <c r="C40" s="20">
        <f t="shared" si="0"/>
        <v>6.2342529221414654E-6</v>
      </c>
      <c r="D40" s="21">
        <f>'Données projet'!G30</f>
        <v>50</v>
      </c>
    </row>
    <row r="41" spans="1:8" ht="16.5">
      <c r="A41" s="18" t="str">
        <f>'Données projet'!B31</f>
        <v>Armstrong Sahara 15 mm (PT)</v>
      </c>
      <c r="B41" s="19">
        <f>'Données projet'!F31</f>
        <v>133.94575333333333</v>
      </c>
      <c r="C41" s="20">
        <f t="shared" si="0"/>
        <v>8.1245094377289904E-5</v>
      </c>
      <c r="D41" s="21">
        <f>'Données projet'!G31</f>
        <v>50</v>
      </c>
    </row>
    <row r="42" spans="1:8" ht="16.5">
      <c r="A42" s="18" t="str">
        <f>'Données projet'!B32</f>
        <v>Plafond 2 BA 13 + 80 mm de LM</v>
      </c>
      <c r="B42" s="19">
        <f>'Données projet'!F32</f>
        <v>2497.2178000000004</v>
      </c>
      <c r="C42" s="20">
        <f t="shared" si="0"/>
        <v>1.5146930066289644E-3</v>
      </c>
      <c r="D42" s="21">
        <f>'Données projet'!G32</f>
        <v>50</v>
      </c>
    </row>
    <row r="43" spans="1:8" ht="16.5">
      <c r="A43" s="18" t="str">
        <f>'Données projet'!B33</f>
        <v>Bloc-porte de distribution</v>
      </c>
      <c r="B43" s="19">
        <f>'Données projet'!F33</f>
        <v>10244.054333333333</v>
      </c>
      <c r="C43" s="20">
        <f t="shared" si="0"/>
        <v>6.2135539231808834E-3</v>
      </c>
      <c r="D43" s="21">
        <f>'Données projet'!G33</f>
        <v>25</v>
      </c>
    </row>
    <row r="44" spans="1:8" ht="16.5">
      <c r="A44" s="18" t="str">
        <f>'Données projet'!B34</f>
        <v>Bloc-porte technique non-tôlé</v>
      </c>
      <c r="B44" s="19">
        <f>'Données projet'!F34</f>
        <v>1205.3066666666666</v>
      </c>
      <c r="C44" s="20">
        <f t="shared" si="0"/>
        <v>7.3108143744741365E-4</v>
      </c>
      <c r="D44" s="21">
        <f>'Données projet'!G34</f>
        <v>30</v>
      </c>
    </row>
    <row r="45" spans="1:8" ht="16.5">
      <c r="A45" s="18" t="str">
        <f>'Données projet'!B35</f>
        <v>Baradage sur MOB + bardage sur béton + plafond des halls
 + bardage bois sur acrotères</v>
      </c>
      <c r="B45" s="19">
        <f>'Données projet'!F35</f>
        <v>25444.366933333335</v>
      </c>
      <c r="C45" s="20">
        <f t="shared" si="0"/>
        <v>1.5433337313237662E-2</v>
      </c>
      <c r="D45" s="21">
        <f>'Données projet'!G35</f>
        <v>50</v>
      </c>
    </row>
    <row r="46" spans="1:8" ht="16.5">
      <c r="A46" s="18" t="str">
        <f>'Données projet'!B36</f>
        <v>Claustra en profils verticaux et horinzontaux</v>
      </c>
      <c r="B46" s="19">
        <f>'Données projet'!F36</f>
        <v>8583.2156666666669</v>
      </c>
      <c r="C46" s="20">
        <f t="shared" si="0"/>
        <v>5.2061685387186345E-3</v>
      </c>
      <c r="D46" s="21">
        <f>'Données projet'!G36</f>
        <v>50</v>
      </c>
    </row>
    <row r="47" spans="1:8" ht="16.5">
      <c r="A47" s="18" t="str">
        <f>'Données projet'!B37</f>
        <v>Marmoleum decibel</v>
      </c>
      <c r="B47" s="19">
        <f>'Données projet'!F37</f>
        <v>600.81889999999999</v>
      </c>
      <c r="C47" s="20">
        <f t="shared" si="0"/>
        <v>3.6442803910836566E-4</v>
      </c>
      <c r="D47" s="21">
        <f>'Données projet'!G37</f>
        <v>25</v>
      </c>
    </row>
    <row r="48" spans="1:8" ht="16.5">
      <c r="A48" s="18" t="str">
        <f>'Données projet'!B38</f>
        <v>TRADIFLOR 2S3</v>
      </c>
      <c r="B48" s="19">
        <f>'Données projet'!F38</f>
        <v>45.016007666666667</v>
      </c>
      <c r="C48" s="20">
        <f t="shared" si="0"/>
        <v>2.7304559497796239E-5</v>
      </c>
      <c r="D48" s="21">
        <f>'Données projet'!G38</f>
        <v>25</v>
      </c>
    </row>
    <row r="49" spans="1:4" ht="16.5">
      <c r="A49" s="18" t="str">
        <f>'Données projet'!B39</f>
        <v>Platelages en lames de bois</v>
      </c>
      <c r="B49" s="19">
        <f>'Données projet'!F39</f>
        <v>1063.2269999999999</v>
      </c>
      <c r="C49" s="20">
        <f t="shared" si="0"/>
        <v>6.4490269986025789E-4</v>
      </c>
      <c r="D49" s="21">
        <f>'Données projet'!G39</f>
        <v>50</v>
      </c>
    </row>
    <row r="50" spans="1:4" ht="16.5">
      <c r="A50" s="18" t="str">
        <f>'Données projet'!B40</f>
        <v>CLT Piveteau bois</v>
      </c>
      <c r="B50" s="19">
        <f>'Données projet'!F40</f>
        <v>279061.09073333332</v>
      </c>
      <c r="C50" s="20">
        <f t="shared" si="0"/>
        <v>0.16926512479449363</v>
      </c>
      <c r="D50" s="21">
        <f>'Données projet'!G40</f>
        <v>100</v>
      </c>
    </row>
    <row r="51" spans="1:4" ht="16.5">
      <c r="A51" s="18" t="str">
        <f>'Données projet'!B41</f>
        <v>Poutre LC</v>
      </c>
      <c r="B51" s="19">
        <f>'Données projet'!F41</f>
        <v>62932.1</v>
      </c>
      <c r="C51" s="20">
        <f t="shared" si="0"/>
        <v>3.8171605120896797E-2</v>
      </c>
      <c r="D51" s="21">
        <f>'Données projet'!G41</f>
        <v>100</v>
      </c>
    </row>
    <row r="52" spans="1:4" ht="16.5">
      <c r="A52" s="18" t="str">
        <f>'Données projet'!B42</f>
        <v>Mur ossature bois avec montant d'une largeur de 200 mm et 
un entraxe de 60 cm non isolé, fabriqué en France</v>
      </c>
      <c r="B52" s="19">
        <f>'Données projet'!F42</f>
        <v>25779.263400000003</v>
      </c>
      <c r="C52" s="20">
        <f t="shared" si="0"/>
        <v>1.5636469509398027E-2</v>
      </c>
      <c r="D52" s="21">
        <f>'Données projet'!G42</f>
        <v>100</v>
      </c>
    </row>
    <row r="53" spans="1:4" ht="16.5">
      <c r="A53" s="18" t="str">
        <f>'Données projet'!B43</f>
        <v>STEICOFLEX</v>
      </c>
      <c r="B53" s="19">
        <f>'Données projet'!F43</f>
        <v>13956.731066666667</v>
      </c>
      <c r="C53" s="20">
        <f t="shared" si="0"/>
        <v>8.4654862471672289E-3</v>
      </c>
      <c r="D53" s="21">
        <f>'Données projet'!G43</f>
        <v>50</v>
      </c>
    </row>
    <row r="54" spans="1:4" ht="16.5">
      <c r="A54" s="18" t="str">
        <f>'Données projet'!B44</f>
        <v>Linéaire de poteaux</v>
      </c>
      <c r="B54" s="19">
        <f>'Données projet'!F44</f>
        <v>13336.4</v>
      </c>
      <c r="C54" s="20">
        <f t="shared" si="0"/>
        <v>8.0892230600016213E-3</v>
      </c>
      <c r="D54" s="21">
        <f>'Données projet'!G44</f>
        <v>100</v>
      </c>
    </row>
    <row r="55" spans="1:4" ht="16.5">
      <c r="A55" s="18" t="str">
        <f>'Données projet'!B45</f>
        <v>Isolation thermique par panneaux</v>
      </c>
      <c r="B55" s="19">
        <f>'Données projet'!F45</f>
        <v>3342.0059933333337</v>
      </c>
      <c r="C55" s="20">
        <f t="shared" si="0"/>
        <v>2.0271011628277217E-3</v>
      </c>
      <c r="D55" s="21">
        <f>'Données projet'!G45</f>
        <v>50</v>
      </c>
    </row>
    <row r="56" spans="1:4" ht="16.5">
      <c r="A56" s="18" t="str">
        <f>'Données projet'!B46</f>
        <v>Cloison séparatives de 120 mm</v>
      </c>
      <c r="B56" s="19">
        <f>'Données projet'!F46</f>
        <v>788.94845333333319</v>
      </c>
      <c r="C56" s="20">
        <f t="shared" si="0"/>
        <v>4.7853843779855222E-4</v>
      </c>
      <c r="D56" s="21">
        <f>'Données projet'!G46</f>
        <v>50</v>
      </c>
    </row>
    <row r="57" spans="1:4" ht="16.5">
      <c r="A57" s="18" t="str">
        <f>'Données projet'!B47</f>
        <v>Cloison distributive</v>
      </c>
      <c r="B57" s="19">
        <f>'Données projet'!F47</f>
        <v>1206.9493333333332</v>
      </c>
      <c r="C57" s="20">
        <f t="shared" si="0"/>
        <v>7.3207780056488883E-4</v>
      </c>
      <c r="D57" s="21">
        <f>'Données projet'!G47</f>
        <v>50</v>
      </c>
    </row>
    <row r="58" spans="1:4" ht="16.5">
      <c r="A58" s="18" t="str">
        <f>'Données projet'!B48</f>
        <v>Gaine technique sur ossature métallique dans pièces principales</v>
      </c>
      <c r="B58" s="19">
        <f>'Données projet'!F48</f>
        <v>478.67688000000004</v>
      </c>
      <c r="C58" s="20">
        <f t="shared" si="0"/>
        <v>2.9034252541807604E-4</v>
      </c>
      <c r="D58" s="21">
        <f>'Données projet'!G48</f>
        <v>50</v>
      </c>
    </row>
    <row r="59" spans="1:4" ht="16.5">
      <c r="A59" s="18" t="str">
        <f>'Données projet'!B49</f>
        <v>Encoffrement des poutres et poteaux bois</v>
      </c>
      <c r="B59" s="19">
        <f>'Données projet'!F49</f>
        <v>240.76334333333335</v>
      </c>
      <c r="C59" s="20">
        <f t="shared" si="0"/>
        <v>1.4603554099270325E-4</v>
      </c>
      <c r="D59" s="21">
        <f>'Données projet'!G49</f>
        <v>50</v>
      </c>
    </row>
    <row r="60" spans="1:4" ht="16.5">
      <c r="A60" s="18" t="str">
        <f>'Données projet'!B50</f>
        <v>Cloisons sans laine de verre</v>
      </c>
      <c r="B60" s="19">
        <f>'Données projet'!F50</f>
        <v>629.27047333333348</v>
      </c>
      <c r="C60" s="20">
        <f t="shared" si="0"/>
        <v>3.8168540414700643E-4</v>
      </c>
      <c r="D60" s="21">
        <f>'Données projet'!G50</f>
        <v>50</v>
      </c>
    </row>
    <row r="61" spans="1:4" ht="16.5">
      <c r="A61" s="18" t="str">
        <f>'Données projet'!B51</f>
        <v>Cloison séparative de 180 mm ép_SAD 180</v>
      </c>
      <c r="B61" s="19">
        <f>'Données projet'!F51</f>
        <v>1485.0869366666666</v>
      </c>
      <c r="C61" s="20">
        <f t="shared" si="0"/>
        <v>9.0078278202447191E-4</v>
      </c>
      <c r="D61" s="21">
        <f>'Données projet'!G51</f>
        <v>50</v>
      </c>
    </row>
    <row r="62" spans="1:4" ht="16.5">
      <c r="A62" s="18" t="str">
        <f>'Données projet'!B52</f>
        <v>Doublage isolant thermo-acoustique hydrofuge</v>
      </c>
      <c r="B62" s="19">
        <f>'Données projet'!F52</f>
        <v>97.820800000000006</v>
      </c>
      <c r="C62" s="20">
        <f t="shared" si="0"/>
        <v>5.9333423645647001E-5</v>
      </c>
      <c r="D62" s="21">
        <f>'Données projet'!G52</f>
        <v>50</v>
      </c>
    </row>
    <row r="63" spans="1:4" ht="16.5">
      <c r="A63" s="18" t="str">
        <f>'Données projet'!B53</f>
        <v>Doublage isolant thermo-acoustique hydrofuge</v>
      </c>
      <c r="B63" s="19">
        <f>'Données projet'!F53</f>
        <v>963.40816000000007</v>
      </c>
      <c r="C63" s="20">
        <f t="shared" si="0"/>
        <v>5.8435736061198914E-4</v>
      </c>
      <c r="D63" s="21">
        <f>'Données projet'!G53</f>
        <v>50</v>
      </c>
    </row>
    <row r="64" spans="1:4" ht="16.5">
      <c r="A64" s="18" t="str">
        <f>'Données projet'!B54</f>
        <v>Plafond plaque de plâtre sur ossature métallique LM</v>
      </c>
      <c r="B64" s="19">
        <f>'Données projet'!F54</f>
        <v>16.632615999999999</v>
      </c>
      <c r="C64" s="20">
        <f t="shared" si="0"/>
        <v>1.0088550200605254E-5</v>
      </c>
      <c r="D64" s="21">
        <f>'Données projet'!G54</f>
        <v>50</v>
      </c>
    </row>
    <row r="65" spans="1:4" ht="16.5">
      <c r="A65" s="18" t="str">
        <f>'Données projet'!B55</f>
        <v>Plafond de plaque de plâtre perforée sur ossature métallique 
GYPTONE</v>
      </c>
      <c r="B65" s="19">
        <f>'Données projet'!F55</f>
        <v>5.2188399999999993</v>
      </c>
      <c r="C65" s="20">
        <f t="shared" si="0"/>
        <v>3.1654990008142267E-6</v>
      </c>
      <c r="D65" s="21">
        <f>'Données projet'!G55</f>
        <v>50</v>
      </c>
    </row>
    <row r="66" spans="1:4" ht="16.5">
      <c r="A66" s="18" t="str">
        <f>'Données projet'!B56</f>
        <v>Armstrong Sahara 15 mm (PT)</v>
      </c>
      <c r="B66" s="19">
        <f>'Données projet'!F56</f>
        <v>114.25938333333335</v>
      </c>
      <c r="C66" s="20">
        <f t="shared" si="0"/>
        <v>6.9304282901050133E-5</v>
      </c>
      <c r="D66" s="21">
        <f>'Données projet'!G56</f>
        <v>50</v>
      </c>
    </row>
    <row r="67" spans="1:4" ht="16.5">
      <c r="A67" s="18" t="str">
        <f>'Données projet'!B57</f>
        <v>Plafond 2 BA 13 + 80 mm de LM</v>
      </c>
      <c r="B67" s="19">
        <f>'Données projet'!F57</f>
        <v>1980.9534433333336</v>
      </c>
      <c r="C67" s="20">
        <f t="shared" si="0"/>
        <v>1.20155171370097E-3</v>
      </c>
      <c r="D67" s="21">
        <f>'Données projet'!G57</f>
        <v>50</v>
      </c>
    </row>
    <row r="68" spans="1:4" ht="16.5">
      <c r="A68" s="18" t="str">
        <f>'Données projet'!B58</f>
        <v>Bloc-porte de distribution</v>
      </c>
      <c r="B68" s="19">
        <f>'Données projet'!F58</f>
        <v>8247.2518333333355</v>
      </c>
      <c r="C68" s="20">
        <f t="shared" si="0"/>
        <v>5.0023889289343947E-3</v>
      </c>
      <c r="D68" s="21">
        <f>'Données projet'!G58</f>
        <v>25</v>
      </c>
    </row>
    <row r="69" spans="1:4" ht="16.5">
      <c r="A69" s="18" t="str">
        <f>'Données projet'!B59</f>
        <v>Bloc-porte technique non-tôlé</v>
      </c>
      <c r="B69" s="19">
        <f>'Données projet'!F59</f>
        <v>1205.3066666666666</v>
      </c>
      <c r="C69" s="20">
        <f t="shared" si="0"/>
        <v>7.3108143744741365E-4</v>
      </c>
      <c r="D69" s="21">
        <f>'Données projet'!G59</f>
        <v>30</v>
      </c>
    </row>
    <row r="70" spans="1:4" ht="16.5">
      <c r="A70" s="18" t="str">
        <f>'Données projet'!B60</f>
        <v>Bardage sur MOB + bardage sur béton + plafond des halls 
+ bardage bois sur acrotères</v>
      </c>
      <c r="B70" s="19">
        <f>'Données projet'!F60</f>
        <v>22321.716266666666</v>
      </c>
      <c r="C70" s="20">
        <f t="shared" si="0"/>
        <v>1.3539286611314394E-2</v>
      </c>
      <c r="D70" s="21">
        <f>'Données projet'!G60</f>
        <v>50</v>
      </c>
    </row>
    <row r="71" spans="1:4" ht="16.5">
      <c r="A71" s="18" t="str">
        <f>'Données projet'!B61</f>
        <v>Claustra en profils verticaux et horinzontaux</v>
      </c>
      <c r="B71" s="19">
        <f>'Données projet'!F61</f>
        <v>11642.579666666665</v>
      </c>
      <c r="C71" s="20">
        <f t="shared" si="0"/>
        <v>7.0618325723213141E-3</v>
      </c>
      <c r="D71" s="21">
        <f>'Données projet'!G61</f>
        <v>50</v>
      </c>
    </row>
    <row r="72" spans="1:4" ht="16.5">
      <c r="A72" s="18" t="str">
        <f>'Données projet'!B62</f>
        <v>Marmoleum decibel</v>
      </c>
      <c r="B72" s="19">
        <f>'Données projet'!F62</f>
        <v>506.93720000000002</v>
      </c>
      <c r="C72" s="20">
        <f t="shared" si="0"/>
        <v>3.0748388532232494E-4</v>
      </c>
      <c r="D72" s="21">
        <f>'Données projet'!G62</f>
        <v>25</v>
      </c>
    </row>
    <row r="73" spans="1:4" ht="16.5">
      <c r="A73" s="18" t="str">
        <f>'Données projet'!B63</f>
        <v>TRADIFLOR 2S3</v>
      </c>
      <c r="B73" s="19">
        <f>'Données projet'!F63</f>
        <v>36.89246</v>
      </c>
      <c r="C73" s="20">
        <f t="shared" si="0"/>
        <v>2.2377203606084655E-5</v>
      </c>
      <c r="D73" s="21">
        <f>'Données projet'!G63</f>
        <v>25</v>
      </c>
    </row>
    <row r="74" spans="1:4" ht="16.5">
      <c r="A74" s="18" t="str">
        <f>'Données projet'!B64</f>
        <v>Platelages en lames de bois</v>
      </c>
      <c r="B74" s="19">
        <f>'Données projet'!F64</f>
        <v>1063.2269999999999</v>
      </c>
      <c r="C74" s="20">
        <f t="shared" si="0"/>
        <v>6.4490269986025789E-4</v>
      </c>
      <c r="D74" s="21">
        <f>'Données projet'!G64</f>
        <v>50</v>
      </c>
    </row>
    <row r="75" spans="1:4" ht="16.5">
      <c r="A75" s="18" t="str">
        <f>'Données projet'!B65</f>
        <v>CLT Piveteau bois</v>
      </c>
      <c r="B75" s="19">
        <f>'Données projet'!F65</f>
        <v>399779.46873333323</v>
      </c>
      <c r="C75" s="20">
        <f t="shared" si="0"/>
        <v>0.24248712526565463</v>
      </c>
      <c r="D75" s="21">
        <f>'Données projet'!G65</f>
        <v>100</v>
      </c>
    </row>
    <row r="76" spans="1:4" ht="16.5">
      <c r="A76" s="18" t="str">
        <f>'Données projet'!B66</f>
        <v>Poutre LC</v>
      </c>
      <c r="B76" s="19">
        <f>'Données projet'!F66</f>
        <v>86793.3</v>
      </c>
      <c r="C76" s="20">
        <f t="shared" si="0"/>
        <v>5.2644669012150112E-2</v>
      </c>
      <c r="D76" s="21">
        <f>'Données projet'!G66</f>
        <v>100</v>
      </c>
    </row>
    <row r="77" spans="1:4" ht="16.5">
      <c r="A77" s="18" t="str">
        <f>'Données projet'!B67</f>
        <v>Mur ossature bois avec montant d'une largeur de 200 mm et un entraxe de 60 cm non isolé, fabriqué en France</v>
      </c>
      <c r="B77" s="19">
        <f>'Données projet'!F67</f>
        <v>34147.846333333335</v>
      </c>
      <c r="C77" s="20">
        <f t="shared" si="0"/>
        <v>2.0712452086694446E-2</v>
      </c>
      <c r="D77" s="21">
        <f>'Données projet'!G67</f>
        <v>100</v>
      </c>
    </row>
    <row r="78" spans="1:4" ht="16.5">
      <c r="A78" s="18" t="str">
        <f>'Données projet'!B68</f>
        <v>STEICOFLEX</v>
      </c>
      <c r="B78" s="19">
        <f>'Données projet'!F68</f>
        <v>18615.923333333332</v>
      </c>
      <c r="C78" s="20">
        <f t="shared" si="0"/>
        <v>1.1291529671517218E-2</v>
      </c>
      <c r="D78" s="21">
        <f>'Données projet'!G68</f>
        <v>50</v>
      </c>
    </row>
    <row r="79" spans="1:4" ht="16.5">
      <c r="A79" s="18" t="str">
        <f>'Données projet'!B69</f>
        <v xml:space="preserve">Linéaire de poteaux </v>
      </c>
      <c r="B79" s="19">
        <f>'Données projet'!F69</f>
        <v>20366.5</v>
      </c>
      <c r="C79" s="20">
        <f t="shared" si="0"/>
        <v>1.2353345839321182E-2</v>
      </c>
      <c r="D79" s="21">
        <f>'Données projet'!G69</f>
        <v>100</v>
      </c>
    </row>
    <row r="80" spans="1:4" ht="16.5">
      <c r="A80" s="18" t="str">
        <f>'Données projet'!B70</f>
        <v>Isolation thermique par panneaux</v>
      </c>
      <c r="B80" s="19">
        <f>'Données projet'!F70</f>
        <v>5368.6674066666674</v>
      </c>
      <c r="C80" s="20">
        <f t="shared" si="0"/>
        <v>3.2563771473176502E-3</v>
      </c>
      <c r="D80" s="21">
        <f>'Données projet'!G70</f>
        <v>50</v>
      </c>
    </row>
    <row r="81" spans="1:4" ht="16.5">
      <c r="A81" s="18" t="str">
        <f>'Données projet'!B71</f>
        <v>Cloisons séparatives de 120 mm</v>
      </c>
      <c r="B81" s="19">
        <f>'Données projet'!F71</f>
        <v>1284.9548799999998</v>
      </c>
      <c r="C81" s="20">
        <f t="shared" si="0"/>
        <v>7.7939223826202085E-4</v>
      </c>
      <c r="D81" s="21">
        <f>'Données projet'!G71</f>
        <v>50</v>
      </c>
    </row>
    <row r="82" spans="1:4" ht="16.5">
      <c r="A82" s="18" t="str">
        <f>'Données projet'!B72</f>
        <v>Cloison distributive</v>
      </c>
      <c r="B82" s="19">
        <f>'Données projet'!F72</f>
        <v>1848.1539999999998</v>
      </c>
      <c r="C82" s="20">
        <f t="shared" si="0"/>
        <v>1.1210019162018411E-3</v>
      </c>
      <c r="D82" s="21">
        <f>'Données projet'!G72</f>
        <v>50</v>
      </c>
    </row>
    <row r="83" spans="1:4" ht="16.5">
      <c r="A83" s="18" t="str">
        <f>'Données projet'!B73</f>
        <v>Gaine technique sur ossature métallique dans pièces principales</v>
      </c>
      <c r="B83" s="19">
        <f>'Données projet'!F73</f>
        <v>553.39020000000005</v>
      </c>
      <c r="C83" s="20">
        <f t="shared" si="0"/>
        <v>3.3566005571360408E-4</v>
      </c>
      <c r="D83" s="21">
        <f>'Données projet'!G73</f>
        <v>25</v>
      </c>
    </row>
    <row r="84" spans="1:4" ht="16.5">
      <c r="A84" s="18" t="str">
        <f>'Données projet'!B74</f>
        <v>Encoffrement des poutres et poteaux bois</v>
      </c>
      <c r="B84" s="19">
        <f>'Données projet'!F74</f>
        <v>288.20693000000006</v>
      </c>
      <c r="C84" s="20">
        <f t="shared" si="0"/>
        <v>1.7481255392821704E-4</v>
      </c>
      <c r="D84" s="21">
        <f>'Données projet'!G74</f>
        <v>50</v>
      </c>
    </row>
    <row r="85" spans="1:4" ht="16.5">
      <c r="A85" s="18" t="str">
        <f>'Données projet'!B75</f>
        <v>Cloisons sans laine de verre</v>
      </c>
      <c r="B85" s="19">
        <f>'Données projet'!F75</f>
        <v>809.23524000000009</v>
      </c>
      <c r="C85" s="20">
        <f t="shared" si="0"/>
        <v>4.9084343333837823E-4</v>
      </c>
      <c r="D85" s="21">
        <f>'Données projet'!G75</f>
        <v>50</v>
      </c>
    </row>
    <row r="86" spans="1:4" ht="16.5">
      <c r="A86" s="18" t="str">
        <f>'Données projet'!B76</f>
        <v>Cloison séparative de 180 mm ép_SAD 180</v>
      </c>
      <c r="B86" s="19">
        <f>'Données projet'!F76</f>
        <v>2064.8332466666666</v>
      </c>
      <c r="C86" s="20">
        <f t="shared" si="0"/>
        <v>1.2524291948347393E-3</v>
      </c>
      <c r="D86" s="21">
        <f>'Données projet'!G76</f>
        <v>50</v>
      </c>
    </row>
    <row r="87" spans="1:4" ht="16.5">
      <c r="A87" s="18" t="str">
        <f>'Données projet'!B77</f>
        <v>Doublage isolant thermo-acoustique hydrofuge</v>
      </c>
      <c r="B87" s="19">
        <f>'Données projet'!F77</f>
        <v>53.930799999999998</v>
      </c>
      <c r="C87" s="20">
        <f t="shared" ref="C87:C114" si="1">B87/$B$115</f>
        <v>3.2711846600607021E-5</v>
      </c>
      <c r="D87" s="21">
        <f>'Données projet'!G77</f>
        <v>50</v>
      </c>
    </row>
    <row r="88" spans="1:4" ht="16.5">
      <c r="A88" s="18" t="str">
        <f>'Données projet'!B78</f>
        <v>Doublage isolant thermo-acoustique hydrofuge</v>
      </c>
      <c r="B88" s="19">
        <f>'Données projet'!F78</f>
        <v>963.42055333333337</v>
      </c>
      <c r="C88" s="20">
        <f t="shared" si="1"/>
        <v>5.8436487781586652E-4</v>
      </c>
      <c r="D88" s="21">
        <f>'Données projet'!G78</f>
        <v>50</v>
      </c>
    </row>
    <row r="89" spans="1:4" ht="16.5">
      <c r="A89" s="18" t="str">
        <f>'Données projet'!B79</f>
        <v>Doublage 2 BA 13 + LM sur ascenseurs</v>
      </c>
      <c r="B89" s="19">
        <f>'Données projet'!F79</f>
        <v>6.2246653333333324</v>
      </c>
      <c r="C89" s="20">
        <f t="shared" si="1"/>
        <v>3.7755845921832483E-6</v>
      </c>
      <c r="D89" s="21">
        <f>'Données projet'!G79</f>
        <v>50</v>
      </c>
    </row>
    <row r="90" spans="1:4" ht="16.5">
      <c r="A90" s="18" t="str">
        <f>'Données projet'!B80</f>
        <v>Plafond plaque de plâtre sur ossature métallique LM</v>
      </c>
      <c r="B90" s="19">
        <f>'Données projet'!F80</f>
        <v>23.311082666666668</v>
      </c>
      <c r="C90" s="20">
        <f t="shared" si="1"/>
        <v>1.4139389000090286E-5</v>
      </c>
      <c r="D90" s="21">
        <f>'Données projet'!G80</f>
        <v>50</v>
      </c>
    </row>
    <row r="91" spans="1:4" ht="16.5">
      <c r="A91" s="18" t="str">
        <f>'Données projet'!B81</f>
        <v>Plafond de plaque de plâtre perforée sur ossature métallique
 GYPTONE</v>
      </c>
      <c r="B91" s="19">
        <f>'Données projet'!F81</f>
        <v>10.348359999999998</v>
      </c>
      <c r="C91" s="20">
        <f t="shared" si="1"/>
        <v>6.2768207571157407E-6</v>
      </c>
      <c r="D91" s="21">
        <f>'Données projet'!G81</f>
        <v>50</v>
      </c>
    </row>
    <row r="92" spans="1:4" ht="16.5">
      <c r="A92" s="18" t="str">
        <f>'Données projet'!B82</f>
        <v>Armstrong Sahara 15 mm (PT)</v>
      </c>
      <c r="B92" s="19">
        <f>'Données projet'!F82</f>
        <v>157.37890666666667</v>
      </c>
      <c r="C92" s="20">
        <f t="shared" si="1"/>
        <v>9.5458525611547565E-5</v>
      </c>
      <c r="D92" s="21">
        <f>'Données projet'!G82</f>
        <v>50</v>
      </c>
    </row>
    <row r="93" spans="1:4" ht="16.5">
      <c r="A93" s="18" t="str">
        <f>'Données projet'!B83</f>
        <v>Plafond 2 BA 13 + 80 mm de LM</v>
      </c>
      <c r="B93" s="19">
        <f>'Données projet'!F83</f>
        <v>2793.30546</v>
      </c>
      <c r="C93" s="20">
        <f t="shared" si="1"/>
        <v>1.6942856348535166E-3</v>
      </c>
      <c r="D93" s="21">
        <f>'Données projet'!G83</f>
        <v>50</v>
      </c>
    </row>
    <row r="94" spans="1:4" ht="16.5">
      <c r="A94" s="18" t="str">
        <f>'Données projet'!B84</f>
        <v>Bloc-porte de distribution</v>
      </c>
      <c r="B94" s="19">
        <f>'Données projet'!F84</f>
        <v>11357.423000000001</v>
      </c>
      <c r="C94" s="20">
        <f t="shared" si="1"/>
        <v>6.8888701623971088E-3</v>
      </c>
      <c r="D94" s="21">
        <f>'Données projet'!G84</f>
        <v>25</v>
      </c>
    </row>
    <row r="95" spans="1:4" ht="16.5">
      <c r="A95" s="18" t="str">
        <f>'Données projet'!B85</f>
        <v>Bloc-porte technique non-tôlé</v>
      </c>
      <c r="B95" s="19">
        <f>'Données projet'!F85</f>
        <v>1205.3066666666666</v>
      </c>
      <c r="C95" s="20">
        <f t="shared" si="1"/>
        <v>7.3108143744741365E-4</v>
      </c>
      <c r="D95" s="21">
        <f>'Données projet'!G85</f>
        <v>30</v>
      </c>
    </row>
    <row r="96" spans="1:4" ht="16.5">
      <c r="A96" s="18" t="str">
        <f>'Données projet'!B86</f>
        <v>Baradage sur MOB + bardage sur béton + plafond des halls 
+ bardage bois sur acrotères</v>
      </c>
      <c r="B96" s="19">
        <f>'Données projet'!F86</f>
        <v>29458.035200000002</v>
      </c>
      <c r="C96" s="20">
        <f t="shared" si="1"/>
        <v>1.7867836720717695E-2</v>
      </c>
      <c r="D96" s="21">
        <f>'Données projet'!G86</f>
        <v>50</v>
      </c>
    </row>
    <row r="97" spans="1:4" ht="16.5">
      <c r="A97" s="18" t="str">
        <f>'Données projet'!B87</f>
        <v>Claustra en profils verticaux et horinzontaux</v>
      </c>
      <c r="B97" s="19">
        <f>'Données projet'!F87</f>
        <v>11191.975666666667</v>
      </c>
      <c r="C97" s="20">
        <f t="shared" si="1"/>
        <v>6.788517714658905E-3</v>
      </c>
      <c r="D97" s="21">
        <f>'Données projet'!G87</f>
        <v>50</v>
      </c>
    </row>
    <row r="98" spans="1:4" ht="16.5">
      <c r="A98" s="18" t="str">
        <f>'Données projet'!B88</f>
        <v>Marmoleum decibel</v>
      </c>
      <c r="B98" s="19">
        <f>'Données projet'!F88</f>
        <v>702.13440000000003</v>
      </c>
      <c r="C98" s="20">
        <f t="shared" si="1"/>
        <v>4.2588118080594484E-4</v>
      </c>
      <c r="D98" s="21">
        <f>'Données projet'!G88</f>
        <v>25</v>
      </c>
    </row>
    <row r="99" spans="1:4" ht="16.5">
      <c r="A99" s="18" t="str">
        <f>'Données projet'!B89</f>
        <v>TRADIFLOR 2S3</v>
      </c>
      <c r="B99" s="19">
        <f>'Données projet'!F89</f>
        <v>50.401330466666664</v>
      </c>
      <c r="C99" s="20">
        <f t="shared" si="1"/>
        <v>3.0571039010956652E-5</v>
      </c>
      <c r="D99" s="21">
        <f>'Données projet'!G89</f>
        <v>25</v>
      </c>
    </row>
    <row r="100" spans="1:4" ht="16.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ht="16.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ht="16.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ht="16.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ht="16.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ht="16.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ht="16.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ht="16.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ht="16.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ht="16.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ht="16.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ht="16.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ht="16.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ht="16.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7.25" thickBot="1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.75" thickBot="1">
      <c r="A115" s="22" t="s">
        <v>22</v>
      </c>
      <c r="B115" s="23">
        <f>SUM(B23:B114)</f>
        <v>1648662.6590808001</v>
      </c>
      <c r="C115" s="23">
        <f>SUM(C23:C114)</f>
        <v>0.99999999999999989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Q6" sqref="Q6"/>
    </sheetView>
  </sheetViews>
  <sheetFormatPr baseColWidth="10" defaultRowHeight="15"/>
  <cols>
    <col min="1" max="1" width="53" customWidth="1"/>
  </cols>
  <sheetData>
    <row r="3" spans="1:5">
      <c r="A3" s="4" t="s">
        <v>24</v>
      </c>
      <c r="B3" s="6"/>
    </row>
    <row r="5" spans="1:5" ht="16.5">
      <c r="A5" s="15" t="s">
        <v>56</v>
      </c>
      <c r="B5" s="55">
        <f>Calculs!B16*Calculs!B20</f>
        <v>1346.3374253800469</v>
      </c>
    </row>
    <row r="6" spans="1:5" ht="16.5">
      <c r="A6" s="2" t="s">
        <v>25</v>
      </c>
      <c r="B6" s="26">
        <v>0.1</v>
      </c>
    </row>
    <row r="7" spans="1:5">
      <c r="A7" s="57"/>
      <c r="B7" s="57"/>
    </row>
    <row r="8" spans="1:5" ht="24.95" customHeight="1">
      <c r="A8" s="58" t="s">
        <v>58</v>
      </c>
      <c r="B8" s="61">
        <f>B5*(1-B6)</f>
        <v>1211.7036828420421</v>
      </c>
      <c r="D8" s="16"/>
      <c r="E8" s="16"/>
    </row>
    <row r="9" spans="1:5" ht="24.95" customHeight="1">
      <c r="A9" s="59" t="s">
        <v>57</v>
      </c>
      <c r="B9" s="60">
        <f>B8/'Données projet'!C9</f>
        <v>0.19229728985622455</v>
      </c>
      <c r="C9" s="16"/>
    </row>
    <row r="16" spans="1: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2"/>
  <sheetViews>
    <sheetView workbookViewId="0">
      <selection activeCell="B25" sqref="B25"/>
    </sheetView>
  </sheetViews>
  <sheetFormatPr baseColWidth="10" defaultRowHeight="15"/>
  <cols>
    <col min="1" max="1" width="3.140625" customWidth="1"/>
    <col min="2" max="2" width="17.140625" style="88" customWidth="1"/>
    <col min="3" max="3" width="16.28515625" style="89" customWidth="1"/>
    <col min="4" max="4" width="27.5703125" style="89" customWidth="1"/>
  </cols>
  <sheetData>
    <row r="1" spans="2:6" ht="47.25" customHeight="1">
      <c r="B1" s="84" t="s">
        <v>31</v>
      </c>
      <c r="C1" s="85" t="s">
        <v>61</v>
      </c>
      <c r="D1" s="85" t="s">
        <v>62</v>
      </c>
      <c r="F1" t="s">
        <v>63</v>
      </c>
    </row>
    <row r="2" spans="2:6">
      <c r="B2" s="86" t="s">
        <v>64</v>
      </c>
      <c r="C2" s="87" t="s">
        <v>65</v>
      </c>
      <c r="D2" s="87" t="s">
        <v>66</v>
      </c>
      <c r="F2" t="s">
        <v>66</v>
      </c>
    </row>
    <row r="3" spans="2:6">
      <c r="B3" s="86" t="s">
        <v>67</v>
      </c>
      <c r="C3" s="87" t="s">
        <v>68</v>
      </c>
      <c r="D3" s="87" t="s">
        <v>69</v>
      </c>
      <c r="F3" t="s">
        <v>70</v>
      </c>
    </row>
    <row r="4" spans="2:6">
      <c r="B4" s="86" t="s">
        <v>71</v>
      </c>
      <c r="C4" s="87" t="s">
        <v>72</v>
      </c>
      <c r="D4" s="87" t="s">
        <v>66</v>
      </c>
      <c r="F4" t="s">
        <v>73</v>
      </c>
    </row>
    <row r="5" spans="2:6" ht="30">
      <c r="B5" s="86" t="s">
        <v>74</v>
      </c>
      <c r="C5" s="87" t="s">
        <v>75</v>
      </c>
      <c r="D5" s="87" t="s">
        <v>76</v>
      </c>
      <c r="F5" t="s">
        <v>77</v>
      </c>
    </row>
    <row r="6" spans="2:6">
      <c r="B6" s="86" t="s">
        <v>78</v>
      </c>
      <c r="C6" s="87" t="s">
        <v>79</v>
      </c>
      <c r="D6" s="87" t="s">
        <v>76</v>
      </c>
      <c r="F6" t="s">
        <v>80</v>
      </c>
    </row>
    <row r="7" spans="2:6">
      <c r="B7" s="86" t="s">
        <v>81</v>
      </c>
      <c r="C7" s="87" t="s">
        <v>82</v>
      </c>
      <c r="D7" s="87" t="s">
        <v>76</v>
      </c>
      <c r="F7" t="s">
        <v>83</v>
      </c>
    </row>
    <row r="8" spans="2:6">
      <c r="B8" s="86" t="s">
        <v>84</v>
      </c>
      <c r="C8" s="87" t="s">
        <v>85</v>
      </c>
      <c r="D8" s="87" t="s">
        <v>66</v>
      </c>
      <c r="F8" t="s">
        <v>69</v>
      </c>
    </row>
    <row r="9" spans="2:6">
      <c r="B9" s="86" t="s">
        <v>86</v>
      </c>
      <c r="C9" s="87" t="s">
        <v>87</v>
      </c>
      <c r="D9" s="87" t="s">
        <v>83</v>
      </c>
      <c r="F9" t="s">
        <v>88</v>
      </c>
    </row>
    <row r="10" spans="2:6">
      <c r="B10" s="86" t="s">
        <v>89</v>
      </c>
      <c r="C10" s="87" t="s">
        <v>90</v>
      </c>
      <c r="D10" s="87" t="s">
        <v>91</v>
      </c>
      <c r="F10" t="s">
        <v>92</v>
      </c>
    </row>
    <row r="11" spans="2:6">
      <c r="B11" s="86">
        <v>10</v>
      </c>
      <c r="C11" s="87" t="s">
        <v>93</v>
      </c>
      <c r="D11" s="87" t="s">
        <v>83</v>
      </c>
      <c r="F11" t="s">
        <v>94</v>
      </c>
    </row>
    <row r="12" spans="2:6">
      <c r="B12" s="86">
        <v>11</v>
      </c>
      <c r="C12" s="87" t="s">
        <v>95</v>
      </c>
      <c r="D12" s="87" t="s">
        <v>91</v>
      </c>
      <c r="F12" t="s">
        <v>91</v>
      </c>
    </row>
    <row r="13" spans="2:6">
      <c r="B13" s="86">
        <v>12</v>
      </c>
      <c r="C13" s="87" t="s">
        <v>96</v>
      </c>
      <c r="D13" s="87" t="s">
        <v>91</v>
      </c>
      <c r="F13" t="s">
        <v>97</v>
      </c>
    </row>
    <row r="14" spans="2:6" ht="30">
      <c r="B14" s="86">
        <v>13</v>
      </c>
      <c r="C14" s="87" t="s">
        <v>98</v>
      </c>
      <c r="D14" s="87" t="s">
        <v>76</v>
      </c>
      <c r="F14" t="s">
        <v>76</v>
      </c>
    </row>
    <row r="15" spans="2:6">
      <c r="B15" s="86">
        <v>14</v>
      </c>
      <c r="C15" s="87" t="s">
        <v>99</v>
      </c>
      <c r="D15" s="87" t="s">
        <v>92</v>
      </c>
      <c r="F15" t="s">
        <v>100</v>
      </c>
    </row>
    <row r="16" spans="2:6">
      <c r="B16" s="86">
        <v>15</v>
      </c>
      <c r="C16" s="87" t="s">
        <v>101</v>
      </c>
      <c r="D16" s="87" t="s">
        <v>66</v>
      </c>
      <c r="F16" t="s">
        <v>102</v>
      </c>
    </row>
    <row r="17" spans="2:6">
      <c r="B17" s="86">
        <v>16</v>
      </c>
      <c r="C17" s="87" t="s">
        <v>103</v>
      </c>
      <c r="D17" s="87" t="s">
        <v>94</v>
      </c>
      <c r="F17" t="s">
        <v>104</v>
      </c>
    </row>
    <row r="18" spans="2:6" ht="30">
      <c r="B18" s="86">
        <v>17</v>
      </c>
      <c r="C18" s="87" t="s">
        <v>105</v>
      </c>
      <c r="D18" s="87" t="s">
        <v>94</v>
      </c>
      <c r="F18" t="s">
        <v>106</v>
      </c>
    </row>
    <row r="19" spans="2:6">
      <c r="B19" s="86">
        <v>18</v>
      </c>
      <c r="C19" s="87" t="s">
        <v>107</v>
      </c>
      <c r="D19" s="87" t="s">
        <v>77</v>
      </c>
      <c r="F19" t="s">
        <v>108</v>
      </c>
    </row>
    <row r="20" spans="2:6">
      <c r="B20" s="86">
        <v>19</v>
      </c>
      <c r="C20" s="87" t="s">
        <v>109</v>
      </c>
      <c r="D20" s="87" t="s">
        <v>94</v>
      </c>
    </row>
    <row r="21" spans="2:6">
      <c r="B21" s="86" t="s">
        <v>110</v>
      </c>
      <c r="C21" s="87" t="s">
        <v>111</v>
      </c>
      <c r="D21" s="87" t="s">
        <v>80</v>
      </c>
    </row>
    <row r="22" spans="2:6">
      <c r="B22" s="86" t="s">
        <v>112</v>
      </c>
      <c r="C22" s="87" t="s">
        <v>113</v>
      </c>
      <c r="D22" s="87" t="s">
        <v>80</v>
      </c>
    </row>
    <row r="23" spans="2:6">
      <c r="B23" s="86">
        <v>21</v>
      </c>
      <c r="C23" s="87" t="s">
        <v>114</v>
      </c>
      <c r="D23" s="87" t="s">
        <v>70</v>
      </c>
    </row>
    <row r="24" spans="2:6">
      <c r="B24" s="86">
        <v>22</v>
      </c>
      <c r="C24" s="87" t="s">
        <v>115</v>
      </c>
      <c r="D24" s="87" t="s">
        <v>73</v>
      </c>
    </row>
    <row r="25" spans="2:6">
      <c r="B25" s="86">
        <v>23</v>
      </c>
      <c r="C25" s="87" t="s">
        <v>116</v>
      </c>
      <c r="D25" s="87" t="s">
        <v>94</v>
      </c>
    </row>
    <row r="26" spans="2:6">
      <c r="B26" s="86">
        <v>24</v>
      </c>
      <c r="C26" s="87" t="s">
        <v>117</v>
      </c>
      <c r="D26" s="87" t="s">
        <v>94</v>
      </c>
    </row>
    <row r="27" spans="2:6">
      <c r="B27" s="86">
        <v>25</v>
      </c>
      <c r="C27" s="87" t="s">
        <v>118</v>
      </c>
      <c r="D27" s="87" t="s">
        <v>70</v>
      </c>
    </row>
    <row r="28" spans="2:6">
      <c r="B28" s="86">
        <v>26</v>
      </c>
      <c r="C28" s="87" t="s">
        <v>119</v>
      </c>
      <c r="D28" s="87" t="s">
        <v>66</v>
      </c>
    </row>
    <row r="29" spans="2:6">
      <c r="B29" s="86">
        <v>27</v>
      </c>
      <c r="C29" s="87" t="s">
        <v>120</v>
      </c>
      <c r="D29" s="87" t="s">
        <v>92</v>
      </c>
    </row>
    <row r="30" spans="2:6">
      <c r="B30" s="86">
        <v>28</v>
      </c>
      <c r="C30" s="87" t="s">
        <v>121</v>
      </c>
      <c r="D30" s="87" t="s">
        <v>77</v>
      </c>
    </row>
    <row r="31" spans="2:6">
      <c r="B31" s="86">
        <v>29</v>
      </c>
      <c r="C31" s="87" t="s">
        <v>122</v>
      </c>
      <c r="D31" s="87" t="s">
        <v>73</v>
      </c>
    </row>
    <row r="32" spans="2:6">
      <c r="B32" s="86">
        <v>30</v>
      </c>
      <c r="C32" s="87" t="s">
        <v>123</v>
      </c>
      <c r="D32" s="87" t="s">
        <v>91</v>
      </c>
    </row>
    <row r="33" spans="2:4">
      <c r="B33" s="86">
        <v>31</v>
      </c>
      <c r="C33" s="87" t="s">
        <v>124</v>
      </c>
      <c r="D33" s="87" t="s">
        <v>91</v>
      </c>
    </row>
    <row r="34" spans="2:4">
      <c r="B34" s="86">
        <v>32</v>
      </c>
      <c r="C34" s="87" t="s">
        <v>125</v>
      </c>
      <c r="D34" s="87" t="s">
        <v>91</v>
      </c>
    </row>
    <row r="35" spans="2:4">
      <c r="B35" s="86">
        <v>33</v>
      </c>
      <c r="C35" s="87" t="s">
        <v>126</v>
      </c>
      <c r="D35" s="87" t="s">
        <v>94</v>
      </c>
    </row>
    <row r="36" spans="2:4">
      <c r="B36" s="86">
        <v>34</v>
      </c>
      <c r="C36" s="87" t="s">
        <v>127</v>
      </c>
      <c r="D36" s="87" t="s">
        <v>91</v>
      </c>
    </row>
    <row r="37" spans="2:4">
      <c r="B37" s="86">
        <v>35</v>
      </c>
      <c r="C37" s="87" t="s">
        <v>128</v>
      </c>
      <c r="D37" s="87" t="s">
        <v>73</v>
      </c>
    </row>
    <row r="38" spans="2:4">
      <c r="B38" s="86">
        <v>36</v>
      </c>
      <c r="C38" s="87" t="s">
        <v>129</v>
      </c>
      <c r="D38" s="87" t="s">
        <v>77</v>
      </c>
    </row>
    <row r="39" spans="2:4">
      <c r="B39" s="86">
        <v>37</v>
      </c>
      <c r="C39" s="87" t="s">
        <v>130</v>
      </c>
      <c r="D39" s="87" t="s">
        <v>77</v>
      </c>
    </row>
    <row r="40" spans="2:4">
      <c r="B40" s="86">
        <v>38</v>
      </c>
      <c r="C40" s="87" t="s">
        <v>131</v>
      </c>
      <c r="D40" s="87" t="s">
        <v>66</v>
      </c>
    </row>
    <row r="41" spans="2:4">
      <c r="B41" s="86">
        <v>39</v>
      </c>
      <c r="C41" s="87" t="s">
        <v>132</v>
      </c>
      <c r="D41" s="87" t="s">
        <v>70</v>
      </c>
    </row>
    <row r="42" spans="2:4">
      <c r="B42" s="86">
        <v>40</v>
      </c>
      <c r="C42" s="87" t="s">
        <v>133</v>
      </c>
      <c r="D42" s="87" t="s">
        <v>94</v>
      </c>
    </row>
    <row r="43" spans="2:4">
      <c r="B43" s="86">
        <v>41</v>
      </c>
      <c r="C43" s="87" t="s">
        <v>134</v>
      </c>
      <c r="D43" s="87" t="s">
        <v>77</v>
      </c>
    </row>
    <row r="44" spans="2:4">
      <c r="B44" s="86">
        <v>42</v>
      </c>
      <c r="C44" s="87" t="s">
        <v>135</v>
      </c>
      <c r="D44" s="87" t="s">
        <v>66</v>
      </c>
    </row>
    <row r="45" spans="2:4">
      <c r="B45" s="86">
        <v>43</v>
      </c>
      <c r="C45" s="87" t="s">
        <v>136</v>
      </c>
      <c r="D45" s="87" t="s">
        <v>66</v>
      </c>
    </row>
    <row r="46" spans="2:4">
      <c r="B46" s="86">
        <v>44</v>
      </c>
      <c r="C46" s="87" t="s">
        <v>137</v>
      </c>
      <c r="D46" s="87" t="s">
        <v>97</v>
      </c>
    </row>
    <row r="47" spans="2:4">
      <c r="B47" s="86">
        <v>45</v>
      </c>
      <c r="C47" s="87" t="s">
        <v>138</v>
      </c>
      <c r="D47" s="87" t="s">
        <v>77</v>
      </c>
    </row>
    <row r="48" spans="2:4">
      <c r="B48" s="86">
        <v>46</v>
      </c>
      <c r="C48" s="87" t="s">
        <v>139</v>
      </c>
      <c r="D48" s="87" t="s">
        <v>91</v>
      </c>
    </row>
    <row r="49" spans="2:4">
      <c r="B49" s="86">
        <v>47</v>
      </c>
      <c r="C49" s="87" t="s">
        <v>140</v>
      </c>
      <c r="D49" s="87" t="s">
        <v>94</v>
      </c>
    </row>
    <row r="50" spans="2:4">
      <c r="B50" s="86">
        <v>48</v>
      </c>
      <c r="C50" s="87" t="s">
        <v>141</v>
      </c>
      <c r="D50" s="87" t="s">
        <v>91</v>
      </c>
    </row>
    <row r="51" spans="2:4">
      <c r="B51" s="86">
        <v>49</v>
      </c>
      <c r="C51" s="87" t="s">
        <v>142</v>
      </c>
      <c r="D51" s="87" t="s">
        <v>97</v>
      </c>
    </row>
    <row r="52" spans="2:4">
      <c r="B52" s="86">
        <v>50</v>
      </c>
      <c r="C52" s="87" t="s">
        <v>143</v>
      </c>
      <c r="D52" s="87" t="s">
        <v>92</v>
      </c>
    </row>
    <row r="53" spans="2:4">
      <c r="B53" s="86">
        <v>51</v>
      </c>
      <c r="C53" s="87" t="s">
        <v>144</v>
      </c>
      <c r="D53" s="87" t="s">
        <v>83</v>
      </c>
    </row>
    <row r="54" spans="2:4">
      <c r="B54" s="86">
        <v>52</v>
      </c>
      <c r="C54" s="87" t="s">
        <v>145</v>
      </c>
      <c r="D54" s="87" t="s">
        <v>83</v>
      </c>
    </row>
    <row r="55" spans="2:4">
      <c r="B55" s="86">
        <v>53</v>
      </c>
      <c r="C55" s="87" t="s">
        <v>146</v>
      </c>
      <c r="D55" s="87" t="s">
        <v>97</v>
      </c>
    </row>
    <row r="56" spans="2:4" ht="30">
      <c r="B56" s="86">
        <v>54</v>
      </c>
      <c r="C56" s="87" t="s">
        <v>147</v>
      </c>
      <c r="D56" s="87" t="s">
        <v>83</v>
      </c>
    </row>
    <row r="57" spans="2:4">
      <c r="B57" s="86">
        <v>55</v>
      </c>
      <c r="C57" s="87" t="s">
        <v>148</v>
      </c>
      <c r="D57" s="87" t="s">
        <v>83</v>
      </c>
    </row>
    <row r="58" spans="2:4">
      <c r="B58" s="86">
        <v>56</v>
      </c>
      <c r="C58" s="87" t="s">
        <v>149</v>
      </c>
      <c r="D58" s="87" t="s">
        <v>73</v>
      </c>
    </row>
    <row r="59" spans="2:4">
      <c r="B59" s="86">
        <v>57</v>
      </c>
      <c r="C59" s="87" t="s">
        <v>150</v>
      </c>
      <c r="D59" s="87" t="s">
        <v>83</v>
      </c>
    </row>
    <row r="60" spans="2:4">
      <c r="B60" s="86">
        <v>58</v>
      </c>
      <c r="C60" s="87" t="s">
        <v>151</v>
      </c>
      <c r="D60" s="87" t="s">
        <v>70</v>
      </c>
    </row>
    <row r="61" spans="2:4">
      <c r="B61" s="86">
        <v>59</v>
      </c>
      <c r="C61" s="87" t="s">
        <v>152</v>
      </c>
      <c r="D61" s="87" t="s">
        <v>69</v>
      </c>
    </row>
    <row r="62" spans="2:4">
      <c r="B62" s="86">
        <v>60</v>
      </c>
      <c r="C62" s="87" t="s">
        <v>153</v>
      </c>
      <c r="D62" s="87" t="s">
        <v>69</v>
      </c>
    </row>
    <row r="63" spans="2:4">
      <c r="B63" s="86">
        <v>61</v>
      </c>
      <c r="C63" s="87" t="s">
        <v>154</v>
      </c>
      <c r="D63" s="87" t="s">
        <v>92</v>
      </c>
    </row>
    <row r="64" spans="2:4">
      <c r="B64" s="86">
        <v>62</v>
      </c>
      <c r="C64" s="87" t="s">
        <v>155</v>
      </c>
      <c r="D64" s="87" t="s">
        <v>69</v>
      </c>
    </row>
    <row r="65" spans="2:4">
      <c r="B65" s="86">
        <v>63</v>
      </c>
      <c r="C65" s="87" t="s">
        <v>156</v>
      </c>
      <c r="D65" s="87" t="s">
        <v>66</v>
      </c>
    </row>
    <row r="66" spans="2:4" ht="30">
      <c r="B66" s="86">
        <v>64</v>
      </c>
      <c r="C66" s="87" t="s">
        <v>157</v>
      </c>
      <c r="D66" s="87" t="s">
        <v>94</v>
      </c>
    </row>
    <row r="67" spans="2:4">
      <c r="B67" s="86">
        <v>65</v>
      </c>
      <c r="C67" s="87" t="s">
        <v>158</v>
      </c>
      <c r="D67" s="87" t="s">
        <v>91</v>
      </c>
    </row>
    <row r="68" spans="2:4" ht="30">
      <c r="B68" s="86">
        <v>66</v>
      </c>
      <c r="C68" s="87" t="s">
        <v>159</v>
      </c>
      <c r="D68" s="87" t="s">
        <v>91</v>
      </c>
    </row>
    <row r="69" spans="2:4">
      <c r="B69" s="86">
        <v>67</v>
      </c>
      <c r="C69" s="87" t="s">
        <v>160</v>
      </c>
      <c r="D69" s="87" t="s">
        <v>83</v>
      </c>
    </row>
    <row r="70" spans="2:4">
      <c r="B70" s="86">
        <v>68</v>
      </c>
      <c r="C70" s="87" t="s">
        <v>161</v>
      </c>
      <c r="D70" s="87" t="s">
        <v>83</v>
      </c>
    </row>
    <row r="71" spans="2:4">
      <c r="B71" s="86">
        <v>69</v>
      </c>
      <c r="C71" s="87" t="s">
        <v>162</v>
      </c>
      <c r="D71" s="87" t="s">
        <v>66</v>
      </c>
    </row>
    <row r="72" spans="2:4">
      <c r="B72" s="86">
        <v>70</v>
      </c>
      <c r="C72" s="87" t="s">
        <v>163</v>
      </c>
      <c r="D72" s="87" t="s">
        <v>70</v>
      </c>
    </row>
    <row r="73" spans="2:4">
      <c r="B73" s="86">
        <v>71</v>
      </c>
      <c r="C73" s="87" t="s">
        <v>164</v>
      </c>
      <c r="D73" s="87" t="s">
        <v>70</v>
      </c>
    </row>
    <row r="74" spans="2:4">
      <c r="B74" s="86">
        <v>72</v>
      </c>
      <c r="C74" s="87" t="s">
        <v>165</v>
      </c>
      <c r="D74" s="87" t="s">
        <v>97</v>
      </c>
    </row>
    <row r="75" spans="2:4">
      <c r="B75" s="86">
        <v>73</v>
      </c>
      <c r="C75" s="87" t="s">
        <v>166</v>
      </c>
      <c r="D75" s="87" t="s">
        <v>66</v>
      </c>
    </row>
    <row r="76" spans="2:4">
      <c r="B76" s="86">
        <v>74</v>
      </c>
      <c r="C76" s="87" t="s">
        <v>167</v>
      </c>
      <c r="D76" s="87" t="s">
        <v>66</v>
      </c>
    </row>
    <row r="77" spans="2:4">
      <c r="B77" s="86">
        <v>75</v>
      </c>
      <c r="C77" s="87" t="s">
        <v>168</v>
      </c>
      <c r="D77" s="87" t="s">
        <v>88</v>
      </c>
    </row>
    <row r="78" spans="2:4">
      <c r="B78" s="86">
        <v>76</v>
      </c>
      <c r="C78" s="87" t="s">
        <v>169</v>
      </c>
      <c r="D78" s="87" t="s">
        <v>92</v>
      </c>
    </row>
    <row r="79" spans="2:4">
      <c r="B79" s="86">
        <v>77</v>
      </c>
      <c r="C79" s="87" t="s">
        <v>170</v>
      </c>
      <c r="D79" s="87" t="s">
        <v>88</v>
      </c>
    </row>
    <row r="80" spans="2:4">
      <c r="B80" s="86">
        <v>78</v>
      </c>
      <c r="C80" s="87" t="s">
        <v>171</v>
      </c>
      <c r="D80" s="87" t="s">
        <v>88</v>
      </c>
    </row>
    <row r="81" spans="2:4">
      <c r="B81" s="86">
        <v>79</v>
      </c>
      <c r="C81" s="87" t="s">
        <v>172</v>
      </c>
      <c r="D81" s="87" t="s">
        <v>94</v>
      </c>
    </row>
    <row r="82" spans="2:4">
      <c r="B82" s="86">
        <v>80</v>
      </c>
      <c r="C82" s="87" t="s">
        <v>173</v>
      </c>
      <c r="D82" s="87" t="s">
        <v>69</v>
      </c>
    </row>
    <row r="83" spans="2:4">
      <c r="B83" s="86">
        <v>81</v>
      </c>
      <c r="C83" s="87" t="s">
        <v>174</v>
      </c>
      <c r="D83" s="87" t="s">
        <v>91</v>
      </c>
    </row>
    <row r="84" spans="2:4">
      <c r="B84" s="86">
        <v>82</v>
      </c>
      <c r="C84" s="87" t="s">
        <v>175</v>
      </c>
      <c r="D84" s="87" t="s">
        <v>91</v>
      </c>
    </row>
    <row r="85" spans="2:4">
      <c r="B85" s="86">
        <v>83</v>
      </c>
      <c r="C85" s="87" t="s">
        <v>176</v>
      </c>
      <c r="D85" s="87" t="s">
        <v>76</v>
      </c>
    </row>
    <row r="86" spans="2:4">
      <c r="B86" s="86">
        <v>84</v>
      </c>
      <c r="C86" s="87" t="s">
        <v>177</v>
      </c>
      <c r="D86" s="87" t="s">
        <v>76</v>
      </c>
    </row>
    <row r="87" spans="2:4">
      <c r="B87" s="86">
        <v>85</v>
      </c>
      <c r="C87" s="87" t="s">
        <v>178</v>
      </c>
      <c r="D87" s="87" t="s">
        <v>97</v>
      </c>
    </row>
    <row r="88" spans="2:4">
      <c r="B88" s="86">
        <v>86</v>
      </c>
      <c r="C88" s="87" t="s">
        <v>179</v>
      </c>
      <c r="D88" s="87" t="s">
        <v>94</v>
      </c>
    </row>
    <row r="89" spans="2:4">
      <c r="B89" s="86">
        <v>87</v>
      </c>
      <c r="C89" s="87" t="s">
        <v>180</v>
      </c>
      <c r="D89" s="87" t="s">
        <v>94</v>
      </c>
    </row>
    <row r="90" spans="2:4">
      <c r="B90" s="86">
        <v>88</v>
      </c>
      <c r="C90" s="87" t="s">
        <v>181</v>
      </c>
      <c r="D90" s="87" t="s">
        <v>83</v>
      </c>
    </row>
    <row r="91" spans="2:4">
      <c r="B91" s="86">
        <v>89</v>
      </c>
      <c r="C91" s="87" t="s">
        <v>182</v>
      </c>
      <c r="D91" s="87" t="s">
        <v>70</v>
      </c>
    </row>
    <row r="92" spans="2:4" ht="30">
      <c r="B92" s="86">
        <v>90</v>
      </c>
      <c r="C92" s="87" t="s">
        <v>183</v>
      </c>
      <c r="D92" s="87" t="s">
        <v>70</v>
      </c>
    </row>
    <row r="93" spans="2:4">
      <c r="B93" s="86">
        <v>91</v>
      </c>
      <c r="C93" s="87" t="s">
        <v>184</v>
      </c>
      <c r="D93" s="87" t="s">
        <v>88</v>
      </c>
    </row>
    <row r="94" spans="2:4">
      <c r="B94" s="86">
        <v>92</v>
      </c>
      <c r="C94" s="87" t="s">
        <v>185</v>
      </c>
      <c r="D94" s="87" t="s">
        <v>88</v>
      </c>
    </row>
    <row r="95" spans="2:4">
      <c r="B95" s="86">
        <v>93</v>
      </c>
      <c r="C95" s="87" t="s">
        <v>186</v>
      </c>
      <c r="D95" s="87" t="s">
        <v>88</v>
      </c>
    </row>
    <row r="96" spans="2:4">
      <c r="B96" s="86">
        <v>94</v>
      </c>
      <c r="C96" s="87" t="s">
        <v>187</v>
      </c>
      <c r="D96" s="87" t="s">
        <v>88</v>
      </c>
    </row>
    <row r="97" spans="2:4">
      <c r="B97" s="86">
        <v>95</v>
      </c>
      <c r="C97" s="87" t="s">
        <v>188</v>
      </c>
      <c r="D97" s="87" t="s">
        <v>88</v>
      </c>
    </row>
    <row r="98" spans="2:4">
      <c r="B98" s="86">
        <v>971</v>
      </c>
      <c r="C98" s="87" t="s">
        <v>100</v>
      </c>
      <c r="D98" s="87" t="s">
        <v>100</v>
      </c>
    </row>
    <row r="99" spans="2:4">
      <c r="B99" s="86">
        <v>972</v>
      </c>
      <c r="C99" s="87" t="s">
        <v>102</v>
      </c>
      <c r="D99" s="87" t="s">
        <v>102</v>
      </c>
    </row>
    <row r="100" spans="2:4">
      <c r="B100" s="86">
        <v>973</v>
      </c>
      <c r="C100" s="87" t="s">
        <v>104</v>
      </c>
      <c r="D100" s="87" t="s">
        <v>104</v>
      </c>
    </row>
    <row r="101" spans="2:4">
      <c r="B101" s="86">
        <v>974</v>
      </c>
      <c r="C101" s="87" t="s">
        <v>106</v>
      </c>
      <c r="D101" s="87" t="s">
        <v>106</v>
      </c>
    </row>
    <row r="102" spans="2:4">
      <c r="B102" s="86">
        <v>976</v>
      </c>
      <c r="C102" s="87" t="s">
        <v>108</v>
      </c>
      <c r="D102" s="87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52ae6ce5fe48d585b4ce219bb73d0e xmlns="95235cfd-2d18-42eb-8ffc-01f090d3b392">
      <Terms xmlns="http://schemas.microsoft.com/office/infopath/2007/PartnerControls"/>
    </n052ae6ce5fe48d585b4ce219bb73d0e>
    <b7665f99c0fe44919cb3218cc8e5302c xmlns="95235cfd-2d18-42eb-8ffc-01f090d3b3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 00 A classer</TermName>
          <TermId xmlns="http://schemas.microsoft.com/office/infopath/2007/PartnerControls">06ef1ee2-e7bf-4474-9d1e-c5fbf4f3b42b</TermId>
        </TermInfo>
      </Terms>
    </b7665f99c0fe44919cb3218cc8e5302c>
    <TaxCatchAll xmlns="95235cfd-2d18-42eb-8ffc-01f090d3b392">
      <Value>4</Value>
      <Value>3</Value>
      <Value>2</Value>
      <Value>1</Value>
    </TaxCatchAll>
    <ComUnityFolder xmlns="95235cfd-2d18-42eb-8ffc-01f090d3b392">
      <Url xsi:nil="true"/>
      <Description xsi:nil="true"/>
    </ComUnityFolder>
    <b1c94e71d43e47329629adb2299a7407 xmlns="95235cfd-2d18-42eb-8ffc-01f090d3b3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Projets</TermName>
          <TermId xmlns="http://schemas.microsoft.com/office/infopath/2007/PartnerControls">b7cc1373-d160-4aa3-bf26-3372b93dfcbf</TermId>
        </TermInfo>
      </Terms>
    </b1c94e71d43e47329629adb2299a7407>
    <aa574486944c4b4183531de588537b4d xmlns="95235cfd-2d18-42eb-8ffc-01f090d3b3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Interne</TermName>
          <TermId xmlns="http://schemas.microsoft.com/office/infopath/2007/PartnerControls">86d58d27-cc8e-4bfd-a785-ea3ef4347509</TermId>
        </TermInfo>
      </Terms>
    </aa574486944c4b4183531de588537b4d>
    <bc25f8494e694b549ba275b5de656855 xmlns="95235cfd-2d18-42eb-8ffc-01f090d3b3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ELAN</TermName>
          <TermId xmlns="http://schemas.microsoft.com/office/infopath/2007/PartnerControls">aafceb57-0038-48c9-b4f7-756239f60e40</TermId>
        </TermInfo>
      </Terms>
    </bc25f8494e694b549ba275b5de656855>
    <_dlc_DocId xmlns="38a211ea-c4be-409c-9bb3-d3407505d2eb">CWKSP-2043316219-5536</_dlc_DocId>
    <_dlc_DocIdUrl xmlns="38a211ea-c4be-409c-9bb3-d3407505d2eb">
      <Url>https://bouyguesconstruction.sharepoint.com/sites/ELANRejeneo/_layouts/15/DocIdRedir.aspx?ID=CWKSP-2043316219-5536</Url>
      <Description>CWKSP-2043316219-5536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 BYCN" ma:contentTypeID="0x01010004BBCBFDEBB3864BA0EFED7044CA4B28010055D60DFB8672564F8AADD208F1A66D75" ma:contentTypeVersion="5" ma:contentTypeDescription="Crée un document." ma:contentTypeScope="" ma:versionID="933b37100798c988ee4af6c1aec88bc7">
  <xsd:schema xmlns:xsd="http://www.w3.org/2001/XMLSchema" xmlns:xs="http://www.w3.org/2001/XMLSchema" xmlns:p="http://schemas.microsoft.com/office/2006/metadata/properties" xmlns:ns2="95235cfd-2d18-42eb-8ffc-01f090d3b392" xmlns:ns3="38a211ea-c4be-409c-9bb3-d3407505d2eb" targetNamespace="http://schemas.microsoft.com/office/2006/metadata/properties" ma:root="true" ma:fieldsID="cbde4a1c869e82986b8e686c688f81cf" ns2:_="" ns3:_="">
    <xsd:import namespace="95235cfd-2d18-42eb-8ffc-01f090d3b392"/>
    <xsd:import namespace="38a211ea-c4be-409c-9bb3-d3407505d2eb"/>
    <xsd:element name="properties">
      <xsd:complexType>
        <xsd:sequence>
          <xsd:element name="documentManagement">
            <xsd:complexType>
              <xsd:all>
                <xsd:element ref="ns2:b7665f99c0fe44919cb3218cc8e5302c" minOccurs="0"/>
                <xsd:element ref="ns2:TaxCatchAll" minOccurs="0"/>
                <xsd:element ref="ns2:TaxCatchAllLabel" minOccurs="0"/>
                <xsd:element ref="ns2:ComUnityFolder" minOccurs="0"/>
                <xsd:element ref="ns2:bc25f8494e694b549ba275b5de656855" minOccurs="0"/>
                <xsd:element ref="ns2:b1c94e71d43e47329629adb2299a7407" minOccurs="0"/>
                <xsd:element ref="ns2:n052ae6ce5fe48d585b4ce219bb73d0e" minOccurs="0"/>
                <xsd:element ref="ns2:aa574486944c4b4183531de588537b4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5cfd-2d18-42eb-8ffc-01f090d3b392" elementFormDefault="qualified">
    <xsd:import namespace="http://schemas.microsoft.com/office/2006/documentManagement/types"/>
    <xsd:import namespace="http://schemas.microsoft.com/office/infopath/2007/PartnerControls"/>
    <xsd:element name="b7665f99c0fe44919cb3218cc8e5302c" ma:index="8" nillable="true" ma:taxonomy="true" ma:internalName="b7665f99c0fe44919cb3218cc8e5302c" ma:taxonomyFieldName="ArchiveClassificationPlan" ma:displayName="Plan de classification d'Archivage" ma:default="1;#00 00 A classer|06ef1ee2-e7bf-4474-9d1e-c5fbf4f3b42b" ma:fieldId="{b7665f99-c0fe-4491-9cb3-218cc8e5302c}" ma:sspId="18ace0e7-60a4-4acf-87da-1c47a991bb86" ma:termSetId="26353664-7461-4f07-87dd-daa2874ea8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1f944dd-2d10-4a99-b4e6-da7bd786839c}" ma:internalName="TaxCatchAll" ma:showField="CatchAllData" ma:web="38a211ea-c4be-409c-9bb3-d3407505d2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1f944dd-2d10-4a99-b4e6-da7bd786839c}" ma:internalName="TaxCatchAllLabel" ma:readOnly="true" ma:showField="CatchAllDataLabel" ma:web="38a211ea-c4be-409c-9bb3-d3407505d2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UnityFolder" ma:index="12" nillable="true" ma:displayName="Dossier" ma:internalName="ComUnityFold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c25f8494e694b549ba275b5de656855" ma:index="13" nillable="true" ma:taxonomy="true" ma:internalName="bc25f8494e694b549ba275b5de656855" ma:taxonomyFieldName="Organisation" ma:displayName="Organisation" ma:fieldId="{bc25f849-4e69-4b54-9ba2-75b5de656855}" ma:sspId="18ace0e7-60a4-4acf-87da-1c47a991bb86" ma:termSetId="45cd4057-b767-4ebf-98f6-4028b8e5b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c94e71d43e47329629adb2299a7407" ma:index="15" nillable="true" ma:taxonomy="true" ma:internalName="b1c94e71d43e47329629adb2299a7407" ma:taxonomyFieldName="WorkspaceClassification" ma:displayName="Famille" ma:fieldId="{b1c94e71-d43e-4732-9629-adb2299a7407}" ma:sspId="18ace0e7-60a4-4acf-87da-1c47a991bb86" ma:termSetId="22f1860e-f59a-4db1-b21a-a41c5c8ed1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52ae6ce5fe48d585b4ce219bb73d0e" ma:index="17" nillable="true" ma:taxonomy="true" ma:internalName="n052ae6ce5fe48d585b4ce219bb73d0e" ma:taxonomyFieldName="SupportServices" ma:displayName="Filière" ma:fieldId="{7052ae6c-e5fe-48d5-85b4-ce219bb73d0e}" ma:sspId="18ace0e7-60a4-4acf-87da-1c47a991bb86" ma:termSetId="813098a9-32ee-4127-b4ec-488cb7a254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574486944c4b4183531de588537b4d" ma:index="19" nillable="true" ma:taxonomy="true" ma:internalName="aa574486944c4b4183531de588537b4d" ma:taxonomyFieldName="ClassificationLevel" ma:displayName="Niveau de classification" ma:fieldId="{aa574486-944c-4b41-8353-1de588537b4d}" ma:sspId="18ace0e7-60a4-4acf-87da-1c47a991bb86" ma:termSetId="b84a82df-7dfe-42a8-9650-82042eeb9fd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211ea-c4be-409c-9bb3-d3407505d2eb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18ace0e7-60a4-4acf-87da-1c47a991bb86" ContentTypeId="0x01010004BBCBFDEBB3864BA0EFED7044CA4B2801" PreviousValue="false" LastSyncTimeStamp="2019-08-12T06:53:30.573Z"/>
</file>

<file path=customXml/itemProps1.xml><?xml version="1.0" encoding="utf-8"?>
<ds:datastoreItem xmlns:ds="http://schemas.openxmlformats.org/officeDocument/2006/customXml" ds:itemID="{D678EBF4-84E0-476F-B210-F861E16E5C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73B4B64-FE92-44F3-95C2-D067A08B0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4B150-2A10-45BA-9C97-EEFA1AADBADD}">
  <ds:schemaRefs>
    <ds:schemaRef ds:uri="http://schemas.microsoft.com/office/2006/metadata/properties"/>
    <ds:schemaRef ds:uri="http://schemas.microsoft.com/office/infopath/2007/PartnerControls"/>
    <ds:schemaRef ds:uri="95235cfd-2d18-42eb-8ffc-01f090d3b392"/>
    <ds:schemaRef ds:uri="38a211ea-c4be-409c-9bb3-d3407505d2eb"/>
  </ds:schemaRefs>
</ds:datastoreItem>
</file>

<file path=customXml/itemProps4.xml><?xml version="1.0" encoding="utf-8"?>
<ds:datastoreItem xmlns:ds="http://schemas.openxmlformats.org/officeDocument/2006/customXml" ds:itemID="{4E111872-848F-4F8E-B6DC-8D2C23B16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35cfd-2d18-42eb-8ffc-01f090d3b392"/>
    <ds:schemaRef ds:uri="38a211ea-c4be-409c-9bb3-d3407505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674A058-4BF1-4201-9E26-8E4A453AF37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Accueil</vt:lpstr>
      <vt:lpstr>Général</vt:lpstr>
      <vt:lpstr>Données projet</vt:lpstr>
      <vt:lpstr>Calculs</vt:lpstr>
      <vt:lpstr>Recapitulatif</vt:lpstr>
      <vt:lpstr>données-listes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FLON, Inès</cp:lastModifiedBy>
  <dcterms:created xsi:type="dcterms:W3CDTF">2022-11-27T09:06:28Z</dcterms:created>
  <dcterms:modified xsi:type="dcterms:W3CDTF">2026-02-10T12:38:26Z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0x01010004BBCBFDEBB3864BA0EFED7044CA4B28010055D60DFB8672564F8AADD208F1A66D75</vt:lpwstr>
  </property>
  <property fmtid="{D5CDD505-2E9C-101B-9397-08002B2CF9AE}" pid="3" name="_dlc_DocIdItemGuid">
    <vt:lpwstr>33023b9a-123d-4e03-85cd-3aa754fb5476</vt:lpwstr>
  </property>
  <property fmtid="{D5CDD505-2E9C-101B-9397-08002B2CF9AE}" pid="4" name="ArchiveClassificationPlan">
    <vt:lpwstr>1;#00 00 A classer|06ef1ee2-e7bf-4474-9d1e-c5fbf4f3b42b</vt:lpwstr>
  </property>
  <property fmtid="{D5CDD505-2E9C-101B-9397-08002B2CF9AE}" pid="5" name="ClassificationLevel">
    <vt:lpwstr>4;#Interne|86d58d27-cc8e-4bfd-a785-ea3ef4347509</vt:lpwstr>
  </property>
  <property fmtid="{D5CDD505-2E9C-101B-9397-08002B2CF9AE}" pid="6" name="SupportServices">
    <vt:lpwstr/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WorkspaceClassification">
    <vt:lpwstr>2;#Projets|b7cc1373-d160-4aa3-bf26-3372b93dfcbf</vt:lpwstr>
  </property>
  <property fmtid="{D5CDD505-2E9C-101B-9397-08002B2CF9AE}" pid="10" name="Organisation">
    <vt:lpwstr>3;#ELAN|aafceb57-0038-48c9-b4f7-756239f60e40</vt:lpwstr>
  </property>
</Properties>
</file>