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B12" i="1" l="1"/>
  <c r="B8" i="1" l="1"/>
  <c r="B19" i="1" l="1"/>
  <c r="B17" i="1"/>
  <c r="B6" i="1" l="1"/>
  <c r="B5" i="1" l="1"/>
  <c r="B4" i="1" l="1"/>
  <c r="B3" i="1" l="1"/>
  <c r="B10" i="1" l="1"/>
  <c r="B9" i="1" l="1"/>
  <c r="B7" i="1" l="1"/>
  <c r="B15" i="1" l="1"/>
  <c r="B16" i="1" s="1"/>
  <c r="K4" i="1" l="1"/>
  <c r="K6" i="1"/>
  <c r="K9" i="1"/>
  <c r="K5" i="1"/>
  <c r="K7" i="1"/>
  <c r="K8" i="1"/>
  <c r="K10" i="1"/>
  <c r="K3" i="1"/>
  <c r="K12" i="1"/>
  <c r="K11" i="1"/>
  <c r="G8" i="1" l="1"/>
  <c r="G7" i="1" l="1"/>
  <c r="G6" i="1" l="1"/>
  <c r="G10" i="1" l="1"/>
  <c r="G5" i="1" l="1"/>
  <c r="F11" i="1" l="1"/>
  <c r="B11" i="1"/>
  <c r="G9" i="1" l="1"/>
  <c r="H5" i="1" l="1"/>
  <c r="L5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6" i="1"/>
  <c r="L6" i="1" s="1"/>
  <c r="D5" i="1"/>
  <c r="D6" i="1"/>
  <c r="D7" i="1"/>
  <c r="D8" i="1"/>
  <c r="D9" i="1"/>
  <c r="D10" i="1"/>
  <c r="D11" i="1"/>
  <c r="D12" i="1"/>
  <c r="G3" i="1" l="1"/>
  <c r="B20" i="1" l="1"/>
  <c r="B21" i="1" s="1"/>
  <c r="B18" i="1" l="1"/>
  <c r="D3" i="1"/>
  <c r="H3" i="1" s="1"/>
  <c r="L3" i="1" s="1"/>
  <c r="D4" i="1" l="1"/>
  <c r="H4" i="1" s="1"/>
  <c r="L4" i="1" s="1"/>
  <c r="L13" i="1" s="1"/>
</calcChain>
</file>

<file path=xl/sharedStrings.xml><?xml version="1.0" encoding="utf-8"?>
<sst xmlns="http://schemas.openxmlformats.org/spreadsheetml/2006/main" count="30" uniqueCount="30">
  <si>
    <t>REA forêt</t>
  </si>
  <si>
    <t>REA produits</t>
  </si>
  <si>
    <t>REI substitution</t>
  </si>
  <si>
    <t>REE</t>
  </si>
  <si>
    <t>Sol</t>
  </si>
  <si>
    <t>Litière</t>
  </si>
  <si>
    <t>Bois mort</t>
  </si>
  <si>
    <t>Boisement chêne rouge d'Amérique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</si>
  <si>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</si>
  <si>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</si>
  <si>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</si>
  <si>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</si>
  <si>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</si>
  <si>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</si>
  <si>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</si>
  <si>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</si>
  <si>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</si>
  <si>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</si>
  <si>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</si>
  <si>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</si>
  <si>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</si>
  <si>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Boisement chêne sessile</t>
  </si>
  <si>
    <t>Boisement noyer noir d'Amérique</t>
  </si>
  <si>
    <t>Boisement cormier</t>
  </si>
  <si>
    <t>Boisement alisier torminal</t>
  </si>
  <si>
    <t>Boisement micocoulier</t>
  </si>
  <si>
    <t>Boisement merisier</t>
  </si>
  <si>
    <t>Boisement pin maritime</t>
  </si>
  <si>
    <t>Boisement cèdre de l'Atlas</t>
  </si>
  <si>
    <t>Boisement tilleul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</si>
</sst>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ch&#234;n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micocoulie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micocouli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merisie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merisi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tilleu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tilleu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pin%20maritim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c&#232;dr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pin%20mariti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ch&#234;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ch&#234;ne%20roug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noy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noy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cormi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cormi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alisier%20torm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CI_OG/Documents/Olivier/Forest%20CO2/C6%20&amp;%20C7%20-%20Projets%20carbone/81%20-%20R&#233;seau%20La%20Poste%20(EPLEFPA%20Tarn)/Dossier%20labellisation/Document%2010%20-%20Quantification%20CO2%20alisier%20torm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V7">
            <v>24.926183222874499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V7">
            <v>17.185122197311557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6">
          <cell r="T6">
            <v>127.42077334802009</v>
          </cell>
        </row>
        <row r="14">
          <cell r="T14">
            <v>7.25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</sheetNames>
    <sheetDataSet>
      <sheetData sheetId="0"/>
      <sheetData sheetId="1">
        <row r="7">
          <cell r="V7">
            <v>112.58307577792053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T7">
            <v>228.48738729114029</v>
          </cell>
        </row>
        <row r="14">
          <cell r="T14">
            <v>13.75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</sheetNames>
    <sheetDataSet>
      <sheetData sheetId="0"/>
      <sheetData sheetId="1">
        <row r="7">
          <cell r="V7">
            <v>77.112220965131201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T7">
            <v>194.72262393661123</v>
          </cell>
        </row>
        <row r="14">
          <cell r="T14">
            <v>13.75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Quantification C"/>
    </sheetNames>
    <sheetDataSet>
      <sheetData sheetId="0"/>
      <sheetData sheetId="1">
        <row r="6">
          <cell r="W6">
            <v>151.29058845046268</v>
          </cell>
        </row>
        <row r="14">
          <cell r="W14">
            <v>16.938717414287741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5">
          <cell r="W5">
            <v>32.101813027181969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Quantification C"/>
    </sheetNames>
    <sheetDataSet>
      <sheetData sheetId="0"/>
      <sheetData sheetId="1">
        <row r="13">
          <cell r="W13">
            <v>47.772999999999996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6">
          <cell r="T6">
            <v>135.16183437358302</v>
          </cell>
        </row>
        <row r="14">
          <cell r="T14">
            <v>7.25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7">
          <cell r="O7">
            <v>116.92492497005921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</sheetNames>
    <sheetDataSet>
      <sheetData sheetId="0"/>
      <sheetData sheetId="1">
        <row r="7">
          <cell r="V7">
            <v>122.69720677609311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T7">
            <v>238.11447542333903</v>
          </cell>
        </row>
        <row r="14">
          <cell r="T14">
            <v>13.75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V7">
            <v>60.93605503309945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T7">
            <v>171.17170618380797</v>
          </cell>
        </row>
        <row r="14">
          <cell r="T14">
            <v>7.25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V7">
            <v>35.233242192662885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e affichage"/>
      <sheetName val="Modèle"/>
      <sheetName val="Interpolation linéaire"/>
    </sheetNames>
    <sheetDataSet>
      <sheetData sheetId="0"/>
      <sheetData sheetId="1">
        <row r="7">
          <cell r="T7">
            <v>145.46889334337141</v>
          </cell>
        </row>
        <row r="14">
          <cell r="T14">
            <v>7.25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G12" sqref="G12"/>
    </sheetView>
  </sheetViews>
  <sheetFormatPr baseColWidth="10" defaultRowHeight="15" x14ac:dyDescent="0.25"/>
  <cols>
    <col min="1" max="1" width="34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140625" bestFit="1" customWidth="1"/>
    <col min="12" max="12" width="10" bestFit="1" customWidth="1"/>
  </cols>
  <sheetData>
    <row r="1" spans="1:12" ht="15" customHeight="1" x14ac:dyDescent="0.25">
      <c r="A1" s="1"/>
      <c r="B1" s="24" t="s">
        <v>9</v>
      </c>
      <c r="C1" s="24"/>
      <c r="D1" s="24"/>
      <c r="E1" s="24"/>
      <c r="F1" s="25" t="s">
        <v>10</v>
      </c>
      <c r="G1" s="27" t="s">
        <v>11</v>
      </c>
      <c r="H1" s="22" t="s">
        <v>12</v>
      </c>
      <c r="I1" s="29" t="s">
        <v>13</v>
      </c>
      <c r="J1" s="29" t="s">
        <v>14</v>
      </c>
      <c r="K1" s="22" t="s">
        <v>15</v>
      </c>
      <c r="L1" s="23" t="s">
        <v>8</v>
      </c>
    </row>
    <row r="2" spans="1:12" x14ac:dyDescent="0.25">
      <c r="A2" s="1"/>
      <c r="B2" s="10" t="s">
        <v>17</v>
      </c>
      <c r="C2" s="10" t="s">
        <v>4</v>
      </c>
      <c r="D2" s="10" t="s">
        <v>5</v>
      </c>
      <c r="E2" s="10" t="s">
        <v>6</v>
      </c>
      <c r="F2" s="26"/>
      <c r="G2" s="28"/>
      <c r="H2" s="22"/>
      <c r="I2" s="22"/>
      <c r="J2" s="29"/>
      <c r="K2" s="22"/>
      <c r="L2" s="23"/>
    </row>
    <row r="3" spans="1:12" x14ac:dyDescent="0.25">
      <c r="A3" s="7" t="s">
        <v>21</v>
      </c>
      <c r="B3" s="11">
        <f>[1]Modèle!$V$7</f>
        <v>24.926183222874499</v>
      </c>
      <c r="C3" s="12">
        <v>0</v>
      </c>
      <c r="D3" s="11">
        <f>30*10/30*44/12</f>
        <v>36.666666666666664</v>
      </c>
      <c r="E3" s="12">
        <v>0</v>
      </c>
      <c r="F3" s="13">
        <v>0</v>
      </c>
      <c r="G3" s="16">
        <f>[2]Modèle!$T$14</f>
        <v>7.25</v>
      </c>
      <c r="H3" s="8">
        <f>SUM(B3:G3)</f>
        <v>68.842849889541156</v>
      </c>
      <c r="I3" s="9">
        <v>0.05</v>
      </c>
      <c r="J3" s="9">
        <v>0.1</v>
      </c>
      <c r="K3" s="17">
        <f>480/3325*3</f>
        <v>0.43308270676691729</v>
      </c>
      <c r="L3" s="15">
        <f>H3*(100%-I3)*(100%-J3)*K3</f>
        <v>25.491523844812953</v>
      </c>
    </row>
    <row r="4" spans="1:12" x14ac:dyDescent="0.25">
      <c r="A4" s="7" t="s">
        <v>7</v>
      </c>
      <c r="B4" s="11">
        <f>[3]Modèle!$O$7</f>
        <v>116.92492497005921</v>
      </c>
      <c r="C4" s="12">
        <v>0</v>
      </c>
      <c r="D4" s="11">
        <f>30*10/30*44/12</f>
        <v>36.666666666666664</v>
      </c>
      <c r="E4" s="12">
        <v>0</v>
      </c>
      <c r="F4" s="13">
        <v>0</v>
      </c>
      <c r="G4" s="14">
        <v>31</v>
      </c>
      <c r="H4" s="8">
        <f>SUM(B4:G4)</f>
        <v>184.59159163672587</v>
      </c>
      <c r="I4" s="9">
        <v>0.05</v>
      </c>
      <c r="J4" s="9">
        <v>0.1</v>
      </c>
      <c r="K4" s="17">
        <f>185/3325*3</f>
        <v>0.16691729323308271</v>
      </c>
      <c r="L4" s="15">
        <f>H4*(100%-I4)*(100%-J4)*K4</f>
        <v>26.343857149298447</v>
      </c>
    </row>
    <row r="5" spans="1:12" x14ac:dyDescent="0.25">
      <c r="A5" s="7" t="s">
        <v>22</v>
      </c>
      <c r="B5" s="11">
        <f>[4]Modèle!$V$7</f>
        <v>122.69720677609311</v>
      </c>
      <c r="C5" s="12">
        <v>0</v>
      </c>
      <c r="D5" s="11">
        <f t="shared" ref="D5:D12" si="0">30*10/30*44/12</f>
        <v>36.666666666666664</v>
      </c>
      <c r="E5" s="12">
        <v>0</v>
      </c>
      <c r="F5" s="13">
        <v>0</v>
      </c>
      <c r="G5" s="16">
        <f>[5]Modèle!$T$14</f>
        <v>13.75</v>
      </c>
      <c r="H5" s="8">
        <f t="shared" ref="H5:H12" si="1">SUM(B5:G5)</f>
        <v>173.11387344275977</v>
      </c>
      <c r="I5" s="9">
        <v>0.05</v>
      </c>
      <c r="J5" s="9">
        <v>0.1</v>
      </c>
      <c r="K5" s="17">
        <f>185/3325*3</f>
        <v>0.16691729323308271</v>
      </c>
      <c r="L5" s="15">
        <f t="shared" ref="L5:L12" si="2">H5*(100%-I5)*(100%-J5)*K5</f>
        <v>24.705822795616715</v>
      </c>
    </row>
    <row r="6" spans="1:12" x14ac:dyDescent="0.25">
      <c r="A6" s="7" t="s">
        <v>23</v>
      </c>
      <c r="B6" s="11">
        <f>[6]Modèle!$V$7</f>
        <v>60.93605503309945</v>
      </c>
      <c r="C6" s="12">
        <v>0</v>
      </c>
      <c r="D6" s="11">
        <f t="shared" si="0"/>
        <v>36.666666666666664</v>
      </c>
      <c r="E6" s="12">
        <v>0</v>
      </c>
      <c r="F6" s="13">
        <v>0</v>
      </c>
      <c r="G6" s="16">
        <f>[7]Modèle!$T$14</f>
        <v>7.25</v>
      </c>
      <c r="H6" s="8">
        <f t="shared" si="1"/>
        <v>104.85272169976611</v>
      </c>
      <c r="I6" s="9">
        <v>0.05</v>
      </c>
      <c r="J6" s="9">
        <v>0.1</v>
      </c>
      <c r="K6" s="17">
        <f>185/3325*3</f>
        <v>0.16691729323308271</v>
      </c>
      <c r="L6" s="15">
        <f t="shared" si="2"/>
        <v>14.963981282580907</v>
      </c>
    </row>
    <row r="7" spans="1:12" x14ac:dyDescent="0.25">
      <c r="A7" s="7" t="s">
        <v>24</v>
      </c>
      <c r="B7" s="11">
        <f>[8]Modèle!$V$7</f>
        <v>35.233242192662885</v>
      </c>
      <c r="C7" s="12">
        <v>0</v>
      </c>
      <c r="D7" s="11">
        <f t="shared" si="0"/>
        <v>36.666666666666664</v>
      </c>
      <c r="E7" s="12">
        <v>0</v>
      </c>
      <c r="F7" s="13">
        <v>0</v>
      </c>
      <c r="G7" s="16">
        <f>[9]Modèle!$T$14</f>
        <v>7.25</v>
      </c>
      <c r="H7" s="8">
        <f t="shared" si="1"/>
        <v>79.149908859329543</v>
      </c>
      <c r="I7" s="9">
        <v>0.05</v>
      </c>
      <c r="J7" s="9">
        <v>0.1</v>
      </c>
      <c r="K7" s="17">
        <f>240/3325*3</f>
        <v>0.21654135338345865</v>
      </c>
      <c r="L7" s="15">
        <f t="shared" si="2"/>
        <v>14.654040268813013</v>
      </c>
    </row>
    <row r="8" spans="1:12" x14ac:dyDescent="0.25">
      <c r="A8" s="7" t="s">
        <v>25</v>
      </c>
      <c r="B8" s="11">
        <f>[10]Modèle!$V$7</f>
        <v>17.185122197311557</v>
      </c>
      <c r="C8" s="12">
        <v>0</v>
      </c>
      <c r="D8" s="11">
        <f t="shared" si="0"/>
        <v>36.666666666666664</v>
      </c>
      <c r="E8" s="12">
        <v>0</v>
      </c>
      <c r="F8" s="13">
        <v>0</v>
      </c>
      <c r="G8" s="16">
        <f>[11]Modèle!$T$14</f>
        <v>7.25</v>
      </c>
      <c r="H8" s="8">
        <f t="shared" si="1"/>
        <v>61.101788863978221</v>
      </c>
      <c r="I8" s="9">
        <v>0.05</v>
      </c>
      <c r="J8" s="9">
        <v>0.1</v>
      </c>
      <c r="K8" s="17">
        <f>240/3325*3</f>
        <v>0.21654135338345865</v>
      </c>
      <c r="L8" s="15">
        <f t="shared" si="2"/>
        <v>11.312559766816538</v>
      </c>
    </row>
    <row r="9" spans="1:12" x14ac:dyDescent="0.25">
      <c r="A9" s="7" t="s">
        <v>26</v>
      </c>
      <c r="B9" s="11">
        <f>[12]Modèle!$V$7</f>
        <v>112.58307577792053</v>
      </c>
      <c r="C9" s="12">
        <v>0</v>
      </c>
      <c r="D9" s="11">
        <f t="shared" si="0"/>
        <v>36.666666666666664</v>
      </c>
      <c r="E9" s="12">
        <v>0</v>
      </c>
      <c r="F9" s="13">
        <v>0</v>
      </c>
      <c r="G9" s="16">
        <f>[13]Modèle!$T$14</f>
        <v>13.75</v>
      </c>
      <c r="H9" s="8">
        <f t="shared" si="1"/>
        <v>162.99974244458718</v>
      </c>
      <c r="I9" s="9">
        <v>0.05</v>
      </c>
      <c r="J9" s="9">
        <v>0.1</v>
      </c>
      <c r="K9" s="17">
        <f>185/3325*3</f>
        <v>0.16691729323308271</v>
      </c>
      <c r="L9" s="15">
        <f t="shared" si="2"/>
        <v>23.262391814591801</v>
      </c>
    </row>
    <row r="10" spans="1:12" x14ac:dyDescent="0.25">
      <c r="A10" s="20" t="s">
        <v>29</v>
      </c>
      <c r="B10" s="11">
        <f>[14]Modèle!$V$7</f>
        <v>77.112220965131201</v>
      </c>
      <c r="C10" s="12">
        <v>0</v>
      </c>
      <c r="D10" s="11">
        <f t="shared" si="0"/>
        <v>36.666666666666664</v>
      </c>
      <c r="E10" s="12">
        <v>0</v>
      </c>
      <c r="F10" s="13">
        <v>0</v>
      </c>
      <c r="G10" s="16">
        <f>+[15]Modèle!$T$14</f>
        <v>13.75</v>
      </c>
      <c r="H10" s="8">
        <f t="shared" si="1"/>
        <v>127.52888763179786</v>
      </c>
      <c r="I10" s="9">
        <v>0.05</v>
      </c>
      <c r="J10" s="9">
        <v>0.1</v>
      </c>
      <c r="K10" s="7">
        <f>665/3325*3</f>
        <v>0.60000000000000009</v>
      </c>
      <c r="L10" s="15">
        <f t="shared" si="2"/>
        <v>65.422319355112307</v>
      </c>
    </row>
    <row r="11" spans="1:12" x14ac:dyDescent="0.25">
      <c r="A11" s="7" t="s">
        <v>27</v>
      </c>
      <c r="B11" s="11">
        <f>'[16]Quantification C'!$W$6</f>
        <v>151.29058845046268</v>
      </c>
      <c r="C11" s="12">
        <v>0</v>
      </c>
      <c r="D11" s="11">
        <f t="shared" si="0"/>
        <v>36.666666666666664</v>
      </c>
      <c r="E11" s="12">
        <v>0</v>
      </c>
      <c r="F11" s="21">
        <f>+'[16]Quantification C'!$W$14</f>
        <v>16.938717414287741</v>
      </c>
      <c r="G11" s="16">
        <f>'[18]Quantification C'!$W$13</f>
        <v>47.772999999999996</v>
      </c>
      <c r="H11" s="8">
        <f t="shared" si="1"/>
        <v>252.66897253141707</v>
      </c>
      <c r="I11" s="9">
        <v>0.05</v>
      </c>
      <c r="J11" s="9">
        <v>0.1</v>
      </c>
      <c r="K11" s="17">
        <f>480/3325*3</f>
        <v>0.43308270676691729</v>
      </c>
      <c r="L11" s="15">
        <f t="shared" si="2"/>
        <v>93.55971097163328</v>
      </c>
    </row>
    <row r="12" spans="1:12" x14ac:dyDescent="0.25">
      <c r="A12" s="7" t="s">
        <v>28</v>
      </c>
      <c r="B12" s="11">
        <f>'[17]Quantification C'!$W$5</f>
        <v>32.101813027181969</v>
      </c>
      <c r="C12" s="12">
        <v>0</v>
      </c>
      <c r="D12" s="11">
        <f t="shared" si="0"/>
        <v>36.666666666666664</v>
      </c>
      <c r="E12" s="12">
        <v>0</v>
      </c>
      <c r="F12" s="13">
        <v>0</v>
      </c>
      <c r="G12" s="14">
        <v>0</v>
      </c>
      <c r="H12" s="8">
        <f t="shared" si="1"/>
        <v>68.768479693848633</v>
      </c>
      <c r="I12" s="9">
        <v>0.05</v>
      </c>
      <c r="J12" s="9">
        <v>0.1</v>
      </c>
      <c r="K12" s="17">
        <f>480/3325*3</f>
        <v>0.43308270676691729</v>
      </c>
      <c r="L12" s="15">
        <f t="shared" si="2"/>
        <v>25.463985623779379</v>
      </c>
    </row>
    <row r="13" spans="1:12" x14ac:dyDescent="0.25">
      <c r="B13" s="2"/>
      <c r="C13" s="1"/>
      <c r="D13" s="1"/>
      <c r="E13" s="1"/>
      <c r="F13" s="1"/>
      <c r="G13" s="1"/>
      <c r="H13" s="1"/>
      <c r="I13" s="1"/>
      <c r="J13" s="1"/>
      <c r="K13" s="18" t="s">
        <v>16</v>
      </c>
      <c r="L13" s="19">
        <f>SUM(L3:L12)</f>
        <v>325.18019287305532</v>
      </c>
    </row>
    <row r="14" spans="1:12" x14ac:dyDescent="0.25">
      <c r="B14" s="2"/>
      <c r="C14" s="1"/>
      <c r="D14" s="1"/>
      <c r="E14" s="1"/>
      <c r="F14" s="1"/>
      <c r="G14" s="1"/>
      <c r="H14" s="1"/>
      <c r="I14" s="1"/>
      <c r="J14" s="1"/>
      <c r="K14" s="1"/>
    </row>
    <row r="15" spans="1:12" x14ac:dyDescent="0.25">
      <c r="A15" s="1" t="s">
        <v>0</v>
      </c>
      <c r="B15" s="3">
        <f>SUM(B3:E3)*K3+SUM(B4:E4)*K4+SUM(B5:E5)*K5+SUM(B6:E6)*K6+SUM(B7:E7)*K7+SUM(B8:E8)*K8+SUM(B9:E9)*K9+SUM(B10:E10)*K10+SUM(B11:E11)*K11+SUM(B12:E12)*K12</f>
        <v>326.79767394712678</v>
      </c>
      <c r="C15" s="1"/>
      <c r="D15" s="1"/>
      <c r="E15" s="1"/>
      <c r="F15" s="1"/>
      <c r="G15" s="1"/>
      <c r="H15" s="1"/>
      <c r="I15" s="1"/>
      <c r="J15" s="1"/>
      <c r="K15" s="1"/>
    </row>
    <row r="16" spans="1:12" x14ac:dyDescent="0.25">
      <c r="A16" s="1" t="s">
        <v>18</v>
      </c>
      <c r="B16" s="3">
        <f>B15*(100%-I3)*(100%-J3)</f>
        <v>279.41201122479339</v>
      </c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 t="s">
        <v>1</v>
      </c>
      <c r="B17" s="3">
        <f>F11*K11</f>
        <v>7.3358655869396534</v>
      </c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 t="s">
        <v>19</v>
      </c>
      <c r="B18" s="3">
        <f>B17*(100%-I3)*(100%-J3)</f>
        <v>6.272165076833403</v>
      </c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2</v>
      </c>
      <c r="B19" s="3">
        <f>G3*K3+G4*K4+G5*K5+G6*K6+G7*K7+G8*K8+G9*K9+G10*K10+G11*K11+G12*K12</f>
        <v>46.194171428571437</v>
      </c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20</v>
      </c>
      <c r="B20" s="5">
        <f>B19*(100%-I3)*(100%-J3)</f>
        <v>39.496016571428576</v>
      </c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4" t="s">
        <v>3</v>
      </c>
      <c r="B21" s="6">
        <f>B16+B18+B20</f>
        <v>325.18019287305538</v>
      </c>
      <c r="E21" s="1"/>
    </row>
    <row r="22" spans="1:11" x14ac:dyDescent="0.25">
      <c r="E22" s="1"/>
    </row>
  </sheetData>
  <mergeCells count="8">
    <mergeCell ref="K1:K2"/>
    <mergeCell ref="L1:L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2020-04-06T07:14:56Z</dcterms:modified>
</cp:coreProperties>
</file>