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forestiersfransylva.sharepoint.com/sites/FransylvaServices/Shared Documents/Financements innovants/CLIENTS 2025-2026/POUMAILLOU (Saint Clement de la place) - 21941608 LE/"/>
    </mc:Choice>
  </mc:AlternateContent>
  <xr:revisionPtr revIDLastSave="162" documentId="8_{98E7D02E-8F57-4037-A0B4-2A52FDCAF7FA}" xr6:coauthVersionLast="47" xr6:coauthVersionMax="47" xr10:uidLastSave="{D694FA9E-2644-418C-BA2B-0E7E5FF50375}"/>
  <bookViews>
    <workbookView xWindow="38280" yWindow="3180" windowWidth="29040" windowHeight="15720" tabRatio="866" firstSheet="1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REE" sheetId="4" r:id="rId4"/>
    <sheet name="Calculateur" sheetId="2" state="hidden" r:id="rId5"/>
    <sheet name="Paramètres" sheetId="3" state="hidden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85" i="1" l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EC4" i="2" l="1"/>
  <c r="BR4" i="2"/>
  <c r="BQ4" i="2"/>
  <c r="EA4" i="2"/>
  <c r="FR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A7" i="2" l="1"/>
  <c r="EB7" i="2"/>
  <c r="HI7" i="2"/>
  <c r="EW7" i="2"/>
  <c r="EV7" i="2"/>
  <c r="EX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G10" i="2"/>
  <c r="FS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HG11" i="2" l="1"/>
  <c r="EC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EV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X14" i="2" l="1"/>
  <c r="EC14" i="2"/>
  <c r="HH14" i="2"/>
  <c r="HG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EV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FS18" i="2" l="1"/>
  <c r="EA18" i="2"/>
  <c r="EV18" i="2"/>
  <c r="EW18" i="2"/>
  <c r="EX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FS20" i="2" l="1"/>
  <c r="HH20" i="2"/>
  <c r="EC20" i="2"/>
  <c r="EW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HH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H22" i="2" l="1"/>
  <c r="EC22" i="2"/>
  <c r="HG22" i="2"/>
  <c r="EB22" i="2"/>
  <c r="EA22" i="2"/>
  <c r="EW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FR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HI27" i="2" l="1"/>
  <c r="EX27" i="2"/>
  <c r="FS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EV28" i="2" s="1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HI28" i="2" l="1"/>
  <c r="EB28" i="2"/>
  <c r="FS28" i="2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FS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G33" i="2" l="1"/>
  <c r="EW33" i="2"/>
  <c r="HH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B35" i="2"/>
  <c r="EA35" i="2"/>
  <c r="FQ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G38" i="2" l="1"/>
  <c r="FS38" i="2"/>
  <c r="EX38" i="2"/>
  <c r="HI38" i="2"/>
  <c r="EW38" i="2"/>
  <c r="EA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G43" i="2" l="1"/>
  <c r="DG43" i="2"/>
  <c r="EX43" i="2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FS44" i="2" l="1"/>
  <c r="EW44" i="2"/>
  <c r="HH44" i="2"/>
  <c r="EC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G46" i="2" l="1"/>
  <c r="EC46" i="2"/>
  <c r="HI46" i="2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HH48" i="2"/>
  <c r="HG48" i="2"/>
  <c r="HI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EC50" i="2" l="1"/>
  <c r="HI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C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I57" i="2" l="1"/>
  <c r="FS57" i="2"/>
  <c r="EV57" i="2"/>
  <c r="EB57" i="2"/>
  <c r="HG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EB59" i="2"/>
  <c r="EA59" i="2"/>
  <c r="HH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G60" i="2" l="1"/>
  <c r="EW60" i="2"/>
  <c r="HH60" i="2"/>
  <c r="EV60" i="2"/>
  <c r="HI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EV61" i="2" s="1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X61" i="2" l="1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HH62" i="2"/>
  <c r="EA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C63" i="2" l="1"/>
  <c r="HG63" i="2"/>
  <c r="EB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EC64" i="2"/>
  <c r="EA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FS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HI70" i="2"/>
  <c r="EW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HH71" i="2" l="1"/>
  <c r="EW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HH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HI73" i="2" l="1"/>
  <c r="EW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HG75" i="2" l="1"/>
  <c r="EA75" i="2"/>
  <c r="HH75" i="2"/>
  <c r="EB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HI77" i="2"/>
  <c r="EB77" i="2"/>
  <c r="EA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C78" i="2" l="1"/>
  <c r="EB78" i="2"/>
  <c r="HI78" i="2"/>
  <c r="EW78" i="2"/>
  <c r="EV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G79" i="2" l="1"/>
  <c r="HH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W85" i="2" s="1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H85" i="2" l="1"/>
  <c r="EV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A86" i="2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A87" i="2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I89" i="2" l="1"/>
  <c r="HG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X95" i="2" l="1"/>
  <c r="HG95" i="2"/>
  <c r="EB95" i="2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EX98" i="2"/>
  <c r="FS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V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A105" i="2" l="1"/>
  <c r="EB105" i="2"/>
  <c r="FS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G107" i="2" l="1"/>
  <c r="EC107" i="2"/>
  <c r="EB107" i="2"/>
  <c r="EX107" i="2"/>
  <c r="EA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FS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C112" i="2" l="1"/>
  <c r="EX112" i="2"/>
  <c r="EB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G113" i="2" l="1"/>
  <c r="EC113" i="2"/>
  <c r="EB113" i="2"/>
  <c r="EX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HG114" i="2" l="1"/>
  <c r="EV114" i="2"/>
  <c r="HH114" i="2"/>
  <c r="EW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C116" i="2"/>
  <c r="EV116" i="2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H118" i="2" l="1"/>
  <c r="FS118" i="2"/>
  <c r="EC118" i="2"/>
  <c r="FQ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HI120" i="2"/>
  <c r="FR120" i="2"/>
  <c r="FQ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A121" i="2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I122" i="2" l="1"/>
  <c r="FS122" i="2"/>
  <c r="EW122" i="2"/>
  <c r="EC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FS124" i="2" l="1"/>
  <c r="EW124" i="2"/>
  <c r="HH124" i="2"/>
  <c r="HG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V127" i="2" s="1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G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G130" i="2" l="1"/>
  <c r="FS130" i="2"/>
  <c r="HI130" i="2"/>
  <c r="EW130" i="2"/>
  <c r="EX130" i="2"/>
  <c r="EB130" i="2"/>
  <c r="HH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HG132" i="2" l="1"/>
  <c r="EC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EV134" i="2" s="1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HG134" i="2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EW135" i="2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V138" i="2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HH139" i="2" l="1"/>
  <c r="EB139" i="2"/>
  <c r="EA139" i="2"/>
  <c r="FS139" i="2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HG141" i="2" s="1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H141" i="2" l="1"/>
  <c r="FS141" i="2"/>
  <c r="EA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C142" i="2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EA144" i="2"/>
  <c r="EB144" i="2"/>
  <c r="HH144" i="2"/>
  <c r="EX144" i="2"/>
  <c r="HG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H145" i="2" l="1"/>
  <c r="HG145" i="2"/>
  <c r="EX145" i="2"/>
  <c r="FR145" i="2"/>
  <c r="EA145" i="2"/>
  <c r="EB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I146" i="2" l="1"/>
  <c r="EA146" i="2"/>
  <c r="HH146" i="2"/>
  <c r="FR146" i="2"/>
  <c r="HG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EX149" i="2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HH150" i="2"/>
  <c r="HG150" i="2"/>
  <c r="EV150" i="2"/>
  <c r="FS150" i="2"/>
  <c r="HI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X151" i="2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B152" i="2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EB153" i="2"/>
  <c r="EX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EB154" i="2" l="1"/>
  <c r="AB154" i="2"/>
  <c r="HG154" i="2"/>
  <c r="EX154" i="2"/>
  <c r="AA154" i="2"/>
  <c r="EV154" i="2"/>
  <c r="EC154" i="2"/>
  <c r="EA154" i="2"/>
  <c r="ED154" i="2" s="1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3" i="2"/>
  <c r="FT153" i="2"/>
  <c r="CN153" i="2"/>
  <c r="HJ153" i="2"/>
  <c r="GO153" i="2"/>
  <c r="EY153" i="2"/>
  <c r="ED153" i="2"/>
  <c r="AC153" i="2"/>
  <c r="AX151" i="2"/>
  <c r="EY154" i="2" l="1"/>
  <c r="EW155" i="2"/>
  <c r="EX155" i="2"/>
  <c r="DI154" i="2"/>
  <c r="EA155" i="2"/>
  <c r="AC154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E156" i="2"/>
  <c r="HH156" i="2" s="1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EY155" i="2" l="1"/>
  <c r="FS156" i="2"/>
  <c r="ED155" i="2"/>
  <c r="EB156" i="2"/>
  <c r="AB156" i="2"/>
  <c r="DH156" i="2"/>
  <c r="EX156" i="2"/>
  <c r="HG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X157" i="2" l="1"/>
  <c r="HH157" i="2"/>
  <c r="EA157" i="2"/>
  <c r="CN156" i="2"/>
  <c r="EC157" i="2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C158" i="2" l="1"/>
  <c r="ED157" i="2"/>
  <c r="HH158" i="2"/>
  <c r="EV158" i="2"/>
  <c r="HG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HH159" i="2" s="1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C159" i="2" l="1"/>
  <c r="ED158" i="2"/>
  <c r="EA159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D159" i="2" l="1"/>
  <c r="EY159" i="2"/>
  <c r="HI160" i="2"/>
  <c r="DG160" i="2"/>
  <c r="FS160" i="2"/>
  <c r="EC160" i="2"/>
  <c r="H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X161" i="2" l="1"/>
  <c r="ED160" i="2"/>
  <c r="EA161" i="2"/>
  <c r="EB161" i="2"/>
  <c r="FS161" i="2"/>
  <c r="AB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 l="1"/>
  <c r="EB162" i="2"/>
  <c r="EY161" i="2"/>
  <c r="EW162" i="2"/>
  <c r="DI161" i="2"/>
  <c r="HH162" i="2"/>
  <c r="EC162" i="2"/>
  <c r="FS162" i="2"/>
  <c r="AU162" i="2"/>
  <c r="EX162" i="2"/>
  <c r="EA162" i="2"/>
  <c r="ED162" i="2" s="1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B163" i="2" l="1"/>
  <c r="EY162" i="2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HH164" i="2" s="1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A164" i="2" l="1"/>
  <c r="EY163" i="2"/>
  <c r="ED163" i="2"/>
  <c r="FR164" i="2"/>
  <c r="DH164" i="2"/>
  <c r="HG164" i="2"/>
  <c r="EX164" i="2"/>
  <c r="EV164" i="2"/>
  <c r="FS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HH165" i="2" l="1"/>
  <c r="EA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D165" i="2" l="1"/>
  <c r="EC166" i="2"/>
  <c r="CN165" i="2"/>
  <c r="FS166" i="2"/>
  <c r="HG166" i="2"/>
  <c r="HJ166" i="2" s="1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FR167" i="2" l="1"/>
  <c r="EY166" i="2"/>
  <c r="EA167" i="2"/>
  <c r="EB167" i="2"/>
  <c r="DG167" i="2"/>
  <c r="EX167" i="2"/>
  <c r="EC167" i="2"/>
  <c r="HI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I167" i="2" l="1"/>
  <c r="EB168" i="2"/>
  <c r="HI168" i="2"/>
  <c r="DG168" i="2"/>
  <c r="EC168" i="2"/>
  <c r="EV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Y168" i="2" l="1"/>
  <c r="EB169" i="2"/>
  <c r="FS169" i="2"/>
  <c r="EX169" i="2"/>
  <c r="EA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EB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Y171" i="2" l="1"/>
  <c r="HI172" i="2"/>
  <c r="EA172" i="2"/>
  <c r="ED171" i="2"/>
  <c r="EB172" i="2"/>
  <c r="HG172" i="2"/>
  <c r="EW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D172" i="2" l="1"/>
  <c r="EX173" i="2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Y173" i="2" l="1"/>
  <c r="EC174" i="2"/>
  <c r="HH174" i="2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AA175" i="2" l="1"/>
  <c r="ED174" i="2"/>
  <c r="EB175" i="2"/>
  <c r="EW175" i="2"/>
  <c r="EA175" i="2"/>
  <c r="FS175" i="2"/>
  <c r="HI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B176" i="2" l="1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Q177" i="2" l="1"/>
  <c r="FS177" i="2"/>
  <c r="EC177" i="2"/>
  <c r="EW177" i="2"/>
  <c r="HH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Q178" i="2" l="1"/>
  <c r="EA178" i="2"/>
  <c r="EW178" i="2"/>
  <c r="EB178" i="2"/>
  <c r="ED177" i="2"/>
  <c r="HH178" i="2"/>
  <c r="HG178" i="2"/>
  <c r="HI178" i="2"/>
  <c r="EX178" i="2"/>
  <c r="EC178" i="2"/>
  <c r="ED178" i="2" s="1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B179" i="2" l="1"/>
  <c r="HI179" i="2"/>
  <c r="HH179" i="2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Y179" i="2" l="1"/>
  <c r="EX180" i="2"/>
  <c r="ED179" i="2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FS181" i="2" l="1"/>
  <c r="EW181" i="2"/>
  <c r="ED180" i="2"/>
  <c r="HG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EX182" i="2"/>
  <c r="DG182" i="2"/>
  <c r="EC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Y182" i="2" l="1"/>
  <c r="ED182" i="2"/>
  <c r="FS183" i="2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EY183" i="2" l="1"/>
  <c r="HI184" i="2"/>
  <c r="FS184" i="2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Y184" i="2" l="1"/>
  <c r="EW185" i="2"/>
  <c r="ED184" i="2"/>
  <c r="HI185" i="2"/>
  <c r="EB185" i="2"/>
  <c r="HH185" i="2"/>
  <c r="HG185" i="2"/>
  <c r="EA185" i="2"/>
  <c r="EV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HH186" i="2" s="1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A186" i="2" l="1"/>
  <c r="FS186" i="2"/>
  <c r="HG186" i="2"/>
  <c r="EW186" i="2"/>
  <c r="EB186" i="2"/>
  <c r="FR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Y186" i="2" l="1"/>
  <c r="EC187" i="2"/>
  <c r="HG187" i="2"/>
  <c r="EB187" i="2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ED187" i="2" l="1"/>
  <c r="HI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Y188" i="2" l="1"/>
  <c r="HH189" i="2"/>
  <c r="AA189" i="2"/>
  <c r="EB189" i="2"/>
  <c r="EV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ED189" i="2" l="1"/>
  <c r="EW190" i="2"/>
  <c r="EY189" i="2"/>
  <c r="EV190" i="2"/>
  <c r="HH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HI191" i="2" l="1"/>
  <c r="ED190" i="2"/>
  <c r="HH191" i="2"/>
  <c r="EW191" i="2"/>
  <c r="EC191" i="2"/>
  <c r="EX191" i="2"/>
  <c r="FS191" i="2"/>
  <c r="EA191" i="2"/>
  <c r="EV191" i="2"/>
  <c r="EY191" i="2" s="1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HI192" i="2" l="1"/>
  <c r="EC192" i="2"/>
  <c r="EW192" i="2"/>
  <c r="HG192" i="2"/>
  <c r="EA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Y192" i="2" l="1"/>
  <c r="ED192" i="2"/>
  <c r="EB193" i="2"/>
  <c r="EA193" i="2"/>
  <c r="DI192" i="2"/>
  <c r="EX193" i="2"/>
  <c r="FQ193" i="2"/>
  <c r="HI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FQ194" i="2" l="1"/>
  <c r="HG194" i="2"/>
  <c r="EB194" i="2"/>
  <c r="HI194" i="2"/>
  <c r="ED193" i="2"/>
  <c r="EA194" i="2"/>
  <c r="CN193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FQ195" i="2" l="1"/>
  <c r="AA195" i="2"/>
  <c r="EY194" i="2"/>
  <c r="ED194" i="2"/>
  <c r="EX195" i="2"/>
  <c r="HI195" i="2"/>
  <c r="EB195" i="2"/>
  <c r="EA195" i="2"/>
  <c r="DH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Y195" i="2" l="1"/>
  <c r="HH196" i="2"/>
  <c r="EW196" i="2"/>
  <c r="HG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Y196" i="2"/>
  <c r="FS197" i="2"/>
  <c r="HH197" i="2"/>
  <c r="EA197" i="2"/>
  <c r="EW197" i="2"/>
  <c r="EC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D197" i="2" l="1"/>
  <c r="HI198" i="2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 l="1"/>
  <c r="FS199" i="2"/>
  <c r="EA199" i="2"/>
  <c r="HH199" i="2"/>
  <c r="EB199" i="2"/>
  <c r="HG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BX4" i="2" s="1" a="1"/>
  <c r="BX4" i="2" s="1"/>
  <c r="BY4" i="2" s="1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AA199" i="2"/>
  <c r="AX197" i="2"/>
  <c r="EW200" i="2" l="1"/>
  <c r="EX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AH5" i="2" s="1" a="1"/>
  <c r="AH5" i="2" s="1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EI4" i="2" a="1"/>
  <c r="EI4" i="2" s="1"/>
  <c r="EJ4" i="2" s="1"/>
  <c r="AX198" i="2"/>
  <c r="DI200" i="2" l="1"/>
  <c r="ED200" i="2"/>
  <c r="EA201" i="2"/>
  <c r="EB201" i="2"/>
  <c r="HH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S6" i="2" s="1" a="1"/>
  <c r="CS6" i="2" s="1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5" i="2" a="1"/>
  <c r="CS5" i="2" s="1"/>
  <c r="CT5" i="2" s="1"/>
  <c r="AX199" i="2"/>
  <c r="EY201" i="2" l="1"/>
  <c r="HI202" i="2"/>
  <c r="EW202" i="2"/>
  <c r="ED201" i="2"/>
  <c r="HG202" i="2"/>
  <c r="FR202" i="2"/>
  <c r="EX202" i="2"/>
  <c r="HH202" i="2"/>
  <c r="EV202" i="2"/>
  <c r="EY202" i="2" s="1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50" i="2" a="1"/>
  <c r="FY50" i="2" s="1"/>
  <c r="BC114" i="2" a="1"/>
  <c r="BC114" i="2" s="1"/>
  <c r="BC65" i="2" a="1"/>
  <c r="BC65" i="2" s="1"/>
  <c r="BC181" i="2" a="1"/>
  <c r="BC181" i="2" s="1"/>
  <c r="GT102" i="2" a="1"/>
  <c r="GT102" i="2" s="1"/>
  <c r="GT11" i="2" a="1"/>
  <c r="GT11" i="2" s="1"/>
  <c r="CS66" i="2" a="1"/>
  <c r="CS66" i="2" s="1"/>
  <c r="CS52" i="2" a="1"/>
  <c r="CS52" i="2" s="1"/>
  <c r="CS129" i="2" a="1"/>
  <c r="CS129" i="2" s="1"/>
  <c r="CS116" i="2" a="1"/>
  <c r="CS116" i="2" s="1"/>
  <c r="EI195" i="2" a="1"/>
  <c r="EI195" i="2" s="1"/>
  <c r="CS137" i="2" a="1"/>
  <c r="CS137" i="2" s="1"/>
  <c r="FY142" i="2" a="1"/>
  <c r="FY142" i="2" s="1"/>
  <c r="FD188" i="2" a="1"/>
  <c r="FD188" i="2" s="1"/>
  <c r="FD48" i="2" a="1"/>
  <c r="FD48" i="2" s="1"/>
  <c r="FD189" i="2" a="1"/>
  <c r="FD189" i="2" s="1"/>
  <c r="BC130" i="2" a="1"/>
  <c r="BC130" i="2" s="1"/>
  <c r="BC55" i="2" a="1"/>
  <c r="BC55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CS120" i="2" a="1"/>
  <c r="CS120" i="2" s="1"/>
  <c r="GT138" i="2" a="1"/>
  <c r="GT138" i="2" s="1"/>
  <c r="GT15" i="2" a="1"/>
  <c r="GT15" i="2" s="1"/>
  <c r="EI35" i="2" a="1"/>
  <c r="EI35" i="2" s="1"/>
  <c r="EI37" i="2" a="1"/>
  <c r="EI37" i="2" s="1"/>
  <c r="DN6" i="2" a="1"/>
  <c r="DN6" i="2" s="1"/>
  <c r="DO6" i="2" s="1"/>
  <c r="CS24" i="2" a="1"/>
  <c r="CS24" i="2" s="1"/>
  <c r="CS134" i="2" a="1"/>
  <c r="CS134" i="2" s="1"/>
  <c r="CS72" i="2" a="1"/>
  <c r="CS72" i="2" s="1"/>
  <c r="FD82" i="2" a="1"/>
  <c r="FD82" i="2" s="1"/>
  <c r="HJ202" i="2"/>
  <c r="AX200" i="2"/>
  <c r="FD159" i="2" l="1" a="1"/>
  <c r="FD159" i="2" s="1"/>
  <c r="FD167" i="2" a="1"/>
  <c r="FD167" i="2" s="1"/>
  <c r="EI139" i="2" a="1"/>
  <c r="EI139" i="2" s="1"/>
  <c r="EI170" i="2" a="1"/>
  <c r="EI170" i="2" s="1"/>
  <c r="EI16" i="2" a="1"/>
  <c r="EI16" i="2" s="1"/>
  <c r="EI113" i="2" a="1"/>
  <c r="EI113" i="2" s="1"/>
  <c r="EI166" i="2" a="1"/>
  <c r="EI166" i="2" s="1"/>
  <c r="EI38" i="2" a="1"/>
  <c r="EI38" i="2" s="1"/>
  <c r="EI67" i="2" a="1"/>
  <c r="EI67" i="2" s="1"/>
  <c r="EI128" i="2" a="1"/>
  <c r="EI128" i="2" s="1"/>
  <c r="BC82" i="2" a="1"/>
  <c r="BC82" i="2" s="1"/>
  <c r="BC126" i="2" a="1"/>
  <c r="BC126" i="2" s="1"/>
  <c r="BC47" i="2" a="1"/>
  <c r="BC47" i="2" s="1"/>
  <c r="DN70" i="2" a="1"/>
  <c r="DN70" i="2" s="1"/>
  <c r="DN63" i="2" a="1"/>
  <c r="DN63" i="2" s="1"/>
  <c r="DN113" i="2" a="1"/>
  <c r="DN113" i="2" s="1"/>
  <c r="DN103" i="2" a="1"/>
  <c r="DN103" i="2" s="1"/>
  <c r="CS185" i="2" a="1"/>
  <c r="CS185" i="2" s="1"/>
  <c r="CS114" i="2" a="1"/>
  <c r="CS114" i="2" s="1"/>
  <c r="CS56" i="2" a="1"/>
  <c r="CS56" i="2" s="1"/>
  <c r="CS38" i="2" a="1"/>
  <c r="CS38" i="2" s="1"/>
  <c r="CS105" i="2" a="1"/>
  <c r="CS105" i="2" s="1"/>
  <c r="CS161" i="2" a="1"/>
  <c r="CS161" i="2" s="1"/>
  <c r="CS77" i="2" a="1"/>
  <c r="CS77" i="2" s="1"/>
  <c r="BC32" i="2" a="1"/>
  <c r="BC32" i="2" s="1"/>
  <c r="BC164" i="2" a="1"/>
  <c r="BC164" i="2" s="1"/>
  <c r="BC58" i="2" a="1"/>
  <c r="BC58" i="2" s="1"/>
  <c r="BC68" i="2" a="1"/>
  <c r="BC68" i="2" s="1"/>
  <c r="BC192" i="2" a="1"/>
  <c r="BC192" i="2" s="1"/>
  <c r="BC34" i="2" a="1"/>
  <c r="BC34" i="2" s="1"/>
  <c r="DN55" i="2" a="1"/>
  <c r="DN55" i="2" s="1"/>
  <c r="DN25" i="2" a="1"/>
  <c r="DN25" i="2" s="1"/>
  <c r="DN123" i="2" a="1"/>
  <c r="DN123" i="2" s="1"/>
  <c r="BX107" i="2" a="1"/>
  <c r="BX107" i="2" s="1"/>
  <c r="DN16" i="2" a="1"/>
  <c r="DN16" i="2" s="1"/>
  <c r="DN150" i="2" a="1"/>
  <c r="DN150" i="2" s="1"/>
  <c r="DN43" i="2" a="1"/>
  <c r="DN43" i="2" s="1"/>
  <c r="FY196" i="2" a="1"/>
  <c r="FY196" i="2" s="1"/>
  <c r="GT122" i="2" a="1"/>
  <c r="GT122" i="2" s="1"/>
  <c r="FS203" i="2"/>
  <c r="DN30" i="2" a="1"/>
  <c r="DN30" i="2" s="1"/>
  <c r="DN135" i="2" a="1"/>
  <c r="DN135" i="2" s="1"/>
  <c r="EI34" i="2" a="1"/>
  <c r="EI34" i="2" s="1"/>
  <c r="GT74" i="2" a="1"/>
  <c r="GT74" i="2" s="1"/>
  <c r="DN86" i="2" a="1"/>
  <c r="DN86" i="2" s="1"/>
  <c r="GT51" i="2" a="1"/>
  <c r="GT51" i="2" s="1"/>
  <c r="FY104" i="2" a="1"/>
  <c r="FY104" i="2" s="1"/>
  <c r="GT107" i="2" a="1"/>
  <c r="GT107" i="2" s="1"/>
  <c r="DN29" i="2" a="1"/>
  <c r="DN29" i="2" s="1"/>
  <c r="GT190" i="2" a="1"/>
  <c r="GT190" i="2" s="1"/>
  <c r="DN41" i="2" a="1"/>
  <c r="DN41" i="2" s="1"/>
  <c r="GT133" i="2" a="1"/>
  <c r="GT133" i="2" s="1"/>
  <c r="GT38" i="2" a="1"/>
  <c r="GT38" i="2" s="1"/>
  <c r="DN186" i="2" a="1"/>
  <c r="DN186" i="2" s="1"/>
  <c r="DN164" i="2" a="1"/>
  <c r="DN164" i="2" s="1"/>
  <c r="DN137" i="2" a="1"/>
  <c r="DN137" i="2" s="1"/>
  <c r="GT178" i="2" a="1"/>
  <c r="GT178" i="2" s="1"/>
  <c r="GT68" i="2" a="1"/>
  <c r="GT68" i="2" s="1"/>
  <c r="AH163" i="2" a="1"/>
  <c r="AH163" i="2" s="1"/>
  <c r="DN115" i="2" a="1"/>
  <c r="DN115" i="2" s="1"/>
  <c r="DN124" i="2" a="1"/>
  <c r="DN124" i="2" s="1"/>
  <c r="GT181" i="2" a="1"/>
  <c r="GT181" i="2" s="1"/>
  <c r="AH92" i="2" a="1"/>
  <c r="AH92" i="2" s="1"/>
  <c r="DN187" i="2" a="1"/>
  <c r="DN187" i="2" s="1"/>
  <c r="DN184" i="2" a="1"/>
  <c r="DN184" i="2" s="1"/>
  <c r="DN31" i="2" a="1"/>
  <c r="DN31" i="2" s="1"/>
  <c r="DN152" i="2" a="1"/>
  <c r="DN152" i="2" s="1"/>
  <c r="GT174" i="2" a="1"/>
  <c r="GT174" i="2" s="1"/>
  <c r="DN192" i="2" a="1"/>
  <c r="DN192" i="2" s="1"/>
  <c r="GT126" i="2" a="1"/>
  <c r="GT126" i="2" s="1"/>
  <c r="DN38" i="2" a="1"/>
  <c r="DN38" i="2" s="1"/>
  <c r="DN177" i="2" a="1"/>
  <c r="DN177" i="2" s="1"/>
  <c r="AH62" i="2" a="1"/>
  <c r="AH62" i="2" s="1"/>
  <c r="DN153" i="2" a="1"/>
  <c r="DN153" i="2" s="1"/>
  <c r="GT184" i="2" a="1"/>
  <c r="GT184" i="2" s="1"/>
  <c r="FY78" i="2" a="1"/>
  <c r="FY78" i="2" s="1"/>
  <c r="DN110" i="2" a="1"/>
  <c r="DN110" i="2" s="1"/>
  <c r="GT147" i="2" a="1"/>
  <c r="GT147" i="2" s="1"/>
  <c r="GT152" i="2" a="1"/>
  <c r="GT152" i="2" s="1"/>
  <c r="FY30" i="2" a="1"/>
  <c r="FY30" i="2" s="1"/>
  <c r="GT121" i="2" a="1"/>
  <c r="GT121" i="2" s="1"/>
  <c r="EI165" i="2" a="1"/>
  <c r="EI165" i="2" s="1"/>
  <c r="EI71" i="2" a="1"/>
  <c r="EI71" i="2" s="1"/>
  <c r="EI57" i="2" a="1"/>
  <c r="EI57" i="2" s="1"/>
  <c r="DN80" i="2" a="1"/>
  <c r="DN80" i="2" s="1"/>
  <c r="EI36" i="2" a="1"/>
  <c r="EI36" i="2" s="1"/>
  <c r="GT21" i="2" a="1"/>
  <c r="GT21" i="2" s="1"/>
  <c r="AH199" i="2" a="1"/>
  <c r="AH199" i="2" s="1"/>
  <c r="DN170" i="2" a="1"/>
  <c r="DN170" i="2" s="1"/>
  <c r="DN155" i="2" a="1"/>
  <c r="DN155" i="2" s="1"/>
  <c r="GT115" i="2" a="1"/>
  <c r="GT115" i="2" s="1"/>
  <c r="FY186" i="2" a="1"/>
  <c r="FY186" i="2" s="1"/>
  <c r="DN167" i="2" a="1"/>
  <c r="DN167" i="2" s="1"/>
  <c r="DN45" i="2" a="1"/>
  <c r="DN45" i="2" s="1"/>
  <c r="GT33" i="2" a="1"/>
  <c r="GT33" i="2" s="1"/>
  <c r="DN162" i="2" a="1"/>
  <c r="DN162" i="2" s="1"/>
  <c r="DN49" i="2" a="1"/>
  <c r="DN49" i="2" s="1"/>
  <c r="DN66" i="2" a="1"/>
  <c r="DN66" i="2" s="1"/>
  <c r="DN132" i="2" a="1"/>
  <c r="DN132" i="2" s="1"/>
  <c r="DN188" i="2" a="1"/>
  <c r="DN188" i="2" s="1"/>
  <c r="FY190" i="2" a="1"/>
  <c r="FY190" i="2" s="1"/>
  <c r="GT189" i="2" a="1"/>
  <c r="GT189" i="2" s="1"/>
  <c r="DN190" i="2" a="1"/>
  <c r="DN190" i="2" s="1"/>
  <c r="DN133" i="2" a="1"/>
  <c r="DN133" i="2" s="1"/>
  <c r="EI87" i="2" a="1"/>
  <c r="EI87" i="2" s="1"/>
  <c r="GT12" i="2" a="1"/>
  <c r="GT12" i="2" s="1"/>
  <c r="DN129" i="2" a="1"/>
  <c r="DN129" i="2" s="1"/>
  <c r="EI142" i="2" a="1"/>
  <c r="EI142" i="2" s="1"/>
  <c r="DN56" i="2" a="1"/>
  <c r="DN56" i="2" s="1"/>
  <c r="FY69" i="2" a="1"/>
  <c r="FY69" i="2" s="1"/>
  <c r="GT191" i="2" a="1"/>
  <c r="GT191" i="2" s="1"/>
  <c r="EI20" i="2" a="1"/>
  <c r="EI20" i="2" s="1"/>
  <c r="DN46" i="2" a="1"/>
  <c r="DN46" i="2" s="1"/>
  <c r="DN176" i="2" a="1"/>
  <c r="DN176" i="2" s="1"/>
  <c r="GT198" i="2" a="1"/>
  <c r="GT198" i="2" s="1"/>
  <c r="DN65" i="2" a="1"/>
  <c r="DN65" i="2" s="1"/>
  <c r="DN168" i="2" a="1"/>
  <c r="DN168" i="2" s="1"/>
  <c r="EI109" i="2" a="1"/>
  <c r="EI109" i="2" s="1"/>
  <c r="FD160" i="2" a="1"/>
  <c r="FD160" i="2" s="1"/>
  <c r="DN114" i="2" a="1"/>
  <c r="DN114" i="2" s="1"/>
  <c r="DN50" i="2" a="1"/>
  <c r="DN50" i="2" s="1"/>
  <c r="EI106" i="2" a="1"/>
  <c r="EI106" i="2" s="1"/>
  <c r="BC117" i="2" a="1"/>
  <c r="BC117" i="2" s="1"/>
  <c r="FY35" i="2" a="1"/>
  <c r="FY35" i="2" s="1"/>
  <c r="AH166" i="2" a="1"/>
  <c r="AH166" i="2" s="1"/>
  <c r="AH90" i="2" a="1"/>
  <c r="AH90" i="2" s="1"/>
  <c r="AH19" i="2" a="1"/>
  <c r="AH19" i="2" s="1"/>
  <c r="AH151" i="2" a="1"/>
  <c r="AH151" i="2" s="1"/>
  <c r="FD107" i="2" a="1"/>
  <c r="FD107" i="2" s="1"/>
  <c r="FD44" i="2" a="1"/>
  <c r="FD44" i="2" s="1"/>
  <c r="FY42" i="2" a="1"/>
  <c r="FY42" i="2" s="1"/>
  <c r="EI153" i="2" a="1"/>
  <c r="EI153" i="2" s="1"/>
  <c r="FY34" i="2" a="1"/>
  <c r="FY34" i="2" s="1"/>
  <c r="FY72" i="2" a="1"/>
  <c r="FY72" i="2" s="1"/>
  <c r="FY174" i="2" a="1"/>
  <c r="FY174" i="2" s="1"/>
  <c r="FY173" i="2" a="1"/>
  <c r="FY173" i="2" s="1"/>
  <c r="FY66" i="2" a="1"/>
  <c r="FY66" i="2" s="1"/>
  <c r="FY165" i="2" a="1"/>
  <c r="FY165" i="2" s="1"/>
  <c r="FY109" i="2" a="1"/>
  <c r="FY109" i="2" s="1"/>
  <c r="HG203" i="2"/>
  <c r="FY164" i="2" a="1"/>
  <c r="FY164" i="2" s="1"/>
  <c r="FY99" i="2" a="1"/>
  <c r="FY99" i="2" s="1"/>
  <c r="FY159" i="2" a="1"/>
  <c r="FY159" i="2" s="1"/>
  <c r="FY120" i="2" a="1"/>
  <c r="FY120" i="2" s="1"/>
  <c r="FY146" i="2" a="1"/>
  <c r="FY146" i="2" s="1"/>
  <c r="FY79" i="2" a="1"/>
  <c r="FY79" i="2" s="1"/>
  <c r="FD187" i="2" a="1"/>
  <c r="FD187" i="2" s="1"/>
  <c r="FD131" i="2" a="1"/>
  <c r="FD131" i="2" s="1"/>
  <c r="FD60" i="2" a="1"/>
  <c r="FD60" i="2" s="1"/>
  <c r="FY82" i="2" a="1"/>
  <c r="FY82" i="2" s="1"/>
  <c r="EI178" i="2" a="1"/>
  <c r="EI178" i="2" s="1"/>
  <c r="EI198" i="2" a="1"/>
  <c r="EI198" i="2" s="1"/>
  <c r="FY149" i="2" a="1"/>
  <c r="FY149" i="2" s="1"/>
  <c r="FY178" i="2" a="1"/>
  <c r="FY178" i="2" s="1"/>
  <c r="FY116" i="2" a="1"/>
  <c r="FY116" i="2" s="1"/>
  <c r="FY143" i="2" a="1"/>
  <c r="FY143" i="2" s="1"/>
  <c r="FY71" i="2" a="1"/>
  <c r="FY71" i="2" s="1"/>
  <c r="FY32" i="2" a="1"/>
  <c r="FY32" i="2" s="1"/>
  <c r="FY47" i="2" a="1"/>
  <c r="FY47" i="2" s="1"/>
  <c r="FD194" i="2" a="1"/>
  <c r="FD194" i="2" s="1"/>
  <c r="FD43" i="2" a="1"/>
  <c r="FD43" i="2" s="1"/>
  <c r="FY121" i="2" a="1"/>
  <c r="FY121" i="2" s="1"/>
  <c r="FY182" i="2" a="1"/>
  <c r="FY182" i="2" s="1"/>
  <c r="EI145" i="2" a="1"/>
  <c r="EI145" i="2" s="1"/>
  <c r="FD59" i="2" a="1"/>
  <c r="FD59" i="2" s="1"/>
  <c r="FY24" i="2" a="1"/>
  <c r="FY24" i="2" s="1"/>
  <c r="FY55" i="2" a="1"/>
  <c r="FY55" i="2" s="1"/>
  <c r="FY92" i="2" a="1"/>
  <c r="FY92" i="2" s="1"/>
  <c r="FY191" i="2" a="1"/>
  <c r="FY191" i="2" s="1"/>
  <c r="FY18" i="2" a="1"/>
  <c r="FY18" i="2" s="1"/>
  <c r="FY22" i="2" a="1"/>
  <c r="FY22" i="2" s="1"/>
  <c r="FR203" i="2"/>
  <c r="FD19" i="2" a="1"/>
  <c r="FD19" i="2" s="1"/>
  <c r="FD64" i="2" a="1"/>
  <c r="FD64" i="2" s="1"/>
  <c r="FY167" i="2" a="1"/>
  <c r="FY167" i="2" s="1"/>
  <c r="FY115" i="2" a="1"/>
  <c r="FY115" i="2" s="1"/>
  <c r="EI162" i="2" a="1"/>
  <c r="EI162" i="2" s="1"/>
  <c r="FD144" i="2" a="1"/>
  <c r="FD144" i="2" s="1"/>
  <c r="FY124" i="2" a="1"/>
  <c r="FY124" i="2" s="1"/>
  <c r="FY126" i="2" a="1"/>
  <c r="FY126" i="2" s="1"/>
  <c r="FY111" i="2" a="1"/>
  <c r="FY111" i="2" s="1"/>
  <c r="FY110" i="2" a="1"/>
  <c r="FY110" i="2" s="1"/>
  <c r="FY133" i="2" a="1"/>
  <c r="FY133" i="2" s="1"/>
  <c r="FY90" i="2" a="1"/>
  <c r="FY90" i="2" s="1"/>
  <c r="FY86" i="2" a="1"/>
  <c r="FY86" i="2" s="1"/>
  <c r="EI150" i="2" a="1"/>
  <c r="EI150" i="2" s="1"/>
  <c r="FD21" i="2" a="1"/>
  <c r="FD21" i="2" s="1"/>
  <c r="FY169" i="2" a="1"/>
  <c r="FY169" i="2" s="1"/>
  <c r="FY188" i="2" a="1"/>
  <c r="FY188" i="2" s="1"/>
  <c r="FY73" i="2" a="1"/>
  <c r="FY73" i="2" s="1"/>
  <c r="FY153" i="2" a="1"/>
  <c r="FY153" i="2" s="1"/>
  <c r="FY140" i="2" a="1"/>
  <c r="FY140" i="2" s="1"/>
  <c r="FY57" i="2" a="1"/>
  <c r="FY57" i="2" s="1"/>
  <c r="FD137" i="2" a="1"/>
  <c r="FD137" i="2" s="1"/>
  <c r="FD14" i="2" a="1"/>
  <c r="FD14" i="2" s="1"/>
  <c r="FY80" i="2" a="1"/>
  <c r="FY80" i="2" s="1"/>
  <c r="FY58" i="2" a="1"/>
  <c r="FY58" i="2" s="1"/>
  <c r="EI29" i="2" a="1"/>
  <c r="EI29" i="2" s="1"/>
  <c r="FY172" i="2" a="1"/>
  <c r="FY172" i="2" s="1"/>
  <c r="FY62" i="2" a="1"/>
  <c r="FY62" i="2" s="1"/>
  <c r="FY28" i="2" a="1"/>
  <c r="FY28" i="2" s="1"/>
  <c r="FY152" i="2" a="1"/>
  <c r="FY152" i="2" s="1"/>
  <c r="FY102" i="2" a="1"/>
  <c r="FY102" i="2" s="1"/>
  <c r="FY29" i="2" a="1"/>
  <c r="FY29" i="2" s="1"/>
  <c r="FY54" i="2" a="1"/>
  <c r="FY54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Z8" i="2" s="1"/>
  <c r="FZ9" i="2" s="1"/>
  <c r="FZ10" i="2" s="1"/>
  <c r="FZ11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T203" i="2" l="1"/>
  <c r="DI203" i="2"/>
  <c r="EY203" i="2"/>
  <c r="ED203" i="2"/>
  <c r="CN203" i="2"/>
  <c r="FZ12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FK3" i="2" s="1"/>
  <c r="D13" i="4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J105" i="2" l="1"/>
  <c r="FJ156" i="2"/>
  <c r="FJ36" i="2"/>
  <c r="FJ19" i="2"/>
  <c r="FJ55" i="2"/>
  <c r="FJ134" i="2"/>
  <c r="FJ148" i="2"/>
  <c r="FJ16" i="2"/>
  <c r="FJ187" i="2"/>
  <c r="FJ147" i="2"/>
  <c r="FJ111" i="2"/>
  <c r="FJ54" i="2"/>
  <c r="FJ86" i="2"/>
  <c r="FJ127" i="2"/>
  <c r="FJ193" i="2"/>
  <c r="FJ4" i="2"/>
  <c r="FJ154" i="2"/>
  <c r="FJ180" i="2"/>
  <c r="FJ94" i="2"/>
  <c r="FJ126" i="2"/>
  <c r="FJ66" i="2"/>
  <c r="FJ169" i="2"/>
  <c r="FJ163" i="2"/>
  <c r="FJ76" i="2"/>
  <c r="FJ98" i="2"/>
  <c r="FJ30" i="2"/>
  <c r="FJ119" i="2"/>
  <c r="FJ18" i="2"/>
  <c r="FJ125" i="2"/>
  <c r="FJ151" i="2"/>
  <c r="FJ199" i="2"/>
  <c r="FJ56" i="2"/>
  <c r="FJ161" i="2"/>
  <c r="FJ158" i="2"/>
  <c r="FJ62" i="2"/>
  <c r="FJ178" i="2"/>
  <c r="FJ74" i="2"/>
  <c r="FJ10" i="2"/>
  <c r="FJ31" i="2"/>
  <c r="FJ69" i="2"/>
  <c r="FJ26" i="2"/>
  <c r="FJ186" i="2"/>
  <c r="FJ150" i="2"/>
  <c r="FJ130" i="2"/>
  <c r="FJ75" i="2"/>
  <c r="FJ35" i="2"/>
  <c r="FJ121" i="2"/>
  <c r="FJ179" i="2"/>
  <c r="FJ107" i="2"/>
  <c r="FJ79" i="2"/>
  <c r="FJ170" i="2"/>
  <c r="FJ85" i="2"/>
  <c r="FJ153" i="2"/>
  <c r="FJ33" i="2"/>
  <c r="FJ99" i="2"/>
  <c r="FJ152" i="2"/>
  <c r="FJ53" i="2"/>
  <c r="FJ78" i="2"/>
  <c r="FJ182" i="2"/>
  <c r="FJ89" i="2"/>
  <c r="FJ8" i="2"/>
  <c r="FJ38" i="2"/>
  <c r="FJ194" i="2"/>
  <c r="FJ114" i="2"/>
  <c r="FJ17" i="2"/>
  <c r="FJ41" i="2"/>
  <c r="FJ149" i="2"/>
  <c r="FJ80" i="2"/>
  <c r="FJ67" i="2"/>
  <c r="FJ173" i="2"/>
  <c r="FJ6" i="2"/>
  <c r="FJ197" i="2"/>
  <c r="FJ140" i="2"/>
  <c r="FJ49" i="2"/>
  <c r="FJ43" i="2"/>
  <c r="FJ174" i="2"/>
  <c r="FJ52" i="2"/>
  <c r="FJ37" i="2"/>
  <c r="FJ155" i="2"/>
  <c r="FJ21" i="2"/>
  <c r="FJ141" i="2"/>
  <c r="FJ162" i="2"/>
  <c r="FJ120" i="2"/>
  <c r="FJ20" i="2"/>
  <c r="FJ132" i="2"/>
  <c r="FJ189" i="2"/>
  <c r="FJ68" i="2"/>
  <c r="FJ12" i="2"/>
  <c r="FJ32" i="2"/>
  <c r="FJ5" i="2"/>
  <c r="FJ88" i="2"/>
  <c r="FJ139" i="2"/>
  <c r="FJ133" i="2"/>
  <c r="FJ7" i="2"/>
  <c r="FJ39" i="2"/>
  <c r="FJ123" i="2"/>
  <c r="FJ64" i="2"/>
  <c r="FJ201" i="2"/>
  <c r="FJ59" i="2"/>
  <c r="FJ46" i="2"/>
  <c r="FJ128" i="2"/>
  <c r="FJ103" i="2"/>
  <c r="FJ29" i="2"/>
  <c r="FJ61" i="2"/>
  <c r="FJ190" i="2"/>
  <c r="FJ45" i="2"/>
  <c r="FJ181" i="2"/>
  <c r="FJ96" i="2"/>
  <c r="FJ87" i="2"/>
  <c r="FJ71" i="2"/>
  <c r="FJ166" i="2"/>
  <c r="FJ142" i="2"/>
  <c r="FJ65" i="2"/>
  <c r="FJ129" i="2"/>
  <c r="FJ77" i="2"/>
  <c r="FJ118" i="2"/>
  <c r="FJ143" i="2"/>
  <c r="FJ13" i="2"/>
  <c r="FJ73" i="2"/>
  <c r="FJ144" i="2"/>
  <c r="FJ63" i="2"/>
  <c r="FJ165" i="2"/>
  <c r="FJ40" i="2"/>
  <c r="FJ70" i="2"/>
  <c r="FJ159" i="2"/>
  <c r="FJ124" i="2"/>
  <c r="FJ135" i="2"/>
  <c r="FJ83" i="2"/>
  <c r="FJ108" i="2"/>
  <c r="FJ90" i="2"/>
  <c r="FJ167" i="2"/>
  <c r="FJ28" i="2"/>
  <c r="FJ177" i="2"/>
  <c r="FJ24" i="2"/>
  <c r="FJ115" i="2"/>
  <c r="FJ34" i="2"/>
  <c r="FJ112" i="2"/>
  <c r="FJ171" i="2"/>
  <c r="FJ15" i="2"/>
  <c r="FJ109" i="2"/>
  <c r="FJ97" i="2"/>
  <c r="FJ84" i="2"/>
  <c r="FJ175" i="2"/>
  <c r="FJ168" i="2"/>
  <c r="FJ172" i="2"/>
  <c r="FJ146" i="2"/>
  <c r="FJ3" i="2"/>
  <c r="C13" i="4" s="1"/>
  <c r="E13" i="4" s="1"/>
  <c r="F13" i="4" s="1"/>
  <c r="G13" i="4" s="1"/>
  <c r="L13" i="4" s="1"/>
  <c r="FJ48" i="2"/>
  <c r="FJ42" i="2"/>
  <c r="FJ183" i="2"/>
  <c r="FJ95" i="2"/>
  <c r="FJ104" i="2"/>
  <c r="FJ157" i="2"/>
  <c r="FJ106" i="2"/>
  <c r="FJ160" i="2"/>
  <c r="FJ14" i="2"/>
  <c r="FJ22" i="2"/>
  <c r="FJ202" i="2"/>
  <c r="FJ117" i="2"/>
  <c r="FJ27" i="2"/>
  <c r="FJ184" i="2"/>
  <c r="FJ72" i="2"/>
  <c r="FJ196" i="2"/>
  <c r="FJ116" i="2"/>
  <c r="FJ136" i="2"/>
  <c r="FJ110" i="2"/>
  <c r="FJ91" i="2"/>
  <c r="FJ47" i="2"/>
  <c r="FJ137" i="2"/>
  <c r="FJ185" i="2"/>
  <c r="FJ164" i="2"/>
  <c r="FJ113" i="2"/>
  <c r="FJ51" i="2"/>
  <c r="FJ122" i="2"/>
  <c r="FJ44" i="2"/>
  <c r="FJ198" i="2"/>
  <c r="FJ25" i="2"/>
  <c r="FJ93" i="2"/>
  <c r="FJ82" i="2"/>
  <c r="FJ188" i="2"/>
  <c r="FJ57" i="2"/>
  <c r="FJ58" i="2"/>
  <c r="FJ176" i="2"/>
  <c r="FJ50" i="2"/>
  <c r="FJ102" i="2"/>
  <c r="FJ9" i="2"/>
  <c r="FJ100" i="2"/>
  <c r="FJ203" i="2"/>
  <c r="FJ11" i="2"/>
  <c r="FJ195" i="2"/>
  <c r="FJ145" i="2"/>
  <c r="FJ23" i="2"/>
  <c r="FJ101" i="2"/>
  <c r="FJ138" i="2"/>
  <c r="FJ60" i="2"/>
  <c r="FJ81" i="2"/>
  <c r="FJ191" i="2"/>
  <c r="FJ131" i="2"/>
  <c r="FJ200" i="2"/>
  <c r="FJ192" i="2"/>
  <c r="FJ92" i="2"/>
  <c r="FE125" i="2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CD11" i="2" l="1"/>
  <c r="CD60" i="2"/>
  <c r="CD97" i="2"/>
  <c r="CD117" i="2"/>
  <c r="CD163" i="2"/>
  <c r="CD3" i="2"/>
  <c r="C9" i="4" s="1"/>
  <c r="E9" i="4" s="1"/>
  <c r="F9" i="4" s="1"/>
  <c r="G9" i="4" s="1"/>
  <c r="L9" i="4" s="1"/>
  <c r="CD78" i="2"/>
  <c r="CD55" i="2"/>
  <c r="CD192" i="2"/>
  <c r="CD119" i="2"/>
  <c r="CD156" i="2"/>
  <c r="CD129" i="2"/>
  <c r="CD154" i="2"/>
  <c r="CD54" i="2"/>
  <c r="CD37" i="2"/>
  <c r="CD121" i="2"/>
  <c r="CD124" i="2"/>
  <c r="CD162" i="2"/>
  <c r="CD79" i="2"/>
  <c r="CD152" i="2"/>
  <c r="CD26" i="2"/>
  <c r="CD85" i="2"/>
  <c r="CD134" i="2"/>
  <c r="CD137" i="2"/>
  <c r="CD190" i="2"/>
  <c r="CD194" i="2"/>
  <c r="CD14" i="2"/>
  <c r="CD123" i="2"/>
  <c r="CD99" i="2"/>
  <c r="CD197" i="2"/>
  <c r="CD164" i="2"/>
  <c r="CD45" i="2"/>
  <c r="CD148" i="2"/>
  <c r="CD19" i="2"/>
  <c r="CD132" i="2"/>
  <c r="CD86" i="2"/>
  <c r="CD87" i="2"/>
  <c r="CD184" i="2"/>
  <c r="CD10" i="2"/>
  <c r="CD94" i="2"/>
  <c r="CD5" i="2"/>
  <c r="CD105" i="2"/>
  <c r="CD149" i="2"/>
  <c r="CD36" i="2"/>
  <c r="CD76" i="2"/>
  <c r="CD172" i="2"/>
  <c r="CD167" i="2"/>
  <c r="CD160" i="2"/>
  <c r="CD9" i="2"/>
  <c r="CD57" i="2"/>
  <c r="CD127" i="2"/>
  <c r="CD74" i="2"/>
  <c r="CD139" i="2"/>
  <c r="CD165" i="2"/>
  <c r="CD92" i="2"/>
  <c r="CD203" i="2"/>
  <c r="CD104" i="2"/>
  <c r="CD189" i="2"/>
  <c r="CD88" i="2"/>
  <c r="CD27" i="2"/>
  <c r="CD126" i="2"/>
  <c r="CD95" i="2"/>
  <c r="CD13" i="2"/>
  <c r="CD43" i="2"/>
  <c r="CD24" i="2"/>
  <c r="CD39" i="2"/>
  <c r="CD112" i="2"/>
  <c r="CD8" i="2"/>
  <c r="CD176" i="2"/>
  <c r="CD53" i="2"/>
  <c r="CD182" i="2"/>
  <c r="CD90" i="2"/>
  <c r="CD93" i="2"/>
  <c r="CD16" i="2"/>
  <c r="CD166" i="2"/>
  <c r="CD111" i="2"/>
  <c r="CD58" i="2"/>
  <c r="CD12" i="2"/>
  <c r="CD33" i="2"/>
  <c r="CD48" i="2"/>
  <c r="CD142" i="2"/>
  <c r="CD38" i="2"/>
  <c r="CD115" i="2"/>
  <c r="CD106" i="2"/>
  <c r="CD73" i="2"/>
  <c r="CD169" i="2"/>
  <c r="CD83" i="2"/>
  <c r="CD175" i="2"/>
  <c r="CD151" i="2"/>
  <c r="CD158" i="2"/>
  <c r="CD198" i="2"/>
  <c r="CD136" i="2"/>
  <c r="CD52" i="2"/>
  <c r="CD41" i="2"/>
  <c r="CD131" i="2"/>
  <c r="CD21" i="2"/>
  <c r="CD44" i="2"/>
  <c r="CD61" i="2"/>
  <c r="CD153" i="2"/>
  <c r="CD133" i="2"/>
  <c r="CD181" i="2"/>
  <c r="CD22" i="2"/>
  <c r="CD177" i="2"/>
  <c r="CD191" i="2"/>
  <c r="CD49" i="2"/>
  <c r="CD84" i="2"/>
  <c r="CD195" i="2"/>
  <c r="CD40" i="2"/>
  <c r="CD174" i="2"/>
  <c r="CD113" i="2"/>
  <c r="CD15" i="2"/>
  <c r="CD7" i="2"/>
  <c r="CD96" i="2"/>
  <c r="CD30" i="2"/>
  <c r="CD98" i="2"/>
  <c r="CD82" i="2"/>
  <c r="CD59" i="2"/>
  <c r="CD120" i="2"/>
  <c r="CD64" i="2"/>
  <c r="CD150" i="2"/>
  <c r="CD17" i="2"/>
  <c r="CD72" i="2"/>
  <c r="CD77" i="2"/>
  <c r="CD122" i="2"/>
  <c r="CD101" i="2"/>
  <c r="CD28" i="2"/>
  <c r="CD173" i="2"/>
  <c r="CD107" i="2"/>
  <c r="CD193" i="2"/>
  <c r="CD168" i="2"/>
  <c r="CD157" i="2"/>
  <c r="CD62" i="2"/>
  <c r="CD110" i="2"/>
  <c r="CD143" i="2"/>
  <c r="CD20" i="2"/>
  <c r="CD103" i="2"/>
  <c r="CD170" i="2"/>
  <c r="CD56" i="2"/>
  <c r="CD196" i="2"/>
  <c r="CD81" i="2"/>
  <c r="CD130" i="2"/>
  <c r="CD102" i="2"/>
  <c r="CD25" i="2"/>
  <c r="CD69" i="2"/>
  <c r="CD202" i="2"/>
  <c r="CD171" i="2"/>
  <c r="CD32" i="2"/>
  <c r="CD18" i="2"/>
  <c r="CD140" i="2"/>
  <c r="CD199" i="2"/>
  <c r="CD114" i="2"/>
  <c r="CD63" i="2"/>
  <c r="CD31" i="2"/>
  <c r="CD70" i="2"/>
  <c r="CD201" i="2"/>
  <c r="CD180" i="2"/>
  <c r="CD155" i="2"/>
  <c r="CD80" i="2"/>
  <c r="CD42" i="2"/>
  <c r="CD68" i="2"/>
  <c r="CD146" i="2"/>
  <c r="CD47" i="2"/>
  <c r="CD144" i="2"/>
  <c r="CD109" i="2"/>
  <c r="CD51" i="2"/>
  <c r="CD145" i="2"/>
  <c r="CD187" i="2"/>
  <c r="CD46" i="2"/>
  <c r="CD50" i="2"/>
  <c r="CD141" i="2"/>
  <c r="CD108" i="2"/>
  <c r="CD186" i="2"/>
  <c r="CD65" i="2"/>
  <c r="CD34" i="2"/>
  <c r="CD185" i="2"/>
  <c r="CD138" i="2"/>
  <c r="CD178" i="2"/>
  <c r="CD179" i="2"/>
  <c r="CD161" i="2"/>
  <c r="CD35" i="2"/>
  <c r="CD89" i="2"/>
  <c r="CD118" i="2"/>
  <c r="CD71" i="2"/>
  <c r="CD91" i="2"/>
  <c r="CD135" i="2"/>
  <c r="CD116" i="2"/>
  <c r="CD125" i="2"/>
  <c r="CD67" i="2"/>
  <c r="CD75" i="2"/>
  <c r="CD147" i="2"/>
  <c r="CD29" i="2"/>
  <c r="CD200" i="2"/>
  <c r="CD159" i="2"/>
  <c r="CD188" i="2"/>
  <c r="CD100" i="2"/>
  <c r="CD128" i="2"/>
  <c r="CD183" i="2"/>
  <c r="CD66" i="2"/>
  <c r="CD4" i="2"/>
  <c r="CD6" i="2"/>
  <c r="CD23" i="2"/>
  <c r="FE148" i="2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AN203" i="2" l="1"/>
  <c r="AN97" i="2"/>
  <c r="AN37" i="2"/>
  <c r="AN176" i="2"/>
  <c r="AN17" i="2"/>
  <c r="AN109" i="2"/>
  <c r="AN74" i="2"/>
  <c r="AN196" i="2"/>
  <c r="AN76" i="2"/>
  <c r="AN113" i="2"/>
  <c r="AN57" i="2"/>
  <c r="AN120" i="2"/>
  <c r="AN167" i="2"/>
  <c r="AN59" i="2"/>
  <c r="AN94" i="2"/>
  <c r="AN172" i="2"/>
  <c r="AN181" i="2"/>
  <c r="AN81" i="2"/>
  <c r="AN165" i="2"/>
  <c r="AN92" i="2"/>
  <c r="AN82" i="2"/>
  <c r="AN125" i="2"/>
  <c r="AN54" i="2"/>
  <c r="AN146" i="2"/>
  <c r="AN90" i="2"/>
  <c r="AN147" i="2"/>
  <c r="AN77" i="2"/>
  <c r="AN64" i="2"/>
  <c r="AN69" i="2"/>
  <c r="AN171" i="2"/>
  <c r="AN122" i="2"/>
  <c r="AN7" i="2"/>
  <c r="AN148" i="2"/>
  <c r="AN117" i="2"/>
  <c r="AN182" i="2"/>
  <c r="AN110" i="2"/>
  <c r="AN137" i="2"/>
  <c r="AN193" i="2"/>
  <c r="AN51" i="2"/>
  <c r="AN18" i="2"/>
  <c r="AN107" i="2"/>
  <c r="AN195" i="2"/>
  <c r="AN190" i="2"/>
  <c r="AN49" i="2"/>
  <c r="AN55" i="2"/>
  <c r="AN3" i="2"/>
  <c r="C7" i="4" s="1"/>
  <c r="E7" i="4" s="1"/>
  <c r="F7" i="4" s="1"/>
  <c r="G7" i="4" s="1"/>
  <c r="L7" i="4" s="1"/>
  <c r="AN183" i="2"/>
  <c r="AN185" i="2"/>
  <c r="AN88" i="2"/>
  <c r="AN83" i="2"/>
  <c r="AN73" i="2"/>
  <c r="AN39" i="2"/>
  <c r="AN53" i="2"/>
  <c r="AN100" i="2"/>
  <c r="AN175" i="2"/>
  <c r="AN62" i="2"/>
  <c r="AN105" i="2"/>
  <c r="AN121" i="2"/>
  <c r="AN188" i="2"/>
  <c r="AN124" i="2"/>
  <c r="AN20" i="2"/>
  <c r="AN47" i="2"/>
  <c r="AN96" i="2"/>
  <c r="AN104" i="2"/>
  <c r="AN56" i="2"/>
  <c r="AN136" i="2"/>
  <c r="AN140" i="2"/>
  <c r="AN58" i="2"/>
  <c r="AN145" i="2"/>
  <c r="AN108" i="2"/>
  <c r="AN72" i="2"/>
  <c r="AN19" i="2"/>
  <c r="AN200" i="2"/>
  <c r="AN194" i="2"/>
  <c r="AN12" i="2"/>
  <c r="AN186" i="2"/>
  <c r="AN134" i="2"/>
  <c r="AN33" i="2"/>
  <c r="AN132" i="2"/>
  <c r="AN31" i="2"/>
  <c r="AN91" i="2"/>
  <c r="AN103" i="2"/>
  <c r="AN198" i="2"/>
  <c r="AN173" i="2"/>
  <c r="AN142" i="2"/>
  <c r="AN66" i="2"/>
  <c r="AN35" i="2"/>
  <c r="AN111" i="2"/>
  <c r="AN155" i="2"/>
  <c r="AN179" i="2"/>
  <c r="AN40" i="2"/>
  <c r="AN154" i="2"/>
  <c r="AN80" i="2"/>
  <c r="AN16" i="2"/>
  <c r="AN101" i="2"/>
  <c r="AN21" i="2"/>
  <c r="AN112" i="2"/>
  <c r="AN14" i="2"/>
  <c r="AN158" i="2"/>
  <c r="AN32" i="2"/>
  <c r="AN10" i="2"/>
  <c r="AN187" i="2"/>
  <c r="AN166" i="2"/>
  <c r="AN184" i="2"/>
  <c r="AN163" i="2"/>
  <c r="AN68" i="2"/>
  <c r="AN118" i="2"/>
  <c r="AN23" i="2"/>
  <c r="AN116" i="2"/>
  <c r="AN135" i="2"/>
  <c r="AN27" i="2"/>
  <c r="AN156" i="2"/>
  <c r="AN70" i="2"/>
  <c r="AN180" i="2"/>
  <c r="AN131" i="2"/>
  <c r="AN28" i="2"/>
  <c r="AN202" i="2"/>
  <c r="AN159" i="2"/>
  <c r="AN168" i="2"/>
  <c r="AN115" i="2"/>
  <c r="AN60" i="2"/>
  <c r="AN177" i="2"/>
  <c r="AN119" i="2"/>
  <c r="AN78" i="2"/>
  <c r="AN30" i="2"/>
  <c r="AN149" i="2"/>
  <c r="AN178" i="2"/>
  <c r="AN36" i="2"/>
  <c r="AN102" i="2"/>
  <c r="AN87" i="2"/>
  <c r="AN71" i="2"/>
  <c r="AN128" i="2"/>
  <c r="AN129" i="2"/>
  <c r="AN43" i="2"/>
  <c r="AN67" i="2"/>
  <c r="AN157" i="2"/>
  <c r="AN138" i="2"/>
  <c r="AN199" i="2"/>
  <c r="AN15" i="2"/>
  <c r="AN41" i="2"/>
  <c r="AN130" i="2"/>
  <c r="AN86" i="2"/>
  <c r="AN13" i="2"/>
  <c r="AN170" i="2"/>
  <c r="AN191" i="2"/>
  <c r="AN99" i="2"/>
  <c r="AN85" i="2"/>
  <c r="AN63" i="2"/>
  <c r="AN11" i="2"/>
  <c r="AN161" i="2"/>
  <c r="AN160" i="2"/>
  <c r="AN38" i="2"/>
  <c r="AN52" i="2"/>
  <c r="AN162" i="2"/>
  <c r="AN169" i="2"/>
  <c r="AN197" i="2"/>
  <c r="AN44" i="2"/>
  <c r="AN106" i="2"/>
  <c r="AN4" i="2"/>
  <c r="AN133" i="2"/>
  <c r="AN164" i="2"/>
  <c r="AN50" i="2"/>
  <c r="AN5" i="2"/>
  <c r="AN143" i="2"/>
  <c r="AN75" i="2"/>
  <c r="AN8" i="2"/>
  <c r="AN192" i="2"/>
  <c r="AN89" i="2"/>
  <c r="AN201" i="2"/>
  <c r="AN34" i="2"/>
  <c r="AN127" i="2"/>
  <c r="AN144" i="2"/>
  <c r="AN123" i="2"/>
  <c r="AN84" i="2"/>
  <c r="AN29" i="2"/>
  <c r="AN6" i="2"/>
  <c r="AN150" i="2"/>
  <c r="AN79" i="2"/>
  <c r="AN152" i="2"/>
  <c r="AN153" i="2"/>
  <c r="AN65" i="2"/>
  <c r="AN93" i="2"/>
  <c r="AN9" i="2"/>
  <c r="AN26" i="2"/>
  <c r="AN174" i="2"/>
  <c r="AN139" i="2"/>
  <c r="AN98" i="2"/>
  <c r="AN25" i="2"/>
  <c r="AN126" i="2"/>
  <c r="AN151" i="2"/>
  <c r="AN48" i="2"/>
  <c r="AN189" i="2"/>
  <c r="AN24" i="2"/>
  <c r="AN61" i="2"/>
  <c r="AN42" i="2"/>
  <c r="AN141" i="2"/>
  <c r="AN45" i="2"/>
  <c r="AN46" i="2"/>
  <c r="AN114" i="2"/>
  <c r="AN22" i="2"/>
  <c r="AN95" i="2"/>
  <c r="FE188" i="2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I47" i="2" l="1"/>
  <c r="BI88" i="2"/>
  <c r="BI46" i="2"/>
  <c r="BI194" i="2"/>
  <c r="BI48" i="2"/>
  <c r="BI182" i="2"/>
  <c r="BI28" i="2"/>
  <c r="BI41" i="2"/>
  <c r="BI156" i="2"/>
  <c r="BI105" i="2"/>
  <c r="BI173" i="2"/>
  <c r="BI152" i="2"/>
  <c r="BI146" i="2"/>
  <c r="BI50" i="2"/>
  <c r="BI85" i="2"/>
  <c r="BI24" i="2"/>
  <c r="BI192" i="2"/>
  <c r="BI3" i="2"/>
  <c r="C8" i="4" s="1"/>
  <c r="E8" i="4" s="1"/>
  <c r="F8" i="4" s="1"/>
  <c r="G8" i="4" s="1"/>
  <c r="L8" i="4" s="1"/>
  <c r="BI10" i="2"/>
  <c r="BI34" i="2"/>
  <c r="BI59" i="2"/>
  <c r="BI116" i="2"/>
  <c r="BI96" i="2"/>
  <c r="BI114" i="2"/>
  <c r="BI130" i="2"/>
  <c r="BI43" i="2"/>
  <c r="BI29" i="2"/>
  <c r="BI185" i="2"/>
  <c r="BI42" i="2"/>
  <c r="BI129" i="2"/>
  <c r="BI4" i="2"/>
  <c r="BI13" i="2"/>
  <c r="BI122" i="2"/>
  <c r="BI69" i="2"/>
  <c r="BI25" i="2"/>
  <c r="BI143" i="2"/>
  <c r="BI170" i="2"/>
  <c r="BI109" i="2"/>
  <c r="BI9" i="2"/>
  <c r="BI151" i="2"/>
  <c r="BI175" i="2"/>
  <c r="BI60" i="2"/>
  <c r="BI7" i="2"/>
  <c r="BI136" i="2"/>
  <c r="BI66" i="2"/>
  <c r="BI198" i="2"/>
  <c r="BI168" i="2"/>
  <c r="BI95" i="2"/>
  <c r="BI196" i="2"/>
  <c r="BI38" i="2"/>
  <c r="BI23" i="2"/>
  <c r="BI99" i="2"/>
  <c r="BI148" i="2"/>
  <c r="BI70" i="2"/>
  <c r="BI62" i="2"/>
  <c r="BI51" i="2"/>
  <c r="BI153" i="2"/>
  <c r="BI98" i="2"/>
  <c r="BI57" i="2"/>
  <c r="BI139" i="2"/>
  <c r="BI134" i="2"/>
  <c r="BI172" i="2"/>
  <c r="BI183" i="2"/>
  <c r="BI91" i="2"/>
  <c r="BI178" i="2"/>
  <c r="BI169" i="2"/>
  <c r="BI61" i="2"/>
  <c r="BI92" i="2"/>
  <c r="BI27" i="2"/>
  <c r="BI123" i="2"/>
  <c r="BI72" i="2"/>
  <c r="BI78" i="2"/>
  <c r="BI20" i="2"/>
  <c r="BI5" i="2"/>
  <c r="BI82" i="2"/>
  <c r="BI184" i="2"/>
  <c r="BI12" i="2"/>
  <c r="BI115" i="2"/>
  <c r="BI16" i="2"/>
  <c r="BI64" i="2"/>
  <c r="BI119" i="2"/>
  <c r="BI127" i="2"/>
  <c r="BI90" i="2"/>
  <c r="BI157" i="2"/>
  <c r="BI79" i="2"/>
  <c r="BI197" i="2"/>
  <c r="BI58" i="2"/>
  <c r="BI30" i="2"/>
  <c r="BI201" i="2"/>
  <c r="BI104" i="2"/>
  <c r="BI68" i="2"/>
  <c r="BI177" i="2"/>
  <c r="BI73" i="2"/>
  <c r="BI165" i="2"/>
  <c r="BI171" i="2"/>
  <c r="BI40" i="2"/>
  <c r="BI199" i="2"/>
  <c r="BI101" i="2"/>
  <c r="BI200" i="2"/>
  <c r="BI103" i="2"/>
  <c r="BI167" i="2"/>
  <c r="BI160" i="2"/>
  <c r="BI100" i="2"/>
  <c r="BI77" i="2"/>
  <c r="BI142" i="2"/>
  <c r="BI8" i="2"/>
  <c r="BI112" i="2"/>
  <c r="BI138" i="2"/>
  <c r="BI125" i="2"/>
  <c r="BI195" i="2"/>
  <c r="BI97" i="2"/>
  <c r="BI35" i="2"/>
  <c r="BI141" i="2"/>
  <c r="BI186" i="2"/>
  <c r="BI190" i="2"/>
  <c r="BI53" i="2"/>
  <c r="BI39" i="2"/>
  <c r="BI54" i="2"/>
  <c r="BI102" i="2"/>
  <c r="BI76" i="2"/>
  <c r="BI149" i="2"/>
  <c r="BI71" i="2"/>
  <c r="BI6" i="2"/>
  <c r="BI188" i="2"/>
  <c r="BI191" i="2"/>
  <c r="BI94" i="2"/>
  <c r="BI22" i="2"/>
  <c r="BI15" i="2"/>
  <c r="BI33" i="2"/>
  <c r="BI162" i="2"/>
  <c r="BI154" i="2"/>
  <c r="BI37" i="2"/>
  <c r="BI126" i="2"/>
  <c r="BI63" i="2"/>
  <c r="BI202" i="2"/>
  <c r="BI83" i="2"/>
  <c r="BI56" i="2"/>
  <c r="BI17" i="2"/>
  <c r="BI128" i="2"/>
  <c r="BI44" i="2"/>
  <c r="BI161" i="2"/>
  <c r="BI87" i="2"/>
  <c r="BI84" i="2"/>
  <c r="BI158" i="2"/>
  <c r="BI26" i="2"/>
  <c r="BI137" i="2"/>
  <c r="BI106" i="2"/>
  <c r="BI189" i="2"/>
  <c r="BI89" i="2"/>
  <c r="BI180" i="2"/>
  <c r="BI55" i="2"/>
  <c r="BI67" i="2"/>
  <c r="BI135" i="2"/>
  <c r="BI131" i="2"/>
  <c r="BI118" i="2"/>
  <c r="BI155" i="2"/>
  <c r="BI166" i="2"/>
  <c r="BI75" i="2"/>
  <c r="BI31" i="2"/>
  <c r="BI179" i="2"/>
  <c r="BI164" i="2"/>
  <c r="BI144" i="2"/>
  <c r="BI21" i="2"/>
  <c r="BI187" i="2"/>
  <c r="BI14" i="2"/>
  <c r="BI52" i="2"/>
  <c r="BI150" i="2"/>
  <c r="BI159" i="2"/>
  <c r="BI147" i="2"/>
  <c r="BI176" i="2"/>
  <c r="BI193" i="2"/>
  <c r="BI121" i="2"/>
  <c r="BI110" i="2"/>
  <c r="BI45" i="2"/>
  <c r="BI113" i="2"/>
  <c r="BI163" i="2"/>
  <c r="BI132" i="2"/>
  <c r="BI86" i="2"/>
  <c r="BI133" i="2"/>
  <c r="BI174" i="2"/>
  <c r="BI124" i="2"/>
  <c r="BI111" i="2"/>
  <c r="BI140" i="2"/>
  <c r="BI108" i="2"/>
  <c r="BI117" i="2"/>
  <c r="BI18" i="2"/>
  <c r="BI74" i="2"/>
  <c r="BI93" i="2"/>
  <c r="BI181" i="2"/>
  <c r="BI49" i="2"/>
  <c r="BI32" i="2"/>
  <c r="BI36" i="2"/>
  <c r="BI11" i="2"/>
  <c r="BI203" i="2"/>
  <c r="BI81" i="2"/>
  <c r="BI65" i="2"/>
  <c r="BI145" i="2"/>
  <c r="BI19" i="2"/>
  <c r="BI80" i="2"/>
  <c r="BI107" i="2"/>
  <c r="BI120" i="2"/>
  <c r="BS152" i="2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<sst xmlns="http://schemas.openxmlformats.org/spreadsheetml/2006/main" count="1185" uniqueCount="330">
  <si>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</si>
  <si>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</si>
  <si>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</si>
  <si>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</si>
  <si>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</si>
  <si>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</si>
  <si>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</si>
  <si>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</si>
  <si>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</si>
  <si>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</si>
  <si>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</si>
  <si>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</si>
  <si>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</si>
  <si>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</si>
  <si>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</si>
  <si>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</si>
  <si>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</si>
  <si>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</si>
  <si>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</si>
  <si>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</si>
  <si>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</si>
  <si>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</si>
  <si>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</si>
  <si>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</si>
  <si>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</si>
  <si>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</si>
  <si>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</si>
  <si>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</si>
  <si>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</si>
  <si>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</si>
  <si>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</si>
  <si>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</si>
  <si>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</si>
  <si>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</si>
  <si>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</si>
  <si>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</si>
  <si>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</si>
  <si>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</si>
  <si>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</si>
  <si>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</si>
  <si>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</si>
  <si>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</si>
  <si>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</si>
  <si>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</si>
  <si>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</si>
  <si>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</si>
  <si>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</si>
  <si>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</si>
  <si>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</si>
  <si>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</si>
  <si>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</si>
  <si>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</si>
  <si>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</si>
  <si>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</si>
  <si>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</si>
  <si>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</si>
  <si>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</si>
  <si>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</si>
  <si>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</si>
  <si>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</si>
  <si>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</si>
  <si>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</si>
  <si>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</si>
  <si>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</si>
  <si>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</si>
  <si>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</si>
  <si>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</si>
  <si>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</si>
  <si>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</si>
  <si>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</si>
  <si>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</si>
  <si>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</si>
  <si>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</si>
  <si>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</si>
  <si>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</si>
  <si>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</si>
  <si>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</si>
  <si>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</si>
  <si>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</si>
  <si>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</si>
  <si>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</si>
  <si>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</si>
  <si>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</si>
  <si>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</si>
  <si>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</si>
  <si>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</si>
  <si>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</si>
  <si>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</si>
  <si>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</si>
  <si>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</si>
  <si>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</si>
  <si>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</si>
  <si>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</si>
  <si>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</si>
  <si>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</si>
  <si>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</si>
  <si>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</si>
  <si>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</si>
  <si>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</si>
  <si>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</si>
  <si>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</si>
  <si>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</si>
  <si>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</si>
  <si>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</si>
  <si>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</si>
  <si>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</si>
  <si>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</si>
  <si>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</si>
  <si>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</si>
  <si>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</si>
  <si>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</si>
  <si>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</si>
  <si>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</si>
  <si>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</si>
  <si>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</si>
  <si>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</si>
  <si>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</si>
  <si>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</si>
  <si>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</si>
  <si>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</si>
  <si>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</si>
  <si>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</si>
  <si>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</si>
  <si>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</si>
  <si>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</si>
  <si>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</si>
  <si>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</si>
  <si>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</si>
  <si>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</si>
  <si>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</si>
  <si>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</si>
  <si>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</si>
  <si>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</si>
  <si>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</si>
  <si>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</si>
  <si>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</si>
  <si>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</si>
  <si>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</si>
  <si>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</si>
  <si>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</si>
  <si>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</si>
  <si>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</si>
  <si>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</si>
  <si>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</si>
  <si>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</si>
  <si>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</si>
  <si>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</si>
  <si>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</si>
  <si>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</si>
  <si>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</si>
  <si>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</si>
  <si>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</si>
  <si>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</si>
  <si>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</si>
  <si>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</si>
  <si>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</si>
  <si>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</si>
  <si>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</si>
  <si>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</si>
  <si>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</si>
  <si>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</si>
  <si>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</si>
  <si>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</si>
  <si>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</si>
  <si>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</si>
  <si>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</si>
  <si>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</si>
  <si>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</si>
  <si>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</si>
  <si>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</si>
  <si>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</si>
  <si>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</si>
  <si>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</si>
  <si>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</si>
  <si>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</si>
  <si>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</si>
  <si>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</si>
  <si>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</si>
  <si>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</si>
  <si>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</si>
  <si>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</si>
  <si>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</si>
  <si>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</si>
  <si>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</si>
  <si>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</si>
  <si>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</si>
  <si>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</si>
  <si>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</si>
  <si>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</si>
  <si>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</si>
  <si>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</si>
  <si>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</si>
  <si>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</si>
  <si>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</si>
  <si>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</si>
  <si>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</si>
  <si>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</si>
  <si>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</si>
  <si>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</si>
  <si>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</si>
  <si>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</si>
  <si>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</si>
  <si>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</si>
  <si>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</si>
  <si>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</si>
  <si>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</si>
  <si>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</si>
  <si>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</si>
  <si>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</si>
  <si>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</si>
  <si>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</si>
  <si>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</si>
  <si>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</si>
  <si>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</si>
  <si>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</si>
  <si>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</si>
  <si>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</si>
  <si>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</si>
  <si>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</si>
  <si>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</si>
  <si>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</si>
  <si>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</si>
  <si>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</si>
  <si>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</si>
  <si>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</si>
  <si>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</si>
  <si>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</si>
  <si>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</si>
  <si>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</si>
  <si>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</si>
  <si>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</si>
  <si>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</si>
  <si>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</si>
  <si>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</si>
  <si>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</si>
  <si>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</si>
  <si>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</si>
  <si>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</si>
  <si>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</si>
  <si>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</si>
  <si>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</si>
  <si>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</si>
  <si>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</si>
  <si>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</si>
  <si>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</si>
  <si>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</si>
  <si>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</si>
  <si>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</si>
  <si>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</si>
  <si>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</si>
  <si>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</si>
  <si>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</si>
  <si>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</si>
  <si>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</si>
  <si>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</si>
  <si>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</si>
  <si>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</si>
  <si>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</si>
  <si>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</si>
  <si>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</si>
  <si>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</si>
  <si>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</si>
  <si>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</si>
  <si>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</si>
  <si>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</si>
  <si>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</si>
  <si>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</si>
  <si>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</si>
  <si>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</si>
  <si>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</si>
  <si>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</si>
  <si>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</si>
  <si>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</si>
  <si>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</si>
  <si>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</si>
  <si>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</si>
  <si>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</si>
  <si>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</si>
  <si>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</si>
  <si>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</si>
  <si>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</si>
  <si>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</si>
  <si>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</si>
  <si>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</si>
  <si>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</si>
  <si>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</si>
  <si>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</si>
  <si>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</si>
  <si>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</si>
  <si>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</si>
  <si>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</si>
  <si>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</si>
  <si>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</si>
  <si>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</si>
  <si>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</si>
  <si>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</si>
  <si>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</si>
  <si>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</si>
  <si>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</si>
  <si>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</si>
  <si>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</si>
  <si>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</si>
  <si>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</si>
  <si>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</si>
  <si>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</si>
  <si>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</si>
  <si>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</si>
  <si>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</si>
  <si>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</si>
  <si>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</si>
  <si>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</si>
  <si>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</si>
  <si>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</si>
  <si>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</si>
  <si>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</si>
  <si>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</si>
  <si>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</si>
  <si>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</si>
  <si>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</si>
  <si>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</si>
  <si>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</si>
  <si>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</si>
  <si>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</si>
  <si>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</si>
  <si>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ONF_F2</t>
  </si>
  <si>
    <t>J.J. JANSEN_F6</t>
  </si>
  <si>
    <t>SAB_F6</t>
  </si>
  <si>
    <t>UK_CHX_F6</t>
  </si>
  <si>
    <t>JANSEN_CHP_F6</t>
  </si>
  <si>
    <t>Jansen_CHP_F3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</si>
</sst>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5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168" fontId="0" fillId="0" borderId="0" xfId="0" applyNumberFormat="1" applyProtection="1">
      <protection locked="0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1.9187539791618089</c:v>
                </c:pt>
                <c:pt idx="2">
                  <c:v>2.3739048046992908</c:v>
                </c:pt>
                <c:pt idx="3">
                  <c:v>2.9374441074345867</c:v>
                </c:pt>
                <c:pt idx="4">
                  <c:v>3.6352780855090621</c:v>
                </c:pt>
                <c:pt idx="5">
                  <c:v>4.4995261026160422</c:v>
                </c:pt>
                <c:pt idx="6">
                  <c:v>5.5700155600904404</c:v>
                </c:pt>
                <c:pt idx="7">
                  <c:v>6.8961374885838422</c:v>
                </c:pt>
                <c:pt idx="8">
                  <c:v>8.5391501371991527</c:v>
                </c:pt>
                <c:pt idx="9">
                  <c:v>10.575039007163371</c:v>
                </c:pt>
                <c:pt idx="10">
                  <c:v>13.098068092351689</c:v>
                </c:pt>
                <c:pt idx="11">
                  <c:v>16.225189803711778</c:v>
                </c:pt>
                <c:pt idx="12">
                  <c:v>20.10152172821854</c:v>
                </c:pt>
                <c:pt idx="13">
                  <c:v>24.907148945397026</c:v>
                </c:pt>
                <c:pt idx="14">
                  <c:v>30.86557350936096</c:v>
                </c:pt>
                <c:pt idx="15">
                  <c:v>38.254210904943911</c:v>
                </c:pt>
                <c:pt idx="16">
                  <c:v>47.417430539824153</c:v>
                </c:pt>
                <c:pt idx="17">
                  <c:v>58.782758290837201</c:v>
                </c:pt>
                <c:pt idx="18">
                  <c:v>72.881009569035243</c:v>
                </c:pt>
                <c:pt idx="19">
                  <c:v>90.371308506742437</c:v>
                </c:pt>
                <c:pt idx="20">
                  <c:v>112.07218166479875</c:v>
                </c:pt>
                <c:pt idx="21">
                  <c:v>139.00020426650113</c:v>
                </c:pt>
                <c:pt idx="22">
                  <c:v>172.4180372740486</c:v>
                </c:pt>
                <c:pt idx="23">
                  <c:v>124.45922680191636</c:v>
                </c:pt>
                <c:pt idx="24">
                  <c:v>145.05150046666205</c:v>
                </c:pt>
                <c:pt idx="25">
                  <c:v>165.57375879185801</c:v>
                </c:pt>
                <c:pt idx="26">
                  <c:v>186.0359113344837</c:v>
                </c:pt>
                <c:pt idx="27">
                  <c:v>206.44550326470099</c:v>
                </c:pt>
                <c:pt idx="28">
                  <c:v>178.8770701672199</c:v>
                </c:pt>
                <c:pt idx="29">
                  <c:v>200.38972394653459</c:v>
                </c:pt>
                <c:pt idx="30">
                  <c:v>221.84883849790182</c:v>
                </c:pt>
                <c:pt idx="31">
                  <c:v>243.26032139995104</c:v>
                </c:pt>
                <c:pt idx="32">
                  <c:v>264.62895421811407</c:v>
                </c:pt>
                <c:pt idx="33">
                  <c:v>285.95868273742298</c:v>
                </c:pt>
                <c:pt idx="34">
                  <c:v>242.58739286352048</c:v>
                </c:pt>
                <c:pt idx="35">
                  <c:v>264.04989736803674</c:v>
                </c:pt>
                <c:pt idx="36">
                  <c:v>285.47306022064532</c:v>
                </c:pt>
                <c:pt idx="37">
                  <c:v>306.860247871995</c:v>
                </c:pt>
                <c:pt idx="38">
                  <c:v>328.21431914917827</c:v>
                </c:pt>
                <c:pt idx="39">
                  <c:v>349.5377305435054</c:v>
                </c:pt>
                <c:pt idx="40">
                  <c:v>370.83261443628663</c:v>
                </c:pt>
                <c:pt idx="41">
                  <c:v>392.10083840438301</c:v>
                </c:pt>
                <c:pt idx="42">
                  <c:v>320.07706003496543</c:v>
                </c:pt>
                <c:pt idx="43">
                  <c:v>340.16115673745094</c:v>
                </c:pt>
                <c:pt idx="44">
                  <c:v>360.2191776827687</c:v>
                </c:pt>
                <c:pt idx="45">
                  <c:v>380.25277835910487</c:v>
                </c:pt>
                <c:pt idx="46">
                  <c:v>400.2634256424567</c:v>
                </c:pt>
                <c:pt idx="47">
                  <c:v>420.25242783490597</c:v>
                </c:pt>
                <c:pt idx="48">
                  <c:v>440.22095868894326</c:v>
                </c:pt>
                <c:pt idx="49">
                  <c:v>460.17007684546002</c:v>
                </c:pt>
                <c:pt idx="50">
                  <c:v>480.10074172574264</c:v>
                </c:pt>
                <c:pt idx="51">
                  <c:v>408.86708705663085</c:v>
                </c:pt>
                <c:pt idx="52">
                  <c:v>426.81319907682013</c:v>
                </c:pt>
                <c:pt idx="53">
                  <c:v>444.74308871435665</c:v>
                </c:pt>
                <c:pt idx="54">
                  <c:v>462.65750170877988</c:v>
                </c:pt>
                <c:pt idx="55">
                  <c:v>480.55712136582889</c:v>
                </c:pt>
                <c:pt idx="56">
                  <c:v>498.44257596300025</c:v>
                </c:pt>
                <c:pt idx="57">
                  <c:v>516.31444503713794</c:v>
                </c:pt>
                <c:pt idx="58">
                  <c:v>534.17326475645041</c:v>
                </c:pt>
                <c:pt idx="59">
                  <c:v>552.01953253702732</c:v>
                </c:pt>
                <c:pt idx="60">
                  <c:v>569.85371103158184</c:v>
                </c:pt>
                <c:pt idx="61">
                  <c:v>496.55887909600943</c:v>
                </c:pt>
                <c:pt idx="62">
                  <c:v>511.6255347374472</c:v>
                </c:pt>
                <c:pt idx="63">
                  <c:v>526.68282208192829</c:v>
                </c:pt>
                <c:pt idx="64">
                  <c:v>541.73104657451711</c:v>
                </c:pt>
                <c:pt idx="65">
                  <c:v>556.77049531447858</c:v>
                </c:pt>
                <c:pt idx="66">
                  <c:v>571.80143863323156</c:v>
                </c:pt>
                <c:pt idx="67">
                  <c:v>586.82413149782394</c:v>
                </c:pt>
                <c:pt idx="68">
                  <c:v>601.83881476328258</c:v>
                </c:pt>
                <c:pt idx="69">
                  <c:v>616.84571629355526</c:v>
                </c:pt>
                <c:pt idx="70">
                  <c:v>631.84505196775149</c:v>
                </c:pt>
                <c:pt idx="71">
                  <c:v>558.52582336493231</c:v>
                </c:pt>
                <c:pt idx="72">
                  <c:v>570.88695865906334</c:v>
                </c:pt>
                <c:pt idx="73">
                  <c:v>583.24250397763637</c:v>
                </c:pt>
                <c:pt idx="74">
                  <c:v>595.59259439382743</c:v>
                </c:pt>
                <c:pt idx="75">
                  <c:v>607.93735892409688</c:v>
                </c:pt>
                <c:pt idx="76">
                  <c:v>620.27692091982669</c:v>
                </c:pt>
                <c:pt idx="77">
                  <c:v>632.61139842618638</c:v>
                </c:pt>
                <c:pt idx="78">
                  <c:v>644.94090451156796</c:v>
                </c:pt>
                <c:pt idx="79">
                  <c:v>657.26554757053043</c:v>
                </c:pt>
                <c:pt idx="80">
                  <c:v>669.58543160285092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11.35989614757888</c:v>
                </c:pt>
                <c:pt idx="2">
                  <c:v>22.23045125293552</c:v>
                </c:pt>
                <c:pt idx="3">
                  <c:v>32.942973765038111</c:v>
                </c:pt>
                <c:pt idx="4">
                  <c:v>43.55808130964607</c:v>
                </c:pt>
                <c:pt idx="5">
                  <c:v>54.103247781930754</c:v>
                </c:pt>
                <c:pt idx="6">
                  <c:v>64.594145438765054</c:v>
                </c:pt>
                <c:pt idx="7">
                  <c:v>75.040877578178282</c:v>
                </c:pt>
                <c:pt idx="8">
                  <c:v>85.4504815461258</c:v>
                </c:pt>
                <c:pt idx="9">
                  <c:v>95.828129881407051</c:v>
                </c:pt>
                <c:pt idx="10">
                  <c:v>106.17777823694098</c:v>
                </c:pt>
                <c:pt idx="11">
                  <c:v>116.50254535445022</c:v>
                </c:pt>
                <c:pt idx="12">
                  <c:v>126.80495040793225</c:v>
                </c:pt>
                <c:pt idx="13">
                  <c:v>137.08706876672997</c:v>
                </c:pt>
                <c:pt idx="14">
                  <c:v>147.35063837500527</c:v>
                </c:pt>
                <c:pt idx="15">
                  <c:v>157.59713483059525</c:v>
                </c:pt>
                <c:pt idx="16">
                  <c:v>167.82782585410766</c:v>
                </c:pt>
                <c:pt idx="17">
                  <c:v>178.04381174459937</c:v>
                </c:pt>
                <c:pt idx="18">
                  <c:v>188.24605604162687</c:v>
                </c:pt>
                <c:pt idx="19">
                  <c:v>198.43540917816301</c:v>
                </c:pt>
                <c:pt idx="20">
                  <c:v>208.6126270118956</c:v>
                </c:pt>
                <c:pt idx="21">
                  <c:v>218.77838554494224</c:v>
                </c:pt>
                <c:pt idx="22">
                  <c:v>228.93329276036846</c:v>
                </c:pt>
                <c:pt idx="23">
                  <c:v>239.07789824577785</c:v>
                </c:pt>
                <c:pt idx="24">
                  <c:v>249.21270109600837</c:v>
                </c:pt>
                <c:pt idx="25">
                  <c:v>259.3381564615982</c:v>
                </c:pt>
                <c:pt idx="26">
                  <c:v>269.45468102000478</c:v>
                </c:pt>
                <c:pt idx="27">
                  <c:v>279.5626575814216</c:v>
                </c:pt>
                <c:pt idx="28">
                  <c:v>289.66243899307091</c:v>
                </c:pt>
                <c:pt idx="29">
                  <c:v>299.75435147006522</c:v>
                </c:pt>
                <c:pt idx="30">
                  <c:v>309.83869745393423</c:v>
                </c:pt>
                <c:pt idx="31">
                  <c:v>319.91575807930639</c:v>
                </c:pt>
                <c:pt idx="32">
                  <c:v>329.98579531336867</c:v>
                </c:pt>
                <c:pt idx="33">
                  <c:v>340.0490538203818</c:v>
                </c:pt>
                <c:pt idx="34">
                  <c:v>350.10576259384294</c:v>
                </c:pt>
                <c:pt idx="35">
                  <c:v>360.15613639123393</c:v>
                </c:pt>
                <c:pt idx="36">
                  <c:v>370.20037700018889</c:v>
                </c:pt>
                <c:pt idx="37">
                  <c:v>380.23867436002274</c:v>
                </c:pt>
                <c:pt idx="38">
                  <c:v>390.27120755860159</c:v>
                </c:pt>
                <c:pt idx="39">
                  <c:v>400.29814572133051</c:v>
                </c:pt>
                <c:pt idx="40">
                  <c:v>410.31964880639424</c:v>
                </c:pt>
                <c:pt idx="41">
                  <c:v>420.33586831823754</c:v>
                </c:pt>
                <c:pt idx="42">
                  <c:v>430.34694794947745</c:v>
                </c:pt>
                <c:pt idx="43">
                  <c:v>263.56532800299505</c:v>
                </c:pt>
                <c:pt idx="44">
                  <c:v>281.92883631188334</c:v>
                </c:pt>
                <c:pt idx="45">
                  <c:v>300.26554755523534</c:v>
                </c:pt>
                <c:pt idx="46">
                  <c:v>318.5773280369927</c:v>
                </c:pt>
                <c:pt idx="47">
                  <c:v>336.86581199649555</c:v>
                </c:pt>
                <c:pt idx="48">
                  <c:v>355.13244176037705</c:v>
                </c:pt>
                <c:pt idx="49">
                  <c:v>373.37849919705485</c:v>
                </c:pt>
                <c:pt idx="50">
                  <c:v>289.26547973409038</c:v>
                </c:pt>
                <c:pt idx="51">
                  <c:v>306.43274900266471</c:v>
                </c:pt>
                <c:pt idx="52">
                  <c:v>323.57864911522944</c:v>
                </c:pt>
                <c:pt idx="53">
                  <c:v>340.7044715198179</c:v>
                </c:pt>
                <c:pt idx="54">
                  <c:v>357.81136724463641</c:v>
                </c:pt>
                <c:pt idx="55">
                  <c:v>374.90036828951867</c:v>
                </c:pt>
                <c:pt idx="56">
                  <c:v>391.97240491215172</c:v>
                </c:pt>
                <c:pt idx="57">
                  <c:v>328.63685170924879</c:v>
                </c:pt>
                <c:pt idx="58">
                  <c:v>345.41152964920133</c:v>
                </c:pt>
                <c:pt idx="59">
                  <c:v>362.16832089235567</c:v>
                </c:pt>
                <c:pt idx="60">
                  <c:v>378.90816930722804</c:v>
                </c:pt>
                <c:pt idx="61">
                  <c:v>395.63192857364191</c:v>
                </c:pt>
                <c:pt idx="62">
                  <c:v>412.34037432772288</c:v>
                </c:pt>
                <c:pt idx="63">
                  <c:v>429.03421423555022</c:v>
                </c:pt>
                <c:pt idx="64">
                  <c:v>365.60102048549743</c:v>
                </c:pt>
                <c:pt idx="65">
                  <c:v>381.79555006185797</c:v>
                </c:pt>
                <c:pt idx="66">
                  <c:v>397.97514671505604</c:v>
                </c:pt>
                <c:pt idx="67">
                  <c:v>414.14050285277716</c:v>
                </c:pt>
                <c:pt idx="68">
                  <c:v>430.29225243168889</c:v>
                </c:pt>
                <c:pt idx="69">
                  <c:v>446.43097794606678</c:v>
                </c:pt>
                <c:pt idx="70">
                  <c:v>462.55721635326108</c:v>
                </c:pt>
                <c:pt idx="71">
                  <c:v>478.67146412990354</c:v>
                </c:pt>
                <c:pt idx="72">
                  <c:v>402.70123544112067</c:v>
                </c:pt>
                <c:pt idx="73">
                  <c:v>417.93216537382574</c:v>
                </c:pt>
                <c:pt idx="74">
                  <c:v>433.15113658077513</c:v>
                </c:pt>
                <c:pt idx="75">
                  <c:v>448.35862830746697</c:v>
                </c:pt>
                <c:pt idx="76">
                  <c:v>463.55508464541441</c:v>
                </c:pt>
                <c:pt idx="77">
                  <c:v>478.74091820264994</c:v>
                </c:pt>
                <c:pt idx="78">
                  <c:v>493.91651328433608</c:v>
                </c:pt>
                <c:pt idx="79">
                  <c:v>509.08222866221308</c:v>
                </c:pt>
                <c:pt idx="80">
                  <c:v>435.02410726001881</c:v>
                </c:pt>
                <c:pt idx="81">
                  <c:v>449.3298384852651</c:v>
                </c:pt>
                <c:pt idx="82">
                  <c:v>463.62582729842364</c:v>
                </c:pt>
                <c:pt idx="83">
                  <c:v>477.91241635863838</c:v>
                </c:pt>
                <c:pt idx="84">
                  <c:v>492.1899261722624</c:v>
                </c:pt>
                <c:pt idx="85">
                  <c:v>506.45865713950144</c:v>
                </c:pt>
                <c:pt idx="86">
                  <c:v>520.71889135845743</c:v>
                </c:pt>
                <c:pt idx="87">
                  <c:v>534.97089422131978</c:v>
                </c:pt>
                <c:pt idx="88">
                  <c:v>459.31506790830252</c:v>
                </c:pt>
                <c:pt idx="89">
                  <c:v>472.55866245034264</c:v>
                </c:pt>
                <c:pt idx="90">
                  <c:v>485.79435758557662</c:v>
                </c:pt>
                <c:pt idx="91">
                  <c:v>499.02239882475118</c:v>
                </c:pt>
                <c:pt idx="92">
                  <c:v>512.24301760358333</c:v>
                </c:pt>
                <c:pt idx="93">
                  <c:v>525.4564324397337</c:v>
                </c:pt>
                <c:pt idx="94">
                  <c:v>538.66284996737477</c:v>
                </c:pt>
                <c:pt idx="95">
                  <c:v>551.86246586504683</c:v>
                </c:pt>
                <c:pt idx="96">
                  <c:v>289.62732936866382</c:v>
                </c:pt>
                <c:pt idx="97">
                  <c:v>298.50706598822734</c:v>
                </c:pt>
                <c:pt idx="98">
                  <c:v>307.38091749238595</c:v>
                </c:pt>
                <c:pt idx="99">
                  <c:v>316.249077873207</c:v>
                </c:pt>
                <c:pt idx="100">
                  <c:v>325.11172934644003</c:v>
                </c:pt>
                <c:pt idx="101">
                  <c:v>333.96904337495596</c:v>
                </c:pt>
                <c:pt idx="102">
                  <c:v>342.82118157787562</c:v>
                </c:pt>
                <c:pt idx="103">
                  <c:v>351.66829654084057</c:v>
                </c:pt>
                <c:pt idx="104">
                  <c:v>360.51053254044433</c:v>
                </c:pt>
                <c:pt idx="105">
                  <c:v>369.34802619384442</c:v>
                </c:pt>
                <c:pt idx="106">
                  <c:v>1.590873277977066E-12</c:v>
                </c:pt>
                <c:pt idx="107">
                  <c:v>1.590873277977066E-12</c:v>
                </c:pt>
                <c:pt idx="108">
                  <c:v>1.590873277977066E-12</c:v>
                </c:pt>
                <c:pt idx="109">
                  <c:v>1.590873277977066E-12</c:v>
                </c:pt>
                <c:pt idx="110">
                  <c:v>1.590873277977066E-12</c:v>
                </c:pt>
                <c:pt idx="111">
                  <c:v>1.590873277977066E-12</c:v>
                </c:pt>
                <c:pt idx="112">
                  <c:v>1.590873277977066E-12</c:v>
                </c:pt>
                <c:pt idx="113">
                  <c:v>1.590873277977066E-12</c:v>
                </c:pt>
                <c:pt idx="114">
                  <c:v>1.590873277977066E-12</c:v>
                </c:pt>
                <c:pt idx="115">
                  <c:v>1.590873277977066E-12</c:v>
                </c:pt>
                <c:pt idx="116">
                  <c:v>1.590873277977066E-12</c:v>
                </c:pt>
                <c:pt idx="117">
                  <c:v>1.590873277977066E-12</c:v>
                </c:pt>
                <c:pt idx="118">
                  <c:v>1.590873277977066E-12</c:v>
                </c:pt>
                <c:pt idx="119">
                  <c:v>1.590873277977066E-12</c:v>
                </c:pt>
                <c:pt idx="120">
                  <c:v>1.590873277977066E-12</c:v>
                </c:pt>
                <c:pt idx="121">
                  <c:v>1.590873277977066E-12</c:v>
                </c:pt>
                <c:pt idx="122">
                  <c:v>1.590873277977066E-12</c:v>
                </c:pt>
                <c:pt idx="123">
                  <c:v>1.590873277977066E-12</c:v>
                </c:pt>
                <c:pt idx="124">
                  <c:v>1.590873277977066E-12</c:v>
                </c:pt>
                <c:pt idx="125">
                  <c:v>1.590873277977066E-12</c:v>
                </c:pt>
                <c:pt idx="126">
                  <c:v>1.590873277977066E-12</c:v>
                </c:pt>
                <c:pt idx="127">
                  <c:v>1.590873277977066E-12</c:v>
                </c:pt>
                <c:pt idx="128">
                  <c:v>1.590873277977066E-12</c:v>
                </c:pt>
                <c:pt idx="129">
                  <c:v>1.590873277977066E-12</c:v>
                </c:pt>
                <c:pt idx="130">
                  <c:v>1.590873277977066E-12</c:v>
                </c:pt>
                <c:pt idx="131">
                  <c:v>1.590873277977066E-12</c:v>
                </c:pt>
                <c:pt idx="132">
                  <c:v>1.590873277977066E-12</c:v>
                </c:pt>
                <c:pt idx="133">
                  <c:v>1.590873277977066E-12</c:v>
                </c:pt>
                <c:pt idx="134">
                  <c:v>1.590873277977066E-12</c:v>
                </c:pt>
                <c:pt idx="135">
                  <c:v>1.590873277977066E-12</c:v>
                </c:pt>
                <c:pt idx="136">
                  <c:v>1.590873277977066E-12</c:v>
                </c:pt>
                <c:pt idx="137">
                  <c:v>1.590873277977066E-12</c:v>
                </c:pt>
                <c:pt idx="138">
                  <c:v>1.590873277977066E-12</c:v>
                </c:pt>
                <c:pt idx="139">
                  <c:v>1.590873277977066E-12</c:v>
                </c:pt>
                <c:pt idx="140">
                  <c:v>1.590873277977066E-12</c:v>
                </c:pt>
                <c:pt idx="141">
                  <c:v>1.590873277977066E-12</c:v>
                </c:pt>
                <c:pt idx="142">
                  <c:v>1.590873277977066E-12</c:v>
                </c:pt>
                <c:pt idx="143">
                  <c:v>1.590873277977066E-12</c:v>
                </c:pt>
                <c:pt idx="144">
                  <c:v>1.590873277977066E-12</c:v>
                </c:pt>
                <c:pt idx="145">
                  <c:v>1.590873277977066E-12</c:v>
                </c:pt>
                <c:pt idx="146">
                  <c:v>1.590873277977066E-12</c:v>
                </c:pt>
                <c:pt idx="147">
                  <c:v>1.590873277977066E-12</c:v>
                </c:pt>
                <c:pt idx="148">
                  <c:v>1.590873277977066E-12</c:v>
                </c:pt>
                <c:pt idx="149">
                  <c:v>1.590873277977066E-12</c:v>
                </c:pt>
                <c:pt idx="150">
                  <c:v>1.590873277977066E-12</c:v>
                </c:pt>
                <c:pt idx="151">
                  <c:v>1.590873277977066E-12</c:v>
                </c:pt>
                <c:pt idx="152">
                  <c:v>1.590873277977066E-12</c:v>
                </c:pt>
                <c:pt idx="153">
                  <c:v>1.590873277977066E-12</c:v>
                </c:pt>
                <c:pt idx="154">
                  <c:v>1.590873277977066E-12</c:v>
                </c:pt>
                <c:pt idx="155">
                  <c:v>1.590873277977066E-12</c:v>
                </c:pt>
                <c:pt idx="156">
                  <c:v>1.590873277977066E-12</c:v>
                </c:pt>
                <c:pt idx="157">
                  <c:v>1.590873277977066E-12</c:v>
                </c:pt>
                <c:pt idx="158">
                  <c:v>1.590873277977066E-12</c:v>
                </c:pt>
                <c:pt idx="159">
                  <c:v>1.590873277977066E-12</c:v>
                </c:pt>
                <c:pt idx="160">
                  <c:v>1.590873277977066E-12</c:v>
                </c:pt>
                <c:pt idx="161">
                  <c:v>1.590873277977066E-12</c:v>
                </c:pt>
                <c:pt idx="162">
                  <c:v>1.590873277977066E-12</c:v>
                </c:pt>
                <c:pt idx="163">
                  <c:v>1.590873277977066E-12</c:v>
                </c:pt>
                <c:pt idx="164">
                  <c:v>1.590873277977066E-12</c:v>
                </c:pt>
                <c:pt idx="165">
                  <c:v>1.590873277977066E-12</c:v>
                </c:pt>
                <c:pt idx="166">
                  <c:v>1.590873277977066E-12</c:v>
                </c:pt>
                <c:pt idx="167">
                  <c:v>1.590873277977066E-12</c:v>
                </c:pt>
                <c:pt idx="168">
                  <c:v>1.590873277977066E-12</c:v>
                </c:pt>
                <c:pt idx="169">
                  <c:v>1.590873277977066E-12</c:v>
                </c:pt>
                <c:pt idx="170">
                  <c:v>1.590873277977066E-12</c:v>
                </c:pt>
                <c:pt idx="171">
                  <c:v>1.590873277977066E-12</c:v>
                </c:pt>
                <c:pt idx="172">
                  <c:v>1.590873277977066E-12</c:v>
                </c:pt>
                <c:pt idx="173">
                  <c:v>1.590873277977066E-12</c:v>
                </c:pt>
                <c:pt idx="174">
                  <c:v>1.590873277977066E-12</c:v>
                </c:pt>
                <c:pt idx="175">
                  <c:v>1.590873277977066E-12</c:v>
                </c:pt>
                <c:pt idx="176">
                  <c:v>1.590873277977066E-12</c:v>
                </c:pt>
                <c:pt idx="177">
                  <c:v>1.590873277977066E-12</c:v>
                </c:pt>
                <c:pt idx="178">
                  <c:v>1.590873277977066E-12</c:v>
                </c:pt>
                <c:pt idx="179">
                  <c:v>1.590873277977066E-12</c:v>
                </c:pt>
                <c:pt idx="180">
                  <c:v>1.590873277977066E-12</c:v>
                </c:pt>
                <c:pt idx="181">
                  <c:v>1.590873277977066E-12</c:v>
                </c:pt>
                <c:pt idx="182">
                  <c:v>1.590873277977066E-12</c:v>
                </c:pt>
                <c:pt idx="183">
                  <c:v>1.590873277977066E-12</c:v>
                </c:pt>
                <c:pt idx="184">
                  <c:v>1.590873277977066E-12</c:v>
                </c:pt>
                <c:pt idx="185">
                  <c:v>1.590873277977066E-12</c:v>
                </c:pt>
                <c:pt idx="186">
                  <c:v>1.590873277977066E-12</c:v>
                </c:pt>
                <c:pt idx="187">
                  <c:v>1.590873277977066E-12</c:v>
                </c:pt>
                <c:pt idx="188">
                  <c:v>1.590873277977066E-12</c:v>
                </c:pt>
                <c:pt idx="189">
                  <c:v>1.590873277977066E-12</c:v>
                </c:pt>
                <c:pt idx="190">
                  <c:v>1.590873277977066E-12</c:v>
                </c:pt>
                <c:pt idx="191">
                  <c:v>1.590873277977066E-12</c:v>
                </c:pt>
                <c:pt idx="192">
                  <c:v>1.590873277977066E-12</c:v>
                </c:pt>
                <c:pt idx="193">
                  <c:v>1.590873277977066E-12</c:v>
                </c:pt>
                <c:pt idx="194">
                  <c:v>1.590873277977066E-12</c:v>
                </c:pt>
                <c:pt idx="195">
                  <c:v>1.590873277977066E-12</c:v>
                </c:pt>
                <c:pt idx="196">
                  <c:v>1.590873277977066E-12</c:v>
                </c:pt>
                <c:pt idx="197">
                  <c:v>1.590873277977066E-12</c:v>
                </c:pt>
                <c:pt idx="198">
                  <c:v>1.590873277977066E-12</c:v>
                </c:pt>
                <c:pt idx="199">
                  <c:v>1.590873277977066E-12</c:v>
                </c:pt>
                <c:pt idx="200">
                  <c:v>1.590873277977066E-12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2.7111405293587882</c:v>
                </c:pt>
                <c:pt idx="2">
                  <c:v>3.2908473996675931</c:v>
                </c:pt>
                <c:pt idx="3">
                  <c:v>3.9949765055224975</c:v>
                </c:pt>
                <c:pt idx="4">
                  <c:v>4.8503270992906033</c:v>
                </c:pt>
                <c:pt idx="5">
                  <c:v>5.8894897884578539</c:v>
                </c:pt>
                <c:pt idx="6">
                  <c:v>7.1521018898588977</c:v>
                </c:pt>
                <c:pt idx="7">
                  <c:v>8.68637566708877</c:v>
                </c:pt>
                <c:pt idx="8">
                  <c:v>10.550958922648077</c:v>
                </c:pt>
                <c:pt idx="9">
                  <c:v>12.81720040803434</c:v>
                </c:pt>
                <c:pt idx="10">
                  <c:v>15.57190835077529</c:v>
                </c:pt>
                <c:pt idx="11">
                  <c:v>18.920709701141291</c:v>
                </c:pt>
                <c:pt idx="12">
                  <c:v>22.992141233881114</c:v>
                </c:pt>
                <c:pt idx="13">
                  <c:v>27.942632329942111</c:v>
                </c:pt>
                <c:pt idx="14">
                  <c:v>33.962574241954997</c:v>
                </c:pt>
                <c:pt idx="15">
                  <c:v>41.283713296453428</c:v>
                </c:pt>
                <c:pt idx="16">
                  <c:v>50.188157490334476</c:v>
                </c:pt>
                <c:pt idx="17">
                  <c:v>61.019349354653826</c:v>
                </c:pt>
                <c:pt idx="18">
                  <c:v>74.19543529360925</c:v>
                </c:pt>
                <c:pt idx="19">
                  <c:v>90.225555920736483</c:v>
                </c:pt>
                <c:pt idx="20">
                  <c:v>109.72969694198621</c:v>
                </c:pt>
                <c:pt idx="21">
                  <c:v>83.859901104581681</c:v>
                </c:pt>
                <c:pt idx="22">
                  <c:v>93.735681241434449</c:v>
                </c:pt>
                <c:pt idx="23">
                  <c:v>103.58548385887735</c:v>
                </c:pt>
                <c:pt idx="24">
                  <c:v>113.41213176407329</c:v>
                </c:pt>
                <c:pt idx="25">
                  <c:v>123.21791719691173</c:v>
                </c:pt>
                <c:pt idx="26">
                  <c:v>109.72969694198622</c:v>
                </c:pt>
                <c:pt idx="27">
                  <c:v>119.54306466746483</c:v>
                </c:pt>
                <c:pt idx="28">
                  <c:v>129.33679508789007</c:v>
                </c:pt>
                <c:pt idx="29">
                  <c:v>139.11258684370458</c:v>
                </c:pt>
                <c:pt idx="30">
                  <c:v>148.87187984842743</c:v>
                </c:pt>
                <c:pt idx="31">
                  <c:v>133.24917866009699</c:v>
                </c:pt>
                <c:pt idx="32">
                  <c:v>142.04204735312013</c:v>
                </c:pt>
                <c:pt idx="33">
                  <c:v>150.82187042131599</c:v>
                </c:pt>
                <c:pt idx="34">
                  <c:v>159.58951541202768</c:v>
                </c:pt>
                <c:pt idx="35">
                  <c:v>168.34574659970926</c:v>
                </c:pt>
                <c:pt idx="36">
                  <c:v>152.52761887470743</c:v>
                </c:pt>
                <c:pt idx="37">
                  <c:v>161.04966060230029</c:v>
                </c:pt>
                <c:pt idx="38">
                  <c:v>169.56102628246936</c:v>
                </c:pt>
                <c:pt idx="39">
                  <c:v>178.06232809976677</c:v>
                </c:pt>
                <c:pt idx="40">
                  <c:v>186.55411491856782</c:v>
                </c:pt>
                <c:pt idx="41">
                  <c:v>170.04708058296916</c:v>
                </c:pt>
                <c:pt idx="42">
                  <c:v>177.81956828372506</c:v>
                </c:pt>
                <c:pt idx="43">
                  <c:v>185.58409039382227</c:v>
                </c:pt>
                <c:pt idx="44">
                  <c:v>193.34102766077947</c:v>
                </c:pt>
                <c:pt idx="45">
                  <c:v>201.09072773869752</c:v>
                </c:pt>
                <c:pt idx="46">
                  <c:v>185.34156577928113</c:v>
                </c:pt>
                <c:pt idx="47">
                  <c:v>192.61412738977924</c:v>
                </c:pt>
                <c:pt idx="48">
                  <c:v>199.88030093828698</c:v>
                </c:pt>
                <c:pt idx="49">
                  <c:v>207.14035174929199</c:v>
                </c:pt>
                <c:pt idx="50">
                  <c:v>214.39452500136431</c:v>
                </c:pt>
                <c:pt idx="51">
                  <c:v>198.91183713251789</c:v>
                </c:pt>
                <c:pt idx="52">
                  <c:v>205.20492267834979</c:v>
                </c:pt>
                <c:pt idx="53">
                  <c:v>211.49354608688319</c:v>
                </c:pt>
                <c:pt idx="54">
                  <c:v>217.77785897700315</c:v>
                </c:pt>
                <c:pt idx="55">
                  <c:v>224.05800348821421</c:v>
                </c:pt>
                <c:pt idx="56">
                  <c:v>209.55905099136109</c:v>
                </c:pt>
                <c:pt idx="57">
                  <c:v>215.60299864573804</c:v>
                </c:pt>
                <c:pt idx="58">
                  <c:v>221.6430479019896</c:v>
                </c:pt>
                <c:pt idx="59">
                  <c:v>227.67932016371938</c:v>
                </c:pt>
                <c:pt idx="60">
                  <c:v>233.71192986094184</c:v>
                </c:pt>
                <c:pt idx="61">
                  <c:v>219.71064874291372</c:v>
                </c:pt>
                <c:pt idx="62">
                  <c:v>225.02381820970098</c:v>
                </c:pt>
                <c:pt idx="63">
                  <c:v>230.33411312840303</c:v>
                </c:pt>
                <c:pt idx="64">
                  <c:v>235.641609242801</c:v>
                </c:pt>
                <c:pt idx="65">
                  <c:v>240.94637860003544</c:v>
                </c:pt>
                <c:pt idx="66">
                  <c:v>227.92069413364416</c:v>
                </c:pt>
                <c:pt idx="67">
                  <c:v>232.98820644971894</c:v>
                </c:pt>
                <c:pt idx="68">
                  <c:v>238.05320186844813</c:v>
                </c:pt>
                <c:pt idx="69">
                  <c:v>243.11574159622663</c:v>
                </c:pt>
                <c:pt idx="70">
                  <c:v>248.1758840777369</c:v>
                </c:pt>
                <c:pt idx="71">
                  <c:v>235.40041910588846</c:v>
                </c:pt>
                <c:pt idx="72">
                  <c:v>239.49988976533089</c:v>
                </c:pt>
                <c:pt idx="73">
                  <c:v>243.59776231305099</c:v>
                </c:pt>
                <c:pt idx="74">
                  <c:v>247.69406748216693</c:v>
                </c:pt>
                <c:pt idx="75">
                  <c:v>251.78883490429246</c:v>
                </c:pt>
                <c:pt idx="76">
                  <c:v>241.18744081547288</c:v>
                </c:pt>
                <c:pt idx="77">
                  <c:v>245.04369450396993</c:v>
                </c:pt>
                <c:pt idx="78">
                  <c:v>248.89856916975472</c:v>
                </c:pt>
                <c:pt idx="79">
                  <c:v>252.75208922948948</c:v>
                </c:pt>
                <c:pt idx="80">
                  <c:v>256.60427829304331</c:v>
                </c:pt>
                <c:pt idx="81">
                  <c:v>246.73037039602514</c:v>
                </c:pt>
                <c:pt idx="82">
                  <c:v>250.10293857751753</c:v>
                </c:pt>
                <c:pt idx="83">
                  <c:v>253.47447536439972</c:v>
                </c:pt>
                <c:pt idx="84">
                  <c:v>256.84499644168284</c:v>
                </c:pt>
                <c:pt idx="85">
                  <c:v>260.21451704825046</c:v>
                </c:pt>
                <c:pt idx="86">
                  <c:v>251.54800828294844</c:v>
                </c:pt>
                <c:pt idx="87">
                  <c:v>254.91910787155098</c:v>
                </c:pt>
                <c:pt idx="88">
                  <c:v>258.28919833503375</c:v>
                </c:pt>
                <c:pt idx="89">
                  <c:v>261.65829472678655</c:v>
                </c:pt>
                <c:pt idx="90">
                  <c:v>265.02641168010274</c:v>
                </c:pt>
                <c:pt idx="91">
                  <c:v>256.36355503466274</c:v>
                </c:pt>
                <c:pt idx="92">
                  <c:v>259.73321764902863</c:v>
                </c:pt>
                <c:pt idx="93">
                  <c:v>263.10189251350153</c:v>
                </c:pt>
                <c:pt idx="94">
                  <c:v>266.46959408660342</c:v>
                </c:pt>
                <c:pt idx="95">
                  <c:v>269.83633643082231</c:v>
                </c:pt>
                <c:pt idx="96">
                  <c:v>260.21451704825063</c:v>
                </c:pt>
                <c:pt idx="97">
                  <c:v>263.82362430075233</c:v>
                </c:pt>
                <c:pt idx="98">
                  <c:v>267.43161774582057</c:v>
                </c:pt>
                <c:pt idx="99">
                  <c:v>271.0385145613493</c:v>
                </c:pt>
                <c:pt idx="100">
                  <c:v>274.64433142982574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2.8570438485924678</c:v>
                </c:pt>
                <c:pt idx="2">
                  <c:v>3.3655409320230496</c:v>
                </c:pt>
                <c:pt idx="3">
                  <c:v>3.9648711712921583</c:v>
                </c:pt>
                <c:pt idx="4">
                  <c:v>4.6713159255511032</c:v>
                </c:pt>
                <c:pt idx="5">
                  <c:v>5.5040842714494636</c:v>
                </c:pt>
                <c:pt idx="6">
                  <c:v>6.4858410348683284</c:v>
                </c:pt>
                <c:pt idx="7">
                  <c:v>7.6433303182525583</c:v>
                </c:pt>
                <c:pt idx="8">
                  <c:v>9.008111837685016</c:v>
                </c:pt>
                <c:pt idx="9">
                  <c:v>10.617430530273511</c:v>
                </c:pt>
                <c:pt idx="10">
                  <c:v>12.51524361183359</c:v>
                </c:pt>
                <c:pt idx="11">
                  <c:v>14.753433661788458</c:v>
                </c:pt>
                <c:pt idx="12">
                  <c:v>17.393241510319466</c:v>
                </c:pt>
                <c:pt idx="13">
                  <c:v>20.506958848338215</c:v>
                </c:pt>
                <c:pt idx="14">
                  <c:v>24.179927746808428</c:v>
                </c:pt>
                <c:pt idx="15">
                  <c:v>28.512902862953961</c:v>
                </c:pt>
                <c:pt idx="16">
                  <c:v>33.624842269016021</c:v>
                </c:pt>
                <c:pt idx="17">
                  <c:v>39.656204850824899</c:v>
                </c:pt>
                <c:pt idx="18">
                  <c:v>46.772846427294837</c:v>
                </c:pt>
                <c:pt idx="19">
                  <c:v>55.170623538812009</c:v>
                </c:pt>
                <c:pt idx="20">
                  <c:v>65.080833716519777</c:v>
                </c:pt>
                <c:pt idx="21">
                  <c:v>76.776644536700402</c:v>
                </c:pt>
                <c:pt idx="22">
                  <c:v>90.5806915485487</c:v>
                </c:pt>
                <c:pt idx="23">
                  <c:v>106.87405802497348</c:v>
                </c:pt>
                <c:pt idx="24">
                  <c:v>126.10688835389209</c:v>
                </c:pt>
                <c:pt idx="25">
                  <c:v>148.81093286135922</c:v>
                </c:pt>
                <c:pt idx="26">
                  <c:v>146.73924981884886</c:v>
                </c:pt>
                <c:pt idx="27">
                  <c:v>161.22694253209136</c:v>
                </c:pt>
                <c:pt idx="28">
                  <c:v>175.68381249632054</c:v>
                </c:pt>
                <c:pt idx="29">
                  <c:v>190.1127547666068</c:v>
                </c:pt>
                <c:pt idx="30">
                  <c:v>204.51618846220967</c:v>
                </c:pt>
                <c:pt idx="31">
                  <c:v>177.74673882318049</c:v>
                </c:pt>
                <c:pt idx="32">
                  <c:v>194.23052863625435</c:v>
                </c:pt>
                <c:pt idx="33">
                  <c:v>210.68179897079304</c:v>
                </c:pt>
                <c:pt idx="34">
                  <c:v>227.10344715858119</c:v>
                </c:pt>
                <c:pt idx="35">
                  <c:v>243.49791694752579</c:v>
                </c:pt>
                <c:pt idx="36">
                  <c:v>217.66446793584763</c:v>
                </c:pt>
                <c:pt idx="37">
                  <c:v>234.89407374203219</c:v>
                </c:pt>
                <c:pt idx="38">
                  <c:v>252.09484919970498</c:v>
                </c:pt>
                <c:pt idx="39">
                  <c:v>269.26903825113033</c:v>
                </c:pt>
                <c:pt idx="40">
                  <c:v>286.4185751166749</c:v>
                </c:pt>
                <c:pt idx="41">
                  <c:v>260.68513965168</c:v>
                </c:pt>
                <c:pt idx="42">
                  <c:v>277.84677769273577</c:v>
                </c:pt>
                <c:pt idx="43">
                  <c:v>294.98463359298847</c:v>
                </c:pt>
                <c:pt idx="44">
                  <c:v>312.10028329420305</c:v>
                </c:pt>
                <c:pt idx="45">
                  <c:v>329.19511576502646</c:v>
                </c:pt>
                <c:pt idx="46">
                  <c:v>303.13762323931286</c:v>
                </c:pt>
                <c:pt idx="47">
                  <c:v>319.83616118961032</c:v>
                </c:pt>
                <c:pt idx="48">
                  <c:v>336.51541035034978</c:v>
                </c:pt>
                <c:pt idx="49">
                  <c:v>353.17646115055004</c:v>
                </c:pt>
                <c:pt idx="50">
                  <c:v>369.82029275047876</c:v>
                </c:pt>
                <c:pt idx="51">
                  <c:v>343.42580104652302</c:v>
                </c:pt>
                <c:pt idx="52">
                  <c:v>359.67361293503609</c:v>
                </c:pt>
                <c:pt idx="53">
                  <c:v>375.9053740333265</c:v>
                </c:pt>
                <c:pt idx="54">
                  <c:v>392.12187483767121</c:v>
                </c:pt>
                <c:pt idx="55">
                  <c:v>408.32383513861078</c:v>
                </c:pt>
                <c:pt idx="56">
                  <c:v>381.17737444442338</c:v>
                </c:pt>
                <c:pt idx="57">
                  <c:v>396.57883448700221</c:v>
                </c:pt>
                <c:pt idx="58">
                  <c:v>411.96734072289183</c:v>
                </c:pt>
                <c:pt idx="59">
                  <c:v>427.34344505663171</c:v>
                </c:pt>
                <c:pt idx="60">
                  <c:v>442.70765644555928</c:v>
                </c:pt>
                <c:pt idx="61">
                  <c:v>414.80069721135334</c:v>
                </c:pt>
                <c:pt idx="62">
                  <c:v>429.36572078685384</c:v>
                </c:pt>
                <c:pt idx="63">
                  <c:v>443.9201281174773</c:v>
                </c:pt>
                <c:pt idx="64">
                  <c:v>458.46431622225504</c:v>
                </c:pt>
                <c:pt idx="65">
                  <c:v>472.99865488119258</c:v>
                </c:pt>
                <c:pt idx="66">
                  <c:v>444.32426956358057</c:v>
                </c:pt>
                <c:pt idx="67">
                  <c:v>458.06044564731332</c:v>
                </c:pt>
                <c:pt idx="68">
                  <c:v>471.78782761031488</c:v>
                </c:pt>
                <c:pt idx="69">
                  <c:v>485.50670733159899</c:v>
                </c:pt>
                <c:pt idx="70">
                  <c:v>499.2173588530552</c:v>
                </c:pt>
                <c:pt idx="71">
                  <c:v>469.36597432654622</c:v>
                </c:pt>
                <c:pt idx="72">
                  <c:v>481.87605086617651</c:v>
                </c:pt>
                <c:pt idx="73">
                  <c:v>494.37922843874412</c:v>
                </c:pt>
                <c:pt idx="74">
                  <c:v>506.87570609003552</c:v>
                </c:pt>
                <c:pt idx="75">
                  <c:v>519.36567225225349</c:v>
                </c:pt>
                <c:pt idx="76">
                  <c:v>489.13678734186618</c:v>
                </c:pt>
                <c:pt idx="77">
                  <c:v>501.23295290548805</c:v>
                </c:pt>
                <c:pt idx="78">
                  <c:v>513.32294183422573</c:v>
                </c:pt>
                <c:pt idx="79">
                  <c:v>525.40692008667054</c:v>
                </c:pt>
                <c:pt idx="80">
                  <c:v>537.48504536607982</c:v>
                </c:pt>
                <c:pt idx="81">
                  <c:v>506.87570609003546</c:v>
                </c:pt>
                <c:pt idx="82">
                  <c:v>518.56006095402688</c:v>
                </c:pt>
                <c:pt idx="83">
                  <c:v>530.23886398734817</c:v>
                </c:pt>
                <c:pt idx="84">
                  <c:v>541.91225469196922</c:v>
                </c:pt>
                <c:pt idx="85">
                  <c:v>553.58036607052361</c:v>
                </c:pt>
                <c:pt idx="86">
                  <c:v>522.18510454563477</c:v>
                </c:pt>
                <c:pt idx="87">
                  <c:v>533.05706938142669</c:v>
                </c:pt>
                <c:pt idx="88">
                  <c:v>543.92437106523562</c:v>
                </c:pt>
                <c:pt idx="89">
                  <c:v>554.78711589011334</c:v>
                </c:pt>
                <c:pt idx="90">
                  <c:v>565.64540564760955</c:v>
                </c:pt>
                <c:pt idx="91">
                  <c:v>533.45964452335909</c:v>
                </c:pt>
                <c:pt idx="92">
                  <c:v>543.52196031239725</c:v>
                </c:pt>
                <c:pt idx="93">
                  <c:v>553.58036607052338</c:v>
                </c:pt>
                <c:pt idx="94">
                  <c:v>563.63494285621744</c:v>
                </c:pt>
                <c:pt idx="95">
                  <c:v>573.68576860024802</c:v>
                </c:pt>
                <c:pt idx="96">
                  <c:v>541.10736424197137</c:v>
                </c:pt>
                <c:pt idx="97">
                  <c:v>550.76440184545663</c:v>
                </c:pt>
                <c:pt idx="98">
                  <c:v>560.41789006787951</c:v>
                </c:pt>
                <c:pt idx="99">
                  <c:v>570.06789866925885</c:v>
                </c:pt>
                <c:pt idx="100">
                  <c:v>579.71449485526716</c:v>
                </c:pt>
                <c:pt idx="101">
                  <c:v>546.74107162107293</c:v>
                </c:pt>
                <c:pt idx="102">
                  <c:v>555.99381071316304</c:v>
                </c:pt>
                <c:pt idx="103">
                  <c:v>565.24332506261192</c:v>
                </c:pt>
                <c:pt idx="104">
                  <c:v>574.48967488014102</c:v>
                </c:pt>
                <c:pt idx="105">
                  <c:v>583.73291828020922</c:v>
                </c:pt>
                <c:pt idx="106">
                  <c:v>551.97128052407254</c:v>
                </c:pt>
                <c:pt idx="107">
                  <c:v>560.41789006787985</c:v>
                </c:pt>
                <c:pt idx="108">
                  <c:v>568.86183556500578</c:v>
                </c:pt>
                <c:pt idx="109">
                  <c:v>577.30316213955939</c:v>
                </c:pt>
                <c:pt idx="110">
                  <c:v>585.74191348830459</c:v>
                </c:pt>
                <c:pt idx="111">
                  <c:v>555.18935360177829</c:v>
                </c:pt>
                <c:pt idx="112">
                  <c:v>562.83071576489817</c:v>
                </c:pt>
                <c:pt idx="113">
                  <c:v>570.46990784967431</c:v>
                </c:pt>
                <c:pt idx="114">
                  <c:v>578.1069630190849</c:v>
                </c:pt>
                <c:pt idx="115">
                  <c:v>585.7419134883047</c:v>
                </c:pt>
                <c:pt idx="116">
                  <c:v>556.79824344224187</c:v>
                </c:pt>
                <c:pt idx="117">
                  <c:v>564.03704739752004</c:v>
                </c:pt>
                <c:pt idx="118">
                  <c:v>571.27390845762102</c:v>
                </c:pt>
                <c:pt idx="119">
                  <c:v>578.508854711553</c:v>
                </c:pt>
                <c:pt idx="120">
                  <c:v>585.74191348830493</c:v>
                </c:pt>
                <c:pt idx="121">
                  <c:v>2.9932409441277661E-12</c:v>
                </c:pt>
                <c:pt idx="122">
                  <c:v>2.9932409441277661E-12</c:v>
                </c:pt>
                <c:pt idx="123">
                  <c:v>2.9932409441277661E-12</c:v>
                </c:pt>
                <c:pt idx="124">
                  <c:v>2.9932409441277661E-12</c:v>
                </c:pt>
                <c:pt idx="125">
                  <c:v>2.9932409441277661E-12</c:v>
                </c:pt>
                <c:pt idx="126">
                  <c:v>2.9932409441277661E-12</c:v>
                </c:pt>
                <c:pt idx="127">
                  <c:v>2.9932409441277661E-12</c:v>
                </c:pt>
                <c:pt idx="128">
                  <c:v>2.9932409441277661E-12</c:v>
                </c:pt>
                <c:pt idx="129">
                  <c:v>2.9932409441277661E-12</c:v>
                </c:pt>
                <c:pt idx="130">
                  <c:v>2.9932409441277661E-12</c:v>
                </c:pt>
                <c:pt idx="131">
                  <c:v>2.9932409441277661E-12</c:v>
                </c:pt>
                <c:pt idx="132">
                  <c:v>2.9932409441277661E-12</c:v>
                </c:pt>
                <c:pt idx="133">
                  <c:v>2.9932409441277661E-12</c:v>
                </c:pt>
                <c:pt idx="134">
                  <c:v>2.9932409441277661E-12</c:v>
                </c:pt>
                <c:pt idx="135">
                  <c:v>2.9932409441277661E-12</c:v>
                </c:pt>
                <c:pt idx="136">
                  <c:v>2.9932409441277661E-12</c:v>
                </c:pt>
                <c:pt idx="137">
                  <c:v>2.9932409441277661E-12</c:v>
                </c:pt>
                <c:pt idx="138">
                  <c:v>2.9932409441277661E-12</c:v>
                </c:pt>
                <c:pt idx="139">
                  <c:v>2.9932409441277661E-12</c:v>
                </c:pt>
                <c:pt idx="140">
                  <c:v>2.9932409441277661E-12</c:v>
                </c:pt>
                <c:pt idx="141">
                  <c:v>2.9932409441277661E-12</c:v>
                </c:pt>
                <c:pt idx="142">
                  <c:v>2.9932409441277661E-12</c:v>
                </c:pt>
                <c:pt idx="143">
                  <c:v>2.9932409441277661E-12</c:v>
                </c:pt>
                <c:pt idx="144">
                  <c:v>2.9932409441277661E-12</c:v>
                </c:pt>
                <c:pt idx="145">
                  <c:v>2.9932409441277661E-12</c:v>
                </c:pt>
                <c:pt idx="146">
                  <c:v>2.9932409441277661E-12</c:v>
                </c:pt>
                <c:pt idx="147">
                  <c:v>2.9932409441277661E-12</c:v>
                </c:pt>
                <c:pt idx="148">
                  <c:v>2.9932409441277661E-12</c:v>
                </c:pt>
                <c:pt idx="149">
                  <c:v>2.9932409441277661E-12</c:v>
                </c:pt>
                <c:pt idx="150">
                  <c:v>2.9932409441277661E-12</c:v>
                </c:pt>
                <c:pt idx="151">
                  <c:v>2.9932409441277661E-12</c:v>
                </c:pt>
                <c:pt idx="152">
                  <c:v>2.9932409441277661E-12</c:v>
                </c:pt>
                <c:pt idx="153">
                  <c:v>2.9932409441277661E-12</c:v>
                </c:pt>
                <c:pt idx="154">
                  <c:v>2.9932409441277661E-12</c:v>
                </c:pt>
                <c:pt idx="155">
                  <c:v>2.9932409441277661E-12</c:v>
                </c:pt>
                <c:pt idx="156">
                  <c:v>2.9932409441277661E-12</c:v>
                </c:pt>
                <c:pt idx="157">
                  <c:v>2.9932409441277661E-12</c:v>
                </c:pt>
                <c:pt idx="158">
                  <c:v>2.9932409441277661E-12</c:v>
                </c:pt>
                <c:pt idx="159">
                  <c:v>2.9932409441277661E-12</c:v>
                </c:pt>
                <c:pt idx="160">
                  <c:v>2.9932409441277661E-12</c:v>
                </c:pt>
                <c:pt idx="161">
                  <c:v>2.9932409441277661E-12</c:v>
                </c:pt>
                <c:pt idx="162">
                  <c:v>2.9932409441277661E-12</c:v>
                </c:pt>
                <c:pt idx="163">
                  <c:v>2.9932409441277661E-12</c:v>
                </c:pt>
                <c:pt idx="164">
                  <c:v>2.9932409441277661E-12</c:v>
                </c:pt>
                <c:pt idx="165">
                  <c:v>2.9932409441277661E-12</c:v>
                </c:pt>
                <c:pt idx="166">
                  <c:v>2.9932409441277661E-12</c:v>
                </c:pt>
                <c:pt idx="167">
                  <c:v>2.9932409441277661E-12</c:v>
                </c:pt>
                <c:pt idx="168">
                  <c:v>2.9932409441277661E-12</c:v>
                </c:pt>
                <c:pt idx="169">
                  <c:v>2.9932409441277661E-12</c:v>
                </c:pt>
                <c:pt idx="170">
                  <c:v>2.9932409441277661E-12</c:v>
                </c:pt>
                <c:pt idx="171">
                  <c:v>2.9932409441277661E-12</c:v>
                </c:pt>
                <c:pt idx="172">
                  <c:v>2.9932409441277661E-12</c:v>
                </c:pt>
                <c:pt idx="173">
                  <c:v>2.9932409441277661E-12</c:v>
                </c:pt>
                <c:pt idx="174">
                  <c:v>2.9932409441277661E-12</c:v>
                </c:pt>
                <c:pt idx="175">
                  <c:v>2.9932409441277661E-12</c:v>
                </c:pt>
                <c:pt idx="176">
                  <c:v>2.9932409441277661E-12</c:v>
                </c:pt>
                <c:pt idx="177">
                  <c:v>2.9932409441277661E-12</c:v>
                </c:pt>
                <c:pt idx="178">
                  <c:v>2.9932409441277661E-12</c:v>
                </c:pt>
                <c:pt idx="179">
                  <c:v>2.9932409441277661E-12</c:v>
                </c:pt>
                <c:pt idx="180">
                  <c:v>2.9932409441277661E-12</c:v>
                </c:pt>
                <c:pt idx="181">
                  <c:v>2.9932409441277661E-12</c:v>
                </c:pt>
                <c:pt idx="182">
                  <c:v>2.9932409441277661E-12</c:v>
                </c:pt>
                <c:pt idx="183">
                  <c:v>2.9932409441277661E-12</c:v>
                </c:pt>
                <c:pt idx="184">
                  <c:v>2.9932409441277661E-12</c:v>
                </c:pt>
                <c:pt idx="185">
                  <c:v>2.9932409441277661E-12</c:v>
                </c:pt>
                <c:pt idx="186">
                  <c:v>2.9932409441277661E-12</c:v>
                </c:pt>
                <c:pt idx="187">
                  <c:v>2.9932409441277661E-12</c:v>
                </c:pt>
                <c:pt idx="188">
                  <c:v>2.9932409441277661E-12</c:v>
                </c:pt>
                <c:pt idx="189">
                  <c:v>2.9932409441277661E-12</c:v>
                </c:pt>
                <c:pt idx="190">
                  <c:v>2.9932409441277661E-12</c:v>
                </c:pt>
                <c:pt idx="191">
                  <c:v>2.9932409441277661E-12</c:v>
                </c:pt>
                <c:pt idx="192">
                  <c:v>2.9932409441277661E-12</c:v>
                </c:pt>
                <c:pt idx="193">
                  <c:v>2.9932409441277661E-12</c:v>
                </c:pt>
                <c:pt idx="194">
                  <c:v>2.9932409441277661E-12</c:v>
                </c:pt>
                <c:pt idx="195">
                  <c:v>2.9932409441277661E-12</c:v>
                </c:pt>
                <c:pt idx="196">
                  <c:v>2.9932409441277661E-12</c:v>
                </c:pt>
                <c:pt idx="197">
                  <c:v>2.9932409441277661E-12</c:v>
                </c:pt>
                <c:pt idx="198">
                  <c:v>2.9932409441277661E-12</c:v>
                </c:pt>
                <c:pt idx="199">
                  <c:v>2.9932409441277661E-12</c:v>
                </c:pt>
                <c:pt idx="200">
                  <c:v>2.9932409441277661E-12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2.713993017085917</c:v>
                </c:pt>
                <c:pt idx="2">
                  <c:v>3.297780094167829</c:v>
                </c:pt>
                <c:pt idx="3">
                  <c:v>4.0076148495630122</c:v>
                </c:pt>
                <c:pt idx="4">
                  <c:v>4.8708091687241364</c:v>
                </c:pt>
                <c:pt idx="5">
                  <c:v>5.9206124221209437</c:v>
                </c:pt>
                <c:pt idx="6">
                  <c:v>7.1975062064258246</c:v>
                </c:pt>
                <c:pt idx="7">
                  <c:v>8.7507822174987044</c:v>
                </c:pt>
                <c:pt idx="8">
                  <c:v>10.640465330220749</c:v>
                </c:pt>
                <c:pt idx="9">
                  <c:v>12.939657601942194</c:v>
                </c:pt>
                <c:pt idx="10">
                  <c:v>15.737395562368858</c:v>
                </c:pt>
                <c:pt idx="11">
                  <c:v>19.142133466046261</c:v>
                </c:pt>
                <c:pt idx="12">
                  <c:v>23.285989973678308</c:v>
                </c:pt>
                <c:pt idx="13">
                  <c:v>28.329925983783568</c:v>
                </c:pt>
                <c:pt idx="14">
                  <c:v>34.470058263700928</c:v>
                </c:pt>
                <c:pt idx="15">
                  <c:v>41.945358602794364</c:v>
                </c:pt>
                <c:pt idx="16">
                  <c:v>51.047043231153054</c:v>
                </c:pt>
                <c:pt idx="17">
                  <c:v>62.130024412894237</c:v>
                </c:pt>
                <c:pt idx="18">
                  <c:v>75.626878119916697</c:v>
                </c:pt>
                <c:pt idx="19">
                  <c:v>92.064881799910609</c:v>
                </c:pt>
                <c:pt idx="20">
                  <c:v>112.08679847851977</c:v>
                </c:pt>
                <c:pt idx="21">
                  <c:v>90.973218596700079</c:v>
                </c:pt>
                <c:pt idx="22">
                  <c:v>110.17174748207316</c:v>
                </c:pt>
                <c:pt idx="23">
                  <c:v>129.28787235572034</c:v>
                </c:pt>
                <c:pt idx="24">
                  <c:v>148.33552588657844</c:v>
                </c:pt>
                <c:pt idx="25">
                  <c:v>167.32475178414452</c:v>
                </c:pt>
                <c:pt idx="26">
                  <c:v>146.05306344957884</c:v>
                </c:pt>
                <c:pt idx="27">
                  <c:v>164.6694744129513</c:v>
                </c:pt>
                <c:pt idx="28">
                  <c:v>183.23613938898782</c:v>
                </c:pt>
                <c:pt idx="29">
                  <c:v>201.75881092692782</c:v>
                </c:pt>
                <c:pt idx="30">
                  <c:v>220.24209728386407</c:v>
                </c:pt>
                <c:pt idx="31">
                  <c:v>196.84864368888995</c:v>
                </c:pt>
                <c:pt idx="32">
                  <c:v>213.07952740360665</c:v>
                </c:pt>
                <c:pt idx="33">
                  <c:v>229.28193394845096</c:v>
                </c:pt>
                <c:pt idx="34">
                  <c:v>245.45815924548182</c:v>
                </c:pt>
                <c:pt idx="35">
                  <c:v>261.61017170872896</c:v>
                </c:pt>
                <c:pt idx="36">
                  <c:v>236.43267338641553</c:v>
                </c:pt>
                <c:pt idx="37">
                  <c:v>250.71952474895636</c:v>
                </c:pt>
                <c:pt idx="38">
                  <c:v>264.98792439409277</c:v>
                </c:pt>
                <c:pt idx="39">
                  <c:v>279.23900597474045</c:v>
                </c:pt>
                <c:pt idx="40">
                  <c:v>293.47377793906486</c:v>
                </c:pt>
                <c:pt idx="41">
                  <c:v>266.11362550427401</c:v>
                </c:pt>
                <c:pt idx="42">
                  <c:v>278.11452603753787</c:v>
                </c:pt>
                <c:pt idx="43">
                  <c:v>290.10380901652701</c:v>
                </c:pt>
                <c:pt idx="44">
                  <c:v>302.08202241270902</c:v>
                </c:pt>
                <c:pt idx="45">
                  <c:v>314.04966717357325</c:v>
                </c:pt>
                <c:pt idx="46">
                  <c:v>290.85276623666175</c:v>
                </c:pt>
                <c:pt idx="47">
                  <c:v>301.33369868276128</c:v>
                </c:pt>
                <c:pt idx="48">
                  <c:v>311.8065171359209</c:v>
                </c:pt>
                <c:pt idx="49">
                  <c:v>322.27153269112586</c:v>
                </c:pt>
                <c:pt idx="50">
                  <c:v>332.72903457884451</c:v>
                </c:pt>
                <c:pt idx="51">
                  <c:v>317.41372695991259</c:v>
                </c:pt>
                <c:pt idx="52">
                  <c:v>326.38071774395229</c:v>
                </c:pt>
                <c:pt idx="53">
                  <c:v>335.34226803283235</c:v>
                </c:pt>
                <c:pt idx="54">
                  <c:v>344.29854381894557</c:v>
                </c:pt>
                <c:pt idx="55">
                  <c:v>353.24970174806896</c:v>
                </c:pt>
                <c:pt idx="56">
                  <c:v>340.19422861744891</c:v>
                </c:pt>
                <c:pt idx="57">
                  <c:v>347.65581965898076</c:v>
                </c:pt>
                <c:pt idx="58">
                  <c:v>355.11389600890442</c:v>
                </c:pt>
                <c:pt idx="59">
                  <c:v>362.56854195764794</c:v>
                </c:pt>
                <c:pt idx="60">
                  <c:v>370.01983804377869</c:v>
                </c:pt>
                <c:pt idx="61">
                  <c:v>359.58708999068591</c:v>
                </c:pt>
                <c:pt idx="62">
                  <c:v>365.92203505591783</c:v>
                </c:pt>
                <c:pt idx="63">
                  <c:v>372.25458524998089</c:v>
                </c:pt>
                <c:pt idx="64">
                  <c:v>378.58478709988793</c:v>
                </c:pt>
                <c:pt idx="65">
                  <c:v>384.91268544829819</c:v>
                </c:pt>
                <c:pt idx="66">
                  <c:v>375.60615822359978</c:v>
                </c:pt>
                <c:pt idx="67">
                  <c:v>381.19066877305704</c:v>
                </c:pt>
                <c:pt idx="68">
                  <c:v>386.77339997206712</c:v>
                </c:pt>
                <c:pt idx="69">
                  <c:v>392.3543811541972</c:v>
                </c:pt>
                <c:pt idx="70">
                  <c:v>397.93364074958504</c:v>
                </c:pt>
                <c:pt idx="71">
                  <c:v>387.88973528733283</c:v>
                </c:pt>
                <c:pt idx="72">
                  <c:v>392.72638504489879</c:v>
                </c:pt>
                <c:pt idx="73">
                  <c:v>397.56174311317318</c:v>
                </c:pt>
                <c:pt idx="74">
                  <c:v>402.39582743654279</c:v>
                </c:pt>
                <c:pt idx="75">
                  <c:v>407.22865549260911</c:v>
                </c:pt>
                <c:pt idx="76">
                  <c:v>398.67741344442726</c:v>
                </c:pt>
                <c:pt idx="77">
                  <c:v>403.13942078264904</c:v>
                </c:pt>
                <c:pt idx="78">
                  <c:v>407.60035995338376</c:v>
                </c:pt>
                <c:pt idx="79">
                  <c:v>412.06024430985258</c:v>
                </c:pt>
                <c:pt idx="80">
                  <c:v>416.51908689232141</c:v>
                </c:pt>
                <c:pt idx="81">
                  <c:v>8.0726688341261168E-13</c:v>
                </c:pt>
                <c:pt idx="82">
                  <c:v>8.0726688341261168E-13</c:v>
                </c:pt>
                <c:pt idx="83">
                  <c:v>8.0726688341261168E-13</c:v>
                </c:pt>
                <c:pt idx="84">
                  <c:v>8.0726688341261168E-13</c:v>
                </c:pt>
                <c:pt idx="85">
                  <c:v>8.0726688341261168E-13</c:v>
                </c:pt>
                <c:pt idx="86">
                  <c:v>8.0726688341261168E-13</c:v>
                </c:pt>
                <c:pt idx="87">
                  <c:v>8.0726688341261168E-13</c:v>
                </c:pt>
                <c:pt idx="88">
                  <c:v>8.0726688341261168E-13</c:v>
                </c:pt>
                <c:pt idx="89">
                  <c:v>8.0726688341261168E-13</c:v>
                </c:pt>
                <c:pt idx="90">
                  <c:v>8.0726688341261168E-13</c:v>
                </c:pt>
                <c:pt idx="91">
                  <c:v>8.0726688341261168E-13</c:v>
                </c:pt>
                <c:pt idx="92">
                  <c:v>8.0726688341261168E-13</c:v>
                </c:pt>
                <c:pt idx="93">
                  <c:v>8.0726688341261168E-13</c:v>
                </c:pt>
                <c:pt idx="94">
                  <c:v>8.0726688341261168E-13</c:v>
                </c:pt>
                <c:pt idx="95">
                  <c:v>8.0726688341261168E-13</c:v>
                </c:pt>
                <c:pt idx="96">
                  <c:v>8.0726688341261168E-13</c:v>
                </c:pt>
                <c:pt idx="97">
                  <c:v>8.0726688341261168E-13</c:v>
                </c:pt>
                <c:pt idx="98">
                  <c:v>8.0726688341261168E-13</c:v>
                </c:pt>
                <c:pt idx="99">
                  <c:v>8.0726688341261168E-13</c:v>
                </c:pt>
                <c:pt idx="100">
                  <c:v>8.0726688341261168E-13</c:v>
                </c:pt>
                <c:pt idx="101">
                  <c:v>8.0726688341261168E-13</c:v>
                </c:pt>
                <c:pt idx="102">
                  <c:v>8.0726688341261168E-13</c:v>
                </c:pt>
                <c:pt idx="103">
                  <c:v>8.0726688341261168E-13</c:v>
                </c:pt>
                <c:pt idx="104">
                  <c:v>8.0726688341261168E-13</c:v>
                </c:pt>
                <c:pt idx="105">
                  <c:v>8.0726688341261168E-13</c:v>
                </c:pt>
                <c:pt idx="106">
                  <c:v>8.0726688341261168E-13</c:v>
                </c:pt>
                <c:pt idx="107">
                  <c:v>8.0726688341261168E-13</c:v>
                </c:pt>
                <c:pt idx="108">
                  <c:v>8.0726688341261168E-13</c:v>
                </c:pt>
                <c:pt idx="109">
                  <c:v>8.0726688341261168E-13</c:v>
                </c:pt>
                <c:pt idx="110">
                  <c:v>8.0726688341261168E-13</c:v>
                </c:pt>
                <c:pt idx="111">
                  <c:v>8.0726688341261168E-13</c:v>
                </c:pt>
                <c:pt idx="112">
                  <c:v>8.0726688341261168E-13</c:v>
                </c:pt>
                <c:pt idx="113">
                  <c:v>8.0726688341261168E-13</c:v>
                </c:pt>
                <c:pt idx="114">
                  <c:v>8.0726688341261168E-13</c:v>
                </c:pt>
                <c:pt idx="115">
                  <c:v>8.0726688341261168E-13</c:v>
                </c:pt>
                <c:pt idx="116">
                  <c:v>8.0726688341261168E-13</c:v>
                </c:pt>
                <c:pt idx="117">
                  <c:v>8.0726688341261168E-13</c:v>
                </c:pt>
                <c:pt idx="118">
                  <c:v>8.0726688341261168E-13</c:v>
                </c:pt>
                <c:pt idx="119">
                  <c:v>8.0726688341261168E-13</c:v>
                </c:pt>
                <c:pt idx="120">
                  <c:v>8.0726688341261168E-13</c:v>
                </c:pt>
                <c:pt idx="121">
                  <c:v>8.0726688341261168E-13</c:v>
                </c:pt>
                <c:pt idx="122">
                  <c:v>8.0726688341261168E-13</c:v>
                </c:pt>
                <c:pt idx="123">
                  <c:v>8.0726688341261168E-13</c:v>
                </c:pt>
                <c:pt idx="124">
                  <c:v>8.0726688341261168E-13</c:v>
                </c:pt>
                <c:pt idx="125">
                  <c:v>8.0726688341261168E-13</c:v>
                </c:pt>
                <c:pt idx="126">
                  <c:v>8.0726688341261168E-13</c:v>
                </c:pt>
                <c:pt idx="127">
                  <c:v>8.0726688341261168E-13</c:v>
                </c:pt>
                <c:pt idx="128">
                  <c:v>8.0726688341261168E-13</c:v>
                </c:pt>
                <c:pt idx="129">
                  <c:v>8.0726688341261168E-13</c:v>
                </c:pt>
                <c:pt idx="130">
                  <c:v>8.0726688341261168E-13</c:v>
                </c:pt>
                <c:pt idx="131">
                  <c:v>8.0726688341261168E-13</c:v>
                </c:pt>
                <c:pt idx="132">
                  <c:v>8.0726688341261168E-13</c:v>
                </c:pt>
                <c:pt idx="133">
                  <c:v>8.0726688341261168E-13</c:v>
                </c:pt>
                <c:pt idx="134">
                  <c:v>8.0726688341261168E-13</c:v>
                </c:pt>
                <c:pt idx="135">
                  <c:v>8.0726688341261168E-13</c:v>
                </c:pt>
                <c:pt idx="136">
                  <c:v>8.0726688341261168E-13</c:v>
                </c:pt>
                <c:pt idx="137">
                  <c:v>8.0726688341261168E-13</c:v>
                </c:pt>
                <c:pt idx="138">
                  <c:v>8.0726688341261168E-13</c:v>
                </c:pt>
                <c:pt idx="139">
                  <c:v>8.0726688341261168E-13</c:v>
                </c:pt>
                <c:pt idx="140">
                  <c:v>8.0726688341261168E-13</c:v>
                </c:pt>
                <c:pt idx="141">
                  <c:v>8.0726688341261168E-13</c:v>
                </c:pt>
                <c:pt idx="142">
                  <c:v>8.0726688341261168E-13</c:v>
                </c:pt>
                <c:pt idx="143">
                  <c:v>8.0726688341261168E-13</c:v>
                </c:pt>
                <c:pt idx="144">
                  <c:v>8.0726688341261168E-13</c:v>
                </c:pt>
                <c:pt idx="145">
                  <c:v>8.0726688341261168E-13</c:v>
                </c:pt>
                <c:pt idx="146">
                  <c:v>8.0726688341261168E-13</c:v>
                </c:pt>
                <c:pt idx="147">
                  <c:v>8.0726688341261168E-13</c:v>
                </c:pt>
                <c:pt idx="148">
                  <c:v>8.0726688341261168E-13</c:v>
                </c:pt>
                <c:pt idx="149">
                  <c:v>8.0726688341261168E-13</c:v>
                </c:pt>
                <c:pt idx="150">
                  <c:v>8.0726688341261168E-13</c:v>
                </c:pt>
                <c:pt idx="151">
                  <c:v>8.0726688341261168E-13</c:v>
                </c:pt>
                <c:pt idx="152">
                  <c:v>8.0726688341261168E-13</c:v>
                </c:pt>
                <c:pt idx="153">
                  <c:v>8.0726688341261168E-13</c:v>
                </c:pt>
                <c:pt idx="154">
                  <c:v>8.0726688341261168E-13</c:v>
                </c:pt>
                <c:pt idx="155">
                  <c:v>8.0726688341261168E-13</c:v>
                </c:pt>
                <c:pt idx="156">
                  <c:v>8.0726688341261168E-13</c:v>
                </c:pt>
                <c:pt idx="157">
                  <c:v>8.0726688341261168E-13</c:v>
                </c:pt>
                <c:pt idx="158">
                  <c:v>8.0726688341261168E-13</c:v>
                </c:pt>
                <c:pt idx="159">
                  <c:v>8.0726688341261168E-13</c:v>
                </c:pt>
                <c:pt idx="160">
                  <c:v>8.0726688341261168E-13</c:v>
                </c:pt>
                <c:pt idx="161">
                  <c:v>8.0726688341261168E-13</c:v>
                </c:pt>
                <c:pt idx="162">
                  <c:v>8.0726688341261168E-13</c:v>
                </c:pt>
                <c:pt idx="163">
                  <c:v>8.0726688341261168E-13</c:v>
                </c:pt>
                <c:pt idx="164">
                  <c:v>8.0726688341261168E-13</c:v>
                </c:pt>
                <c:pt idx="165">
                  <c:v>8.0726688341261168E-13</c:v>
                </c:pt>
                <c:pt idx="166">
                  <c:v>8.0726688341261168E-13</c:v>
                </c:pt>
                <c:pt idx="167">
                  <c:v>8.0726688341261168E-13</c:v>
                </c:pt>
                <c:pt idx="168">
                  <c:v>8.0726688341261168E-13</c:v>
                </c:pt>
                <c:pt idx="169">
                  <c:v>8.0726688341261168E-13</c:v>
                </c:pt>
                <c:pt idx="170">
                  <c:v>8.0726688341261168E-13</c:v>
                </c:pt>
                <c:pt idx="171">
                  <c:v>8.0726688341261168E-13</c:v>
                </c:pt>
                <c:pt idx="172">
                  <c:v>8.0726688341261168E-13</c:v>
                </c:pt>
                <c:pt idx="173">
                  <c:v>8.0726688341261168E-13</c:v>
                </c:pt>
                <c:pt idx="174">
                  <c:v>8.0726688341261168E-13</c:v>
                </c:pt>
                <c:pt idx="175">
                  <c:v>8.0726688341261168E-13</c:v>
                </c:pt>
                <c:pt idx="176">
                  <c:v>8.0726688341261168E-13</c:v>
                </c:pt>
                <c:pt idx="177">
                  <c:v>8.0726688341261168E-13</c:v>
                </c:pt>
                <c:pt idx="178">
                  <c:v>8.0726688341261168E-13</c:v>
                </c:pt>
                <c:pt idx="179">
                  <c:v>8.0726688341261168E-13</c:v>
                </c:pt>
                <c:pt idx="180">
                  <c:v>8.0726688341261168E-13</c:v>
                </c:pt>
                <c:pt idx="181">
                  <c:v>8.0726688341261168E-13</c:v>
                </c:pt>
                <c:pt idx="182">
                  <c:v>8.0726688341261168E-13</c:v>
                </c:pt>
                <c:pt idx="183">
                  <c:v>8.0726688341261168E-13</c:v>
                </c:pt>
                <c:pt idx="184">
                  <c:v>8.0726688341261168E-13</c:v>
                </c:pt>
                <c:pt idx="185">
                  <c:v>8.0726688341261168E-13</c:v>
                </c:pt>
                <c:pt idx="186">
                  <c:v>8.0726688341261168E-13</c:v>
                </c:pt>
                <c:pt idx="187">
                  <c:v>8.0726688341261168E-13</c:v>
                </c:pt>
                <c:pt idx="188">
                  <c:v>8.0726688341261168E-13</c:v>
                </c:pt>
                <c:pt idx="189">
                  <c:v>8.0726688341261168E-13</c:v>
                </c:pt>
                <c:pt idx="190">
                  <c:v>8.0726688341261168E-13</c:v>
                </c:pt>
                <c:pt idx="191">
                  <c:v>8.0726688341261168E-13</c:v>
                </c:pt>
                <c:pt idx="192">
                  <c:v>8.0726688341261168E-13</c:v>
                </c:pt>
                <c:pt idx="193">
                  <c:v>8.0726688341261168E-13</c:v>
                </c:pt>
                <c:pt idx="194">
                  <c:v>8.0726688341261168E-13</c:v>
                </c:pt>
                <c:pt idx="195">
                  <c:v>8.0726688341261168E-13</c:v>
                </c:pt>
                <c:pt idx="196">
                  <c:v>8.0726688341261168E-13</c:v>
                </c:pt>
                <c:pt idx="197">
                  <c:v>8.0726688341261168E-13</c:v>
                </c:pt>
                <c:pt idx="198">
                  <c:v>8.0726688341261168E-13</c:v>
                </c:pt>
                <c:pt idx="199">
                  <c:v>8.0726688341261168E-13</c:v>
                </c:pt>
                <c:pt idx="200">
                  <c:v>8.0726688341261168E-13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2.0598130854067289</c:v>
                </c:pt>
                <c:pt idx="2">
                  <c:v>2.4494379497599144</c:v>
                </c:pt>
                <c:pt idx="3">
                  <c:v>2.9130388278323074</c:v>
                </c:pt>
                <c:pt idx="4">
                  <c:v>3.4647107766982983</c:v>
                </c:pt>
                <c:pt idx="5">
                  <c:v>4.1212433393556713</c:v>
                </c:pt>
                <c:pt idx="6">
                  <c:v>4.902637219424693</c:v>
                </c:pt>
                <c:pt idx="7">
                  <c:v>5.8327203107348708</c:v>
                </c:pt>
                <c:pt idx="8">
                  <c:v>6.9398822372294804</c:v>
                </c:pt>
                <c:pt idx="9">
                  <c:v>8.2579502605447033</c:v>
                </c:pt>
                <c:pt idx="10">
                  <c:v>9.8272338315211361</c:v>
                </c:pt>
                <c:pt idx="11">
                  <c:v>11.695770336913489</c:v>
                </c:pt>
                <c:pt idx="12">
                  <c:v>13.920810889859885</c:v>
                </c:pt>
                <c:pt idx="13">
                  <c:v>16.57059253074933</c:v>
                </c:pt>
                <c:pt idx="14">
                  <c:v>19.726452181085573</c:v>
                </c:pt>
                <c:pt idx="15">
                  <c:v>23.485348410016101</c:v>
                </c:pt>
                <c:pt idx="16">
                  <c:v>27.962869869719654</c:v>
                </c:pt>
                <c:pt idx="17">
                  <c:v>33.296824536023927</c:v>
                </c:pt>
                <c:pt idx="18">
                  <c:v>39.651522137349311</c:v>
                </c:pt>
                <c:pt idx="19">
                  <c:v>47.22288394527282</c:v>
                </c:pt>
                <c:pt idx="20">
                  <c:v>56.244540122981597</c:v>
                </c:pt>
                <c:pt idx="21">
                  <c:v>52.020384623053708</c:v>
                </c:pt>
                <c:pt idx="22">
                  <c:v>58.353454703414485</c:v>
                </c:pt>
                <c:pt idx="23">
                  <c:v>64.66856117257484</c:v>
                </c:pt>
                <c:pt idx="24">
                  <c:v>70.967710974783941</c:v>
                </c:pt>
                <c:pt idx="25">
                  <c:v>77.252524155553886</c:v>
                </c:pt>
                <c:pt idx="26">
                  <c:v>69.632775520636997</c:v>
                </c:pt>
                <c:pt idx="27">
                  <c:v>76.301145689172898</c:v>
                </c:pt>
                <c:pt idx="28">
                  <c:v>82.954676649972768</c:v>
                </c:pt>
                <c:pt idx="29">
                  <c:v>89.594729390655559</c:v>
                </c:pt>
                <c:pt idx="30">
                  <c:v>96.222446032043663</c:v>
                </c:pt>
                <c:pt idx="31">
                  <c:v>87.12992095223332</c:v>
                </c:pt>
                <c:pt idx="32">
                  <c:v>94.140716854135107</c:v>
                </c:pt>
                <c:pt idx="33">
                  <c:v>101.13848734604518</c:v>
                </c:pt>
                <c:pt idx="34">
                  <c:v>108.12426266746684</c:v>
                </c:pt>
                <c:pt idx="35">
                  <c:v>115.09892870231459</c:v>
                </c:pt>
                <c:pt idx="36">
                  <c:v>104.16078030302447</c:v>
                </c:pt>
                <c:pt idx="37">
                  <c:v>111.1416502716159</c:v>
                </c:pt>
                <c:pt idx="38">
                  <c:v>118.11175661352553</c:v>
                </c:pt>
                <c:pt idx="39">
                  <c:v>125.07182536157403</c:v>
                </c:pt>
                <c:pt idx="40">
                  <c:v>132.02249495436959</c:v>
                </c:pt>
                <c:pt idx="41">
                  <c:v>120.1819843481781</c:v>
                </c:pt>
                <c:pt idx="42">
                  <c:v>127.13919560760012</c:v>
                </c:pt>
                <c:pt idx="43">
                  <c:v>134.0871828895406</c:v>
                </c:pt>
                <c:pt idx="44">
                  <c:v>141.02649246407412</c:v>
                </c:pt>
                <c:pt idx="45">
                  <c:v>147.9576123374022</c:v>
                </c:pt>
                <c:pt idx="46">
                  <c:v>135.40067522615209</c:v>
                </c:pt>
                <c:pt idx="47">
                  <c:v>142.52579115025171</c:v>
                </c:pt>
                <c:pt idx="48">
                  <c:v>149.64237261832491</c:v>
                </c:pt>
                <c:pt idx="49">
                  <c:v>156.75088346387858</c:v>
                </c:pt>
                <c:pt idx="50">
                  <c:v>163.85174193462572</c:v>
                </c:pt>
                <c:pt idx="51">
                  <c:v>150.01670213403807</c:v>
                </c:pt>
                <c:pt idx="52">
                  <c:v>156.75088346387858</c:v>
                </c:pt>
                <c:pt idx="53">
                  <c:v>163.47819703457404</c:v>
                </c:pt>
                <c:pt idx="54">
                  <c:v>170.19896583320107</c:v>
                </c:pt>
                <c:pt idx="55">
                  <c:v>176.91348520770848</c:v>
                </c:pt>
                <c:pt idx="56">
                  <c:v>163.10463194167394</c:v>
                </c:pt>
                <c:pt idx="57">
                  <c:v>169.82575635137312</c:v>
                </c:pt>
                <c:pt idx="58">
                  <c:v>176.54061559438958</c:v>
                </c:pt>
                <c:pt idx="59">
                  <c:v>183.24948199861566</c:v>
                </c:pt>
                <c:pt idx="60">
                  <c:v>189.95260628780591</c:v>
                </c:pt>
                <c:pt idx="61">
                  <c:v>175.98127648998835</c:v>
                </c:pt>
                <c:pt idx="62">
                  <c:v>182.50434037130813</c:v>
                </c:pt>
                <c:pt idx="63">
                  <c:v>189.02195139881823</c:v>
                </c:pt>
                <c:pt idx="64">
                  <c:v>195.5343244382826</c:v>
                </c:pt>
                <c:pt idx="65">
                  <c:v>202.04165884934017</c:v>
                </c:pt>
                <c:pt idx="66">
                  <c:v>187.71885487389389</c:v>
                </c:pt>
                <c:pt idx="67">
                  <c:v>193.86020319325181</c:v>
                </c:pt>
                <c:pt idx="68">
                  <c:v>199.99702805410388</c:v>
                </c:pt>
                <c:pt idx="69">
                  <c:v>206.12948808427799</c:v>
                </c:pt>
                <c:pt idx="70">
                  <c:v>212.25773168580147</c:v>
                </c:pt>
                <c:pt idx="71">
                  <c:v>197.95191236170558</c:v>
                </c:pt>
                <c:pt idx="72">
                  <c:v>204.08581036189616</c:v>
                </c:pt>
                <c:pt idx="73">
                  <c:v>210.21544354167881</c:v>
                </c:pt>
                <c:pt idx="74">
                  <c:v>216.34095401650256</c:v>
                </c:pt>
                <c:pt idx="75">
                  <c:v>222.46247518327698</c:v>
                </c:pt>
                <c:pt idx="76">
                  <c:v>207.80123939191051</c:v>
                </c:pt>
                <c:pt idx="77">
                  <c:v>213.5571334405995</c:v>
                </c:pt>
                <c:pt idx="78">
                  <c:v>219.30945455294048</c:v>
                </c:pt>
                <c:pt idx="79">
                  <c:v>225.05830983252937</c:v>
                </c:pt>
                <c:pt idx="80">
                  <c:v>230.80380045507431</c:v>
                </c:pt>
                <c:pt idx="81">
                  <c:v>216.71206756109029</c:v>
                </c:pt>
                <c:pt idx="82">
                  <c:v>222.09158511674138</c:v>
                </c:pt>
                <c:pt idx="83">
                  <c:v>227.46811313386058</c:v>
                </c:pt>
                <c:pt idx="84">
                  <c:v>232.84173237341909</c:v>
                </c:pt>
                <c:pt idx="85">
                  <c:v>238.21251955778698</c:v>
                </c:pt>
                <c:pt idx="86">
                  <c:v>224.87291593457962</c:v>
                </c:pt>
                <c:pt idx="87">
                  <c:v>230.06263248550883</c:v>
                </c:pt>
                <c:pt idx="88">
                  <c:v>235.2496724067712</c:v>
                </c:pt>
                <c:pt idx="89">
                  <c:v>240.43410315093078</c:v>
                </c:pt>
                <c:pt idx="90">
                  <c:v>245.61598901899268</c:v>
                </c:pt>
                <c:pt idx="91">
                  <c:v>232.10071357664606</c:v>
                </c:pt>
                <c:pt idx="92">
                  <c:v>237.10155093403486</c:v>
                </c:pt>
                <c:pt idx="93">
                  <c:v>242.09998385215556</c:v>
                </c:pt>
                <c:pt idx="94">
                  <c:v>247.09606906945621</c:v>
                </c:pt>
                <c:pt idx="95">
                  <c:v>252.08986083859631</c:v>
                </c:pt>
                <c:pt idx="96">
                  <c:v>238.95309966042669</c:v>
                </c:pt>
                <c:pt idx="97">
                  <c:v>243.39548840660663</c:v>
                </c:pt>
                <c:pt idx="98">
                  <c:v>247.83603350993602</c:v>
                </c:pt>
                <c:pt idx="99">
                  <c:v>252.27477272915084</c:v>
                </c:pt>
                <c:pt idx="100">
                  <c:v>256.71174238331639</c:v>
                </c:pt>
                <c:pt idx="101">
                  <c:v>244.50579602362004</c:v>
                </c:pt>
                <c:pt idx="102">
                  <c:v>248.94588617368993</c:v>
                </c:pt>
                <c:pt idx="103">
                  <c:v>253.38417965117685</c:v>
                </c:pt>
                <c:pt idx="104">
                  <c:v>257.82071242786628</c:v>
                </c:pt>
                <c:pt idx="105">
                  <c:v>262.25551913421657</c:v>
                </c:pt>
                <c:pt idx="106">
                  <c:v>250.6104548131033</c:v>
                </c:pt>
                <c:pt idx="107">
                  <c:v>254.67834869061383</c:v>
                </c:pt>
                <c:pt idx="108">
                  <c:v>258.74477170602881</c:v>
                </c:pt>
                <c:pt idx="109">
                  <c:v>262.80975028310553</c:v>
                </c:pt>
                <c:pt idx="110">
                  <c:v>266.8733099599167</c:v>
                </c:pt>
                <c:pt idx="111">
                  <c:v>255.04808388603203</c:v>
                </c:pt>
                <c:pt idx="112">
                  <c:v>258.92957459921269</c:v>
                </c:pt>
                <c:pt idx="113">
                  <c:v>262.80975028310553</c:v>
                </c:pt>
                <c:pt idx="114">
                  <c:v>266.68863313173625</c:v>
                </c:pt>
                <c:pt idx="115">
                  <c:v>270.56624463958929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3.1092402674913333</c:v>
                </c:pt>
                <c:pt idx="2">
                  <c:v>3.5396473110534372</c:v>
                </c:pt>
                <c:pt idx="3">
                  <c:v>4.0298449343355021</c:v>
                </c:pt>
                <c:pt idx="4">
                  <c:v>4.5881665834252843</c:v>
                </c:pt>
                <c:pt idx="5">
                  <c:v>5.2241107997848353</c:v>
                </c:pt>
                <c:pt idx="6">
                  <c:v>5.9485045811559294</c:v>
                </c:pt>
                <c:pt idx="7">
                  <c:v>6.7736897086835919</c:v>
                </c:pt>
                <c:pt idx="8">
                  <c:v>7.7137352768799827</c:v>
                </c:pt>
                <c:pt idx="9">
                  <c:v>8.7846801202073674</c:v>
                </c:pt>
                <c:pt idx="10">
                  <c:v>10.00480935191826</c:v>
                </c:pt>
                <c:pt idx="11">
                  <c:v>11.394969826526763</c:v>
                </c:pt>
                <c:pt idx="12">
                  <c:v>12.978930017375999</c:v>
                </c:pt>
                <c:pt idx="13">
                  <c:v>14.78379057717733</c:v>
                </c:pt>
                <c:pt idx="14">
                  <c:v>16.840452735794738</c:v>
                </c:pt>
                <c:pt idx="15">
                  <c:v>19.184152701539233</c:v>
                </c:pt>
                <c:pt idx="16">
                  <c:v>21.855071387651531</c:v>
                </c:pt>
                <c:pt idx="17">
                  <c:v>24.899030104845522</c:v>
                </c:pt>
                <c:pt idx="18">
                  <c:v>28.368284367017722</c:v>
                </c:pt>
                <c:pt idx="19">
                  <c:v>32.322429677060249</c:v>
                </c:pt>
                <c:pt idx="20">
                  <c:v>36.829435123489624</c:v>
                </c:pt>
                <c:pt idx="21">
                  <c:v>41.966822860976492</c:v>
                </c:pt>
                <c:pt idx="22">
                  <c:v>47.823014108422548</c:v>
                </c:pt>
                <c:pt idx="23">
                  <c:v>54.49886522220018</c:v>
                </c:pt>
                <c:pt idx="24">
                  <c:v>62.1094207412091</c:v>
                </c:pt>
                <c:pt idx="25">
                  <c:v>70.785914113520676</c:v>
                </c:pt>
                <c:pt idx="26">
                  <c:v>62.205043467435083</c:v>
                </c:pt>
                <c:pt idx="27">
                  <c:v>67.418252434882959</c:v>
                </c:pt>
                <c:pt idx="28">
                  <c:v>72.621074462699383</c:v>
                </c:pt>
                <c:pt idx="29">
                  <c:v>77.814360883805975</c:v>
                </c:pt>
                <c:pt idx="30">
                  <c:v>82.998839709283871</c:v>
                </c:pt>
                <c:pt idx="31">
                  <c:v>76.593228716491353</c:v>
                </c:pt>
                <c:pt idx="32">
                  <c:v>82.389336878942132</c:v>
                </c:pt>
                <c:pt idx="33">
                  <c:v>88.17514026397744</c:v>
                </c:pt>
                <c:pt idx="34">
                  <c:v>93.951412158744404</c:v>
                </c:pt>
                <c:pt idx="35">
                  <c:v>99.718822707701648</c:v>
                </c:pt>
                <c:pt idx="36">
                  <c:v>92.12831353805602</c:v>
                </c:pt>
                <c:pt idx="37">
                  <c:v>98.20190799184445</c:v>
                </c:pt>
                <c:pt idx="38">
                  <c:v>104.26616959715183</c:v>
                </c:pt>
                <c:pt idx="39">
                  <c:v>110.32171899791132</c:v>
                </c:pt>
                <c:pt idx="40">
                  <c:v>116.36910295656413</c:v>
                </c:pt>
                <c:pt idx="41">
                  <c:v>108.5059351378378</c:v>
                </c:pt>
                <c:pt idx="42">
                  <c:v>114.25341585529281</c:v>
                </c:pt>
                <c:pt idx="43">
                  <c:v>119.9938179984192</c:v>
                </c:pt>
                <c:pt idx="44">
                  <c:v>125.72752875820527</c:v>
                </c:pt>
                <c:pt idx="45">
                  <c:v>131.45489703809045</c:v>
                </c:pt>
                <c:pt idx="46">
                  <c:v>123.91758428338612</c:v>
                </c:pt>
                <c:pt idx="47">
                  <c:v>129.94829150829943</c:v>
                </c:pt>
                <c:pt idx="48">
                  <c:v>135.97223196214878</c:v>
                </c:pt>
                <c:pt idx="49">
                  <c:v>141.98974836216203</c:v>
                </c:pt>
                <c:pt idx="50">
                  <c:v>148.0011519387929</c:v>
                </c:pt>
                <c:pt idx="51">
                  <c:v>138.981773030516</c:v>
                </c:pt>
                <c:pt idx="52">
                  <c:v>144.99619591483781</c:v>
                </c:pt>
                <c:pt idx="53">
                  <c:v>151.00465108753238</c:v>
                </c:pt>
                <c:pt idx="54">
                  <c:v>157.00740999008178</c:v>
                </c:pt>
                <c:pt idx="55">
                  <c:v>163.00472156908765</c:v>
                </c:pt>
                <c:pt idx="56">
                  <c:v>153.70658212773148</c:v>
                </c:pt>
                <c:pt idx="57">
                  <c:v>159.40697505237429</c:v>
                </c:pt>
                <c:pt idx="58">
                  <c:v>165.10253663806381</c:v>
                </c:pt>
                <c:pt idx="59">
                  <c:v>170.79345741197324</c:v>
                </c:pt>
                <c:pt idx="60">
                  <c:v>176.47991414099315</c:v>
                </c:pt>
                <c:pt idx="61">
                  <c:v>166.60058986040733</c:v>
                </c:pt>
                <c:pt idx="62">
                  <c:v>171.69161142115618</c:v>
                </c:pt>
                <c:pt idx="63">
                  <c:v>176.77908084772355</c:v>
                </c:pt>
                <c:pt idx="64">
                  <c:v>181.86311501405271</c:v>
                </c:pt>
                <c:pt idx="65">
                  <c:v>186.94382371193376</c:v>
                </c:pt>
                <c:pt idx="66">
                  <c:v>177.37737863013214</c:v>
                </c:pt>
                <c:pt idx="67">
                  <c:v>182.75994928458809</c:v>
                </c:pt>
                <c:pt idx="68">
                  <c:v>188.13881261063989</c:v>
                </c:pt>
                <c:pt idx="69">
                  <c:v>193.51408977138519</c:v>
                </c:pt>
                <c:pt idx="70">
                  <c:v>198.88589463565646</c:v>
                </c:pt>
                <c:pt idx="71">
                  <c:v>189.63229988510196</c:v>
                </c:pt>
                <c:pt idx="72">
                  <c:v>195.30507177803074</c:v>
                </c:pt>
                <c:pt idx="73">
                  <c:v>200.97401538642035</c:v>
                </c:pt>
                <c:pt idx="74">
                  <c:v>206.63925413557965</c:v>
                </c:pt>
                <c:pt idx="75">
                  <c:v>212.30090411798696</c:v>
                </c:pt>
                <c:pt idx="76">
                  <c:v>202.46522202184815</c:v>
                </c:pt>
                <c:pt idx="77">
                  <c:v>207.53343457497158</c:v>
                </c:pt>
                <c:pt idx="78">
                  <c:v>212.59878838589444</c:v>
                </c:pt>
                <c:pt idx="79">
                  <c:v>217.6613613128637</c:v>
                </c:pt>
                <c:pt idx="80">
                  <c:v>222.7212272896368</c:v>
                </c:pt>
                <c:pt idx="81">
                  <c:v>213.79022939829215</c:v>
                </c:pt>
                <c:pt idx="82">
                  <c:v>218.25677877090325</c:v>
                </c:pt>
                <c:pt idx="83">
                  <c:v>222.72122728963677</c:v>
                </c:pt>
                <c:pt idx="84">
                  <c:v>227.18362309675649</c:v>
                </c:pt>
                <c:pt idx="85">
                  <c:v>231.64401228507097</c:v>
                </c:pt>
                <c:pt idx="86">
                  <c:v>223.01878368505007</c:v>
                </c:pt>
                <c:pt idx="87">
                  <c:v>227.77845661001425</c:v>
                </c:pt>
                <c:pt idx="88">
                  <c:v>232.53585324789174</c:v>
                </c:pt>
                <c:pt idx="89">
                  <c:v>237.29102683115707</c:v>
                </c:pt>
                <c:pt idx="90">
                  <c:v>242.04402828059514</c:v>
                </c:pt>
                <c:pt idx="91">
                  <c:v>232.83311618574081</c:v>
                </c:pt>
                <c:pt idx="92">
                  <c:v>236.9938926361111</c:v>
                </c:pt>
                <c:pt idx="93">
                  <c:v>241.15300369210016</c:v>
                </c:pt>
                <c:pt idx="94">
                  <c:v>245.31048218883168</c:v>
                </c:pt>
                <c:pt idx="95">
                  <c:v>249.46635975540599</c:v>
                </c:pt>
                <c:pt idx="96">
                  <c:v>240.55894567488869</c:v>
                </c:pt>
                <c:pt idx="97">
                  <c:v>245.01357289908535</c:v>
                </c:pt>
                <c:pt idx="98">
                  <c:v>249.46635975540599</c:v>
                </c:pt>
                <c:pt idx="99">
                  <c:v>253.91734379199207</c:v>
                </c:pt>
                <c:pt idx="100">
                  <c:v>258.36656113069779</c:v>
                </c:pt>
                <c:pt idx="101">
                  <c:v>249.46635975540599</c:v>
                </c:pt>
                <c:pt idx="102">
                  <c:v>253.91734379199201</c:v>
                </c:pt>
                <c:pt idx="103">
                  <c:v>258.36656113069773</c:v>
                </c:pt>
                <c:pt idx="104">
                  <c:v>262.81404654546509</c:v>
                </c:pt>
                <c:pt idx="105">
                  <c:v>267.25983353510821</c:v>
                </c:pt>
                <c:pt idx="106">
                  <c:v>256.88368281077402</c:v>
                </c:pt>
                <c:pt idx="107">
                  <c:v>261.33174174990069</c:v>
                </c:pt>
                <c:pt idx="108">
                  <c:v>265.77809123503482</c:v>
                </c:pt>
                <c:pt idx="109">
                  <c:v>270.22276395280261</c:v>
                </c:pt>
                <c:pt idx="110">
                  <c:v>274.66579142488757</c:v>
                </c:pt>
                <c:pt idx="111">
                  <c:v>264.29616263705952</c:v>
                </c:pt>
                <c:pt idx="112">
                  <c:v>268.74139071862339</c:v>
                </c:pt>
                <c:pt idx="113">
                  <c:v>273.18496317291664</c:v>
                </c:pt>
                <c:pt idx="114">
                  <c:v>277.62691077865344</c:v>
                </c:pt>
                <c:pt idx="115">
                  <c:v>282.06726324755317</c:v>
                </c:pt>
                <c:pt idx="116">
                  <c:v>271.70395439099497</c:v>
                </c:pt>
                <c:pt idx="117">
                  <c:v>276.14644026006192</c:v>
                </c:pt>
                <c:pt idx="118">
                  <c:v>280.58732120355739</c:v>
                </c:pt>
                <c:pt idx="119">
                  <c:v>285.02662625186548</c:v>
                </c:pt>
                <c:pt idx="120">
                  <c:v>289.46438345573239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2.8046705301677695</c:v>
                </c:pt>
                <c:pt idx="2">
                  <c:v>3.1927833913387604</c:v>
                </c:pt>
                <c:pt idx="3">
                  <c:v>3.6347940169818869</c:v>
                </c:pt>
                <c:pt idx="4">
                  <c:v>4.138212245997984</c:v>
                </c:pt>
                <c:pt idx="5">
                  <c:v>4.7115975670429551</c:v>
                </c:pt>
                <c:pt idx="6">
                  <c:v>5.3647062538758172</c:v>
                </c:pt>
                <c:pt idx="7">
                  <c:v>6.1086591808372646</c:v>
                </c:pt>
                <c:pt idx="8">
                  <c:v>6.9561332322567706</c:v>
                </c:pt>
                <c:pt idx="9">
                  <c:v>7.9215796310621043</c:v>
                </c:pt>
                <c:pt idx="10">
                  <c:v>9.0214729815678627</c:v>
                </c:pt>
                <c:pt idx="11">
                  <c:v>10.27459535760328</c:v>
                </c:pt>
                <c:pt idx="12">
                  <c:v>11.702360379232074</c:v>
                </c:pt>
                <c:pt idx="13">
                  <c:v>13.329182920083669</c:v>
                </c:pt>
                <c:pt idx="14">
                  <c:v>15.182900885051957</c:v>
                </c:pt>
                <c:pt idx="15">
                  <c:v>17.295256408866681</c:v>
                </c:pt>
                <c:pt idx="16">
                  <c:v>19.702444865842441</c:v>
                </c:pt>
                <c:pt idx="17">
                  <c:v>22.4457412682785</c:v>
                </c:pt>
                <c:pt idx="18">
                  <c:v>25.572214986441086</c:v>
                </c:pt>
                <c:pt idx="19">
                  <c:v>29.135545270706046</c:v>
                </c:pt>
                <c:pt idx="20">
                  <c:v>33.196951823568313</c:v>
                </c:pt>
                <c:pt idx="21">
                  <c:v>37.826256687013839</c:v>
                </c:pt>
                <c:pt idx="22">
                  <c:v>43.103096014812643</c:v>
                </c:pt>
                <c:pt idx="23">
                  <c:v>49.118302930308708</c:v>
                </c:pt>
                <c:pt idx="24">
                  <c:v>55.975485674724347</c:v>
                </c:pt>
                <c:pt idx="25">
                  <c:v>63.792828681944599</c:v>
                </c:pt>
                <c:pt idx="26">
                  <c:v>56.061641236741394</c:v>
                </c:pt>
                <c:pt idx="27">
                  <c:v>60.758664951449532</c:v>
                </c:pt>
                <c:pt idx="28">
                  <c:v>65.446238534745476</c:v>
                </c:pt>
                <c:pt idx="29">
                  <c:v>70.12513653700411</c:v>
                </c:pt>
                <c:pt idx="30">
                  <c:v>74.796021309276838</c:v>
                </c:pt>
                <c:pt idx="31">
                  <c:v>69.024963200598023</c:v>
                </c:pt>
                <c:pt idx="32">
                  <c:v>74.246901998535463</c:v>
                </c:pt>
                <c:pt idx="33">
                  <c:v>79.459465416986305</c:v>
                </c:pt>
                <c:pt idx="34">
                  <c:v>84.663356999575399</c:v>
                </c:pt>
                <c:pt idx="35">
                  <c:v>89.859186449778818</c:v>
                </c:pt>
                <c:pt idx="36">
                  <c:v>83.020921016204383</c:v>
                </c:pt>
                <c:pt idx="37">
                  <c:v>88.492613413798736</c:v>
                </c:pt>
                <c:pt idx="38">
                  <c:v>93.95581470162206</c:v>
                </c:pt>
                <c:pt idx="39">
                  <c:v>99.411089547125641</c:v>
                </c:pt>
                <c:pt idx="40">
                  <c:v>104.85893539971271</c:v>
                </c:pt>
                <c:pt idx="41">
                  <c:v>97.775308598973098</c:v>
                </c:pt>
                <c:pt idx="42">
                  <c:v>102.95300570862183</c:v>
                </c:pt>
                <c:pt idx="43">
                  <c:v>108.12426266746674</c:v>
                </c:pt>
                <c:pt idx="44">
                  <c:v>113.28943174536323</c:v>
                </c:pt>
                <c:pt idx="45">
                  <c:v>118.4488303778091</c:v>
                </c:pt>
                <c:pt idx="46">
                  <c:v>111.65896352261181</c:v>
                </c:pt>
                <c:pt idx="47">
                  <c:v>117.09163673234582</c:v>
                </c:pt>
                <c:pt idx="48">
                  <c:v>122.51815347270004</c:v>
                </c:pt>
                <c:pt idx="49">
                  <c:v>127.93882555090117</c:v>
                </c:pt>
                <c:pt idx="50">
                  <c:v>133.35393612722473</c:v>
                </c:pt>
                <c:pt idx="51">
                  <c:v>125.22920177249996</c:v>
                </c:pt>
                <c:pt idx="52">
                  <c:v>130.64705934220805</c:v>
                </c:pt>
                <c:pt idx="53">
                  <c:v>136.05948743402288</c:v>
                </c:pt>
                <c:pt idx="54">
                  <c:v>141.46673300785451</c:v>
                </c:pt>
                <c:pt idx="55">
                  <c:v>146.86902255756758</c:v>
                </c:pt>
                <c:pt idx="56">
                  <c:v>138.4933752865501</c:v>
                </c:pt>
                <c:pt idx="57">
                  <c:v>143.62823149736116</c:v>
                </c:pt>
                <c:pt idx="58">
                  <c:v>148.75869211239265</c:v>
                </c:pt>
                <c:pt idx="59">
                  <c:v>153.88493047498628</c:v>
                </c:pt>
                <c:pt idx="60">
                  <c:v>159.00710740925433</c:v>
                </c:pt>
                <c:pt idx="61">
                  <c:v>150.10810479136106</c:v>
                </c:pt>
                <c:pt idx="62">
                  <c:v>154.69396130079127</c:v>
                </c:pt>
                <c:pt idx="63">
                  <c:v>159.27658604648744</c:v>
                </c:pt>
                <c:pt idx="64">
                  <c:v>163.85608536141791</c:v>
                </c:pt>
                <c:pt idx="65">
                  <c:v>168.43255913514398</c:v>
                </c:pt>
                <c:pt idx="66">
                  <c:v>159.81551090350086</c:v>
                </c:pt>
                <c:pt idx="67">
                  <c:v>164.66391547709154</c:v>
                </c:pt>
                <c:pt idx="68">
                  <c:v>169.50894708984382</c:v>
                </c:pt>
                <c:pt idx="69">
                  <c:v>174.35071597703742</c:v>
                </c:pt>
                <c:pt idx="70">
                  <c:v>179.18932573756373</c:v>
                </c:pt>
                <c:pt idx="71">
                  <c:v>170.85420562822495</c:v>
                </c:pt>
                <c:pt idx="72">
                  <c:v>175.96393197512032</c:v>
                </c:pt>
                <c:pt idx="73">
                  <c:v>181.07017531419433</c:v>
                </c:pt>
                <c:pt idx="74">
                  <c:v>186.17304793890639</c:v>
                </c:pt>
                <c:pt idx="75">
                  <c:v>191.27265547124125</c:v>
                </c:pt>
                <c:pt idx="76">
                  <c:v>182.41335890660068</c:v>
                </c:pt>
                <c:pt idx="77">
                  <c:v>186.97846357505659</c:v>
                </c:pt>
                <c:pt idx="78">
                  <c:v>191.54096733406013</c:v>
                </c:pt>
                <c:pt idx="79">
                  <c:v>196.1009410197469</c:v>
                </c:pt>
                <c:pt idx="80">
                  <c:v>200.65845189771687</c:v>
                </c:pt>
                <c:pt idx="81">
                  <c:v>192.61412738977916</c:v>
                </c:pt>
                <c:pt idx="82">
                  <c:v>196.63724533165635</c:v>
                </c:pt>
                <c:pt idx="83">
                  <c:v>200.65845189771684</c:v>
                </c:pt>
                <c:pt idx="84">
                  <c:v>204.6777908882267</c:v>
                </c:pt>
                <c:pt idx="85">
                  <c:v>208.6953042388391</c:v>
                </c:pt>
                <c:pt idx="86">
                  <c:v>200.9264654591816</c:v>
                </c:pt>
                <c:pt idx="87">
                  <c:v>205.2135639219039</c:v>
                </c:pt>
                <c:pt idx="88">
                  <c:v>209.49859139809257</c:v>
                </c:pt>
                <c:pt idx="89">
                  <c:v>213.78159631913351</c:v>
                </c:pt>
                <c:pt idx="90">
                  <c:v>218.06262501321623</c:v>
                </c:pt>
                <c:pt idx="91">
                  <c:v>209.76633796921715</c:v>
                </c:pt>
                <c:pt idx="92">
                  <c:v>213.51396687937299</c:v>
                </c:pt>
                <c:pt idx="93">
                  <c:v>217.26008059869164</c:v>
                </c:pt>
                <c:pt idx="94">
                  <c:v>221.00470900086501</c:v>
                </c:pt>
                <c:pt idx="95">
                  <c:v>224.747880862334</c:v>
                </c:pt>
                <c:pt idx="96">
                  <c:v>216.72501311831573</c:v>
                </c:pt>
                <c:pt idx="97">
                  <c:v>220.73728418197564</c:v>
                </c:pt>
                <c:pt idx="98">
                  <c:v>224.74788086233397</c:v>
                </c:pt>
                <c:pt idx="99">
                  <c:v>228.75683732102837</c:v>
                </c:pt>
                <c:pt idx="100">
                  <c:v>232.76418642204786</c:v>
                </c:pt>
                <c:pt idx="101">
                  <c:v>224.74788086233397</c:v>
                </c:pt>
                <c:pt idx="102">
                  <c:v>228.75683732102837</c:v>
                </c:pt>
                <c:pt idx="103">
                  <c:v>232.76418642204783</c:v>
                </c:pt>
                <c:pt idx="104">
                  <c:v>236.76995980303874</c:v>
                </c:pt>
                <c:pt idx="105">
                  <c:v>240.7741879415245</c:v>
                </c:pt>
                <c:pt idx="106">
                  <c:v>231.4285800062448</c:v>
                </c:pt>
                <c:pt idx="107">
                  <c:v>235.4348751848735</c:v>
                </c:pt>
                <c:pt idx="108">
                  <c:v>239.4396150868331</c:v>
                </c:pt>
                <c:pt idx="109">
                  <c:v>243.44282945071109</c:v>
                </c:pt>
                <c:pt idx="110">
                  <c:v>247.44454695521941</c:v>
                </c:pt>
                <c:pt idx="111">
                  <c:v>238.10487273662932</c:v>
                </c:pt>
                <c:pt idx="112">
                  <c:v>242.10859237550062</c:v>
                </c:pt>
                <c:pt idx="113">
                  <c:v>246.11080570974036</c:v>
                </c:pt>
                <c:pt idx="114">
                  <c:v>250.11154074210015</c:v>
                </c:pt>
                <c:pt idx="115">
                  <c:v>254.11082450457027</c:v>
                </c:pt>
                <c:pt idx="116">
                  <c:v>244.77690021648286</c:v>
                </c:pt>
                <c:pt idx="117">
                  <c:v>248.77812496567788</c:v>
                </c:pt>
                <c:pt idx="118">
                  <c:v>252.77788953910442</c:v>
                </c:pt>
                <c:pt idx="119">
                  <c:v>256.77622034886826</c:v>
                </c:pt>
                <c:pt idx="120">
                  <c:v>260.77314291579108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topLeftCell="A12" zoomScale="80" zoomScaleNormal="80" workbookViewId="0">
      <selection activeCell="B18" sqref="B18:M31"/>
    </sheetView>
  </sheetViews>
  <sheetFormatPr baseColWidth="10" defaultRowHeight="14.25"/>
  <cols>
    <col min="1" max="1" width="6.59765625" customWidth="1"/>
    <col min="2" max="13" width="15.9296875" customWidth="1"/>
  </cols>
  <sheetData>
    <row r="12" spans="2:13" ht="15" customHeight="1">
      <c r="B12" s="262" t="s">
        <v>291</v>
      </c>
      <c r="C12" s="262"/>
      <c r="D12" s="262"/>
      <c r="E12" s="262"/>
      <c r="F12" s="262"/>
      <c r="G12" s="262"/>
      <c r="H12" s="262"/>
      <c r="I12" s="262"/>
      <c r="J12" s="262"/>
      <c r="K12" s="262"/>
      <c r="L12" s="262"/>
      <c r="M12" s="262"/>
    </row>
    <row r="13" spans="2:13" ht="15" customHeight="1">
      <c r="B13" s="262"/>
      <c r="C13" s="262"/>
      <c r="D13" s="262"/>
      <c r="E13" s="262"/>
      <c r="F13" s="262"/>
      <c r="G13" s="262"/>
      <c r="H13" s="262"/>
      <c r="I13" s="262"/>
      <c r="J13" s="262"/>
      <c r="K13" s="262"/>
      <c r="L13" s="262"/>
      <c r="M13" s="262"/>
    </row>
    <row r="14" spans="2:13" ht="15" customHeight="1">
      <c r="B14" s="262"/>
      <c r="C14" s="262"/>
      <c r="D14" s="262"/>
      <c r="E14" s="262"/>
      <c r="F14" s="262"/>
      <c r="G14" s="262"/>
      <c r="H14" s="262"/>
      <c r="I14" s="262"/>
      <c r="J14" s="262"/>
      <c r="K14" s="262"/>
      <c r="L14" s="262"/>
      <c r="M14" s="262"/>
    </row>
    <row r="15" spans="2:13" ht="18.75" customHeight="1">
      <c r="B15" s="262"/>
      <c r="C15" s="262"/>
      <c r="D15" s="262"/>
      <c r="E15" s="262"/>
      <c r="F15" s="262"/>
      <c r="G15" s="262"/>
      <c r="H15" s="262"/>
      <c r="I15" s="262"/>
      <c r="J15" s="262"/>
      <c r="K15" s="262"/>
      <c r="L15" s="262"/>
      <c r="M15" s="262"/>
    </row>
    <row r="16" spans="2:13" ht="18.75" customHeight="1">
      <c r="B16" s="262"/>
      <c r="C16" s="262"/>
      <c r="D16" s="262"/>
      <c r="E16" s="262"/>
      <c r="F16" s="262"/>
      <c r="G16" s="262"/>
      <c r="H16" s="262"/>
      <c r="I16" s="262"/>
      <c r="J16" s="262"/>
      <c r="K16" s="262"/>
      <c r="L16" s="262"/>
      <c r="M16" s="262"/>
    </row>
    <row r="18" spans="2:13" ht="12" customHeight="1">
      <c r="B18" s="262" t="s">
        <v>292</v>
      </c>
      <c r="C18" s="262"/>
      <c r="D18" s="262"/>
      <c r="E18" s="262"/>
      <c r="F18" s="262"/>
      <c r="G18" s="262"/>
      <c r="H18" s="262"/>
      <c r="I18" s="262"/>
      <c r="J18" s="262"/>
      <c r="K18" s="262"/>
      <c r="L18" s="262"/>
      <c r="M18" s="262"/>
    </row>
    <row r="19" spans="2:13" ht="12" customHeight="1">
      <c r="B19" s="262"/>
      <c r="C19" s="262"/>
      <c r="D19" s="262"/>
      <c r="E19" s="262"/>
      <c r="F19" s="262"/>
      <c r="G19" s="262"/>
      <c r="H19" s="262"/>
      <c r="I19" s="262"/>
      <c r="J19" s="262"/>
      <c r="K19" s="262"/>
      <c r="L19" s="262"/>
      <c r="M19" s="262"/>
    </row>
    <row r="20" spans="2:13" ht="12" customHeight="1">
      <c r="B20" s="262"/>
      <c r="C20" s="262"/>
      <c r="D20" s="262"/>
      <c r="E20" s="262"/>
      <c r="F20" s="262"/>
      <c r="G20" s="262"/>
      <c r="H20" s="262"/>
      <c r="I20" s="262"/>
      <c r="J20" s="262"/>
      <c r="K20" s="262"/>
      <c r="L20" s="262"/>
      <c r="M20" s="262"/>
    </row>
    <row r="21" spans="2:13" ht="12" customHeight="1">
      <c r="B21" s="262"/>
      <c r="C21" s="262"/>
      <c r="D21" s="262"/>
      <c r="E21" s="262"/>
      <c r="F21" s="262"/>
      <c r="G21" s="262"/>
      <c r="H21" s="262"/>
      <c r="I21" s="262"/>
      <c r="J21" s="262"/>
      <c r="K21" s="262"/>
      <c r="L21" s="262"/>
      <c r="M21" s="262"/>
    </row>
    <row r="22" spans="2:13" ht="12" customHeight="1">
      <c r="B22" s="262"/>
      <c r="C22" s="262"/>
      <c r="D22" s="262"/>
      <c r="E22" s="262"/>
      <c r="F22" s="262"/>
      <c r="G22" s="262"/>
      <c r="H22" s="262"/>
      <c r="I22" s="262"/>
      <c r="J22" s="262"/>
      <c r="K22" s="262"/>
      <c r="L22" s="262"/>
      <c r="M22" s="262"/>
    </row>
    <row r="23" spans="2:13" ht="12" customHeight="1">
      <c r="B23" s="262"/>
      <c r="C23" s="262"/>
      <c r="D23" s="262"/>
      <c r="E23" s="262"/>
      <c r="F23" s="262"/>
      <c r="G23" s="262"/>
      <c r="H23" s="262"/>
      <c r="I23" s="262"/>
      <c r="J23" s="262"/>
      <c r="K23" s="262"/>
      <c r="L23" s="262"/>
      <c r="M23" s="262"/>
    </row>
    <row r="24" spans="2:13" ht="12" customHeight="1">
      <c r="B24" s="262"/>
      <c r="C24" s="262"/>
      <c r="D24" s="262"/>
      <c r="E24" s="262"/>
      <c r="F24" s="262"/>
      <c r="G24" s="262"/>
      <c r="H24" s="262"/>
      <c r="I24" s="262"/>
      <c r="J24" s="262"/>
      <c r="K24" s="262"/>
      <c r="L24" s="262"/>
      <c r="M24" s="262"/>
    </row>
    <row r="25" spans="2:13" ht="12" customHeight="1">
      <c r="B25" s="262"/>
      <c r="C25" s="262"/>
      <c r="D25" s="262"/>
      <c r="E25" s="262"/>
      <c r="F25" s="262"/>
      <c r="G25" s="262"/>
      <c r="H25" s="262"/>
      <c r="I25" s="262"/>
      <c r="J25" s="262"/>
      <c r="K25" s="262"/>
      <c r="L25" s="262"/>
      <c r="M25" s="262"/>
    </row>
    <row r="26" spans="2:13" ht="12" customHeight="1">
      <c r="B26" s="262"/>
      <c r="C26" s="262"/>
      <c r="D26" s="262"/>
      <c r="E26" s="262"/>
      <c r="F26" s="262"/>
      <c r="G26" s="262"/>
      <c r="H26" s="262"/>
      <c r="I26" s="262"/>
      <c r="J26" s="262"/>
      <c r="K26" s="262"/>
      <c r="L26" s="262"/>
      <c r="M26" s="262"/>
    </row>
    <row r="27" spans="2:13" ht="12" customHeight="1">
      <c r="B27" s="262"/>
      <c r="C27" s="262"/>
      <c r="D27" s="262"/>
      <c r="E27" s="262"/>
      <c r="F27" s="262"/>
      <c r="G27" s="262"/>
      <c r="H27" s="262"/>
      <c r="I27" s="262"/>
      <c r="J27" s="262"/>
      <c r="K27" s="262"/>
      <c r="L27" s="262"/>
      <c r="M27" s="262"/>
    </row>
    <row r="28" spans="2:13" ht="12" customHeight="1">
      <c r="B28" s="262"/>
      <c r="C28" s="262"/>
      <c r="D28" s="262"/>
      <c r="E28" s="262"/>
      <c r="F28" s="262"/>
      <c r="G28" s="262"/>
      <c r="H28" s="262"/>
      <c r="I28" s="262"/>
      <c r="J28" s="262"/>
      <c r="K28" s="262"/>
      <c r="L28" s="262"/>
      <c r="M28" s="262"/>
    </row>
    <row r="29" spans="2:13" ht="12" customHeight="1">
      <c r="B29" s="262"/>
      <c r="C29" s="262"/>
      <c r="D29" s="262"/>
      <c r="E29" s="262"/>
      <c r="F29" s="262"/>
      <c r="G29" s="262"/>
      <c r="H29" s="262"/>
      <c r="I29" s="262"/>
      <c r="J29" s="262"/>
      <c r="K29" s="262"/>
      <c r="L29" s="262"/>
      <c r="M29" s="262"/>
    </row>
    <row r="30" spans="2:13" ht="12" customHeight="1">
      <c r="B30" s="262"/>
      <c r="C30" s="262"/>
      <c r="D30" s="262"/>
      <c r="E30" s="262"/>
      <c r="F30" s="262"/>
      <c r="G30" s="262"/>
      <c r="H30" s="262"/>
      <c r="I30" s="262"/>
      <c r="J30" s="262"/>
      <c r="K30" s="262"/>
      <c r="L30" s="262"/>
      <c r="M30" s="262"/>
    </row>
    <row r="31" spans="2:13" ht="12" customHeight="1">
      <c r="B31" s="262"/>
      <c r="C31" s="262"/>
      <c r="D31" s="262"/>
      <c r="E31" s="262"/>
      <c r="F31" s="262"/>
      <c r="G31" s="262"/>
      <c r="H31" s="262"/>
      <c r="I31" s="262"/>
      <c r="J31" s="262"/>
      <c r="K31" s="262"/>
      <c r="L31" s="262"/>
      <c r="M31" s="26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80" zoomScaleNormal="80" workbookViewId="0">
      <selection activeCell="G22" sqref="G22"/>
    </sheetView>
  </sheetViews>
  <sheetFormatPr baseColWidth="10" defaultColWidth="11.46484375" defaultRowHeight="14.25"/>
  <cols>
    <col min="1" max="1" width="13.59765625" style="23" customWidth="1"/>
    <col min="2" max="2" width="36.06640625" style="23" customWidth="1"/>
    <col min="3" max="3" width="14.9296875" style="23" bestFit="1" customWidth="1"/>
    <col min="4" max="4" width="16.46484375" style="23" customWidth="1"/>
    <col min="5" max="5" width="23.33203125" style="23" customWidth="1"/>
    <col min="6" max="6" width="28.9296875" style="23" bestFit="1" customWidth="1"/>
    <col min="7" max="8" width="14.59765625" style="23" customWidth="1"/>
    <col min="9" max="9" width="17" style="23" customWidth="1"/>
    <col min="10" max="10" width="13.9296875" style="23" customWidth="1"/>
    <col min="11" max="16384" width="11.46484375" style="23"/>
  </cols>
  <sheetData>
    <row r="1" spans="1:38">
      <c r="A1" s="4"/>
      <c r="B1" s="4"/>
      <c r="C1" s="267" t="s">
        <v>190</v>
      </c>
      <c r="D1" s="267"/>
      <c r="E1" s="267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4.65" thickBot="1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5.9" thickBot="1">
      <c r="A3" s="4"/>
      <c r="B3" s="268" t="s">
        <v>192</v>
      </c>
      <c r="C3" s="269"/>
      <c r="D3" s="269"/>
      <c r="E3" s="269"/>
      <c r="F3" s="270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5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5">
      <c r="A5" s="273" t="s">
        <v>231</v>
      </c>
      <c r="B5" s="273"/>
      <c r="C5" s="24">
        <v>14.7</v>
      </c>
      <c r="D5" s="274" t="s">
        <v>229</v>
      </c>
      <c r="E5" s="275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5">
      <c r="A7" s="272" t="s">
        <v>226</v>
      </c>
      <c r="B7" s="272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>
      <c r="A9" s="30" t="s">
        <v>165</v>
      </c>
      <c r="B9" s="31" t="s">
        <v>35</v>
      </c>
      <c r="C9" s="32">
        <v>0.44</v>
      </c>
      <c r="D9" s="33">
        <f t="shared" ref="D9:D18" si="0">C9*$C$5</f>
        <v>6.468</v>
      </c>
      <c r="E9" s="34">
        <v>80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>
      <c r="A10" s="30" t="s">
        <v>166</v>
      </c>
      <c r="B10" s="31" t="s">
        <v>164</v>
      </c>
      <c r="C10" s="32">
        <v>0.36</v>
      </c>
      <c r="D10" s="33">
        <f t="shared" si="0"/>
        <v>5.2919999999999998</v>
      </c>
      <c r="E10" s="34">
        <v>105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>
      <c r="A11" s="30" t="s">
        <v>167</v>
      </c>
      <c r="B11" s="31" t="s">
        <v>13</v>
      </c>
      <c r="C11" s="32">
        <v>3.7418147801683815E-2</v>
      </c>
      <c r="D11" s="33">
        <f t="shared" si="0"/>
        <v>0.55004677268475211</v>
      </c>
      <c r="E11" s="34">
        <v>100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>
      <c r="A12" s="30" t="s">
        <v>168</v>
      </c>
      <c r="B12" s="31" t="s">
        <v>6</v>
      </c>
      <c r="C12" s="32">
        <v>3.7418147801683815E-2</v>
      </c>
      <c r="D12" s="33">
        <f t="shared" si="0"/>
        <v>0.55004677268475211</v>
      </c>
      <c r="E12" s="34">
        <v>120</v>
      </c>
      <c r="F12" s="35" t="str">
        <f t="array" ref="F12">IF(E12="","",IF(INDEX(A:A,MAX(IF(ISNUMBER($A$114:$A$133),ROW($A$114:$A$133),"")))&lt;&gt;E12,"Corrigez : révolution incorrecte","OK"))</f>
        <v>OK</v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>
      <c r="A13" s="30" t="s">
        <v>169</v>
      </c>
      <c r="B13" s="31" t="s">
        <v>21</v>
      </c>
      <c r="C13" s="32">
        <v>0.03</v>
      </c>
      <c r="D13" s="33">
        <f t="shared" si="0"/>
        <v>0.44099999999999995</v>
      </c>
      <c r="E13" s="34">
        <v>80</v>
      </c>
      <c r="F13" s="35" t="str">
        <f t="array" ref="F13">IF(E13="","",IF(INDEX(A:A,MAX(IF(ISNUMBER($A$140:$A$159),ROW($A$140:$A$159),"")))&lt;&gt;E13,"Corrigez : révolution incorrecte","OK"))</f>
        <v>OK</v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>
      <c r="A14" s="30" t="s">
        <v>170</v>
      </c>
      <c r="B14" s="31" t="s">
        <v>50</v>
      </c>
      <c r="C14" s="32">
        <v>0.03</v>
      </c>
      <c r="D14" s="33">
        <f t="shared" si="0"/>
        <v>0.44099999999999995</v>
      </c>
      <c r="E14" s="34">
        <v>115</v>
      </c>
      <c r="F14" s="35" t="str">
        <f t="array" ref="F14">IF(E14="","",IF(INDEX(A:A,MAX(IF(ISNUMBER($A$166:$A$185),ROW($A$166:$A$185),"")))&lt;&gt;E14,"Corrigez : révolution incorrecte","OK"))</f>
        <v>OK</v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>
      <c r="A15" s="30" t="s">
        <v>171</v>
      </c>
      <c r="B15" s="31" t="s">
        <v>52</v>
      </c>
      <c r="C15" s="32">
        <v>3.2740879326473342E-2</v>
      </c>
      <c r="D15" s="33">
        <f t="shared" si="0"/>
        <v>0.48129092609915808</v>
      </c>
      <c r="E15" s="34">
        <v>120</v>
      </c>
      <c r="F15" s="35" t="str">
        <f t="array" ref="F15">IF(E15="","",IF(INDEX(A:A,MAX(IF(ISNUMBER($A$192:$A$211),ROW($A$192:$A$211),"")))&lt;&gt;E15,"Corrigez : révolution incorrecte","OK"))</f>
        <v>OK</v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>
      <c r="A16" s="30" t="s">
        <v>172</v>
      </c>
      <c r="B16" s="31" t="s">
        <v>1</v>
      </c>
      <c r="C16" s="32">
        <v>0.03</v>
      </c>
      <c r="D16" s="33">
        <f t="shared" si="0"/>
        <v>0.44099999999999995</v>
      </c>
      <c r="E16" s="34">
        <v>120</v>
      </c>
      <c r="F16" s="35" t="str">
        <f t="array" ref="F16">IF(E16="","",IF(INDEX(A:A,MAX(IF(ISNUMBER($A$218:$A$237),ROW($A$218:$A$237),"")))&lt;&gt;E16,"Corrigez : révolution incorrecte","OK"))</f>
        <v>OK</v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>
      <c r="A19" s="78"/>
      <c r="B19" s="36" t="s">
        <v>175</v>
      </c>
      <c r="C19" s="37">
        <f>SUM(C9:C18)</f>
        <v>0.9975771749298411</v>
      </c>
      <c r="D19" s="38">
        <f>SUM(D9:D18)</f>
        <v>14.664384471468663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>
      <c r="A22" s="271" t="s">
        <v>232</v>
      </c>
      <c r="B22" s="271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>
      <c r="A26" s="41" t="s">
        <v>222</v>
      </c>
      <c r="B26" s="42" t="s">
        <v>221</v>
      </c>
      <c r="C26" s="43">
        <v>0.15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>
      <c r="A30" s="272" t="s">
        <v>227</v>
      </c>
      <c r="B30" s="272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>
      <c r="A32" s="46" t="s">
        <v>165</v>
      </c>
      <c r="B32" s="47" t="str">
        <f>IF(B9="","",B9)</f>
        <v>Pin laricio</v>
      </c>
      <c r="C32" s="23" t="s">
        <v>324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>
      <c r="A34" s="4"/>
      <c r="B34" s="85" t="s">
        <v>185</v>
      </c>
      <c r="C34" s="263" t="s">
        <v>186</v>
      </c>
      <c r="D34" s="263"/>
      <c r="E34" s="264" t="s">
        <v>187</v>
      </c>
      <c r="F34" s="265"/>
      <c r="G34" s="265"/>
      <c r="H34" s="266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28.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>
      <c r="A36" s="50">
        <v>22</v>
      </c>
      <c r="B36" s="60">
        <v>129.56</v>
      </c>
      <c r="C36" s="60">
        <v>1</v>
      </c>
      <c r="D36" s="60">
        <v>52.620000000000005</v>
      </c>
      <c r="E36" s="51">
        <v>0.25</v>
      </c>
      <c r="F36" s="51">
        <v>0.37</v>
      </c>
      <c r="G36" s="51">
        <v>0.38</v>
      </c>
      <c r="H36" s="51">
        <v>0</v>
      </c>
      <c r="I36" s="49">
        <f>IFERROR(B36/A36,"")</f>
        <v>5.8890909090909096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>
      <c r="A37" s="50">
        <v>27</v>
      </c>
      <c r="B37" s="60">
        <v>155.85</v>
      </c>
      <c r="C37" s="60">
        <v>2</v>
      </c>
      <c r="D37" s="60">
        <v>37.929999999999993</v>
      </c>
      <c r="E37" s="51">
        <v>0.25</v>
      </c>
      <c r="F37" s="51">
        <v>0.37</v>
      </c>
      <c r="G37" s="51">
        <v>0.38</v>
      </c>
      <c r="H37" s="51">
        <v>0</v>
      </c>
      <c r="I37" s="53">
        <f t="shared" ref="I37:I55" si="1">IF(A37&lt;&gt;0,(B37-(B36-D36))/(A37-A36),"")</f>
        <v>15.782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>
      <c r="A38" s="50">
        <v>33</v>
      </c>
      <c r="B38" s="60">
        <v>217.65</v>
      </c>
      <c r="C38" s="60">
        <v>3</v>
      </c>
      <c r="D38" s="60">
        <v>50.460000000000008</v>
      </c>
      <c r="E38" s="51">
        <v>0.25</v>
      </c>
      <c r="F38" s="51">
        <v>0.37</v>
      </c>
      <c r="G38" s="51">
        <v>0.38</v>
      </c>
      <c r="H38" s="51">
        <v>0</v>
      </c>
      <c r="I38" s="53">
        <f t="shared" si="1"/>
        <v>16.621666666666666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>
      <c r="A39" s="50">
        <v>41</v>
      </c>
      <c r="B39" s="60">
        <v>300.74</v>
      </c>
      <c r="C39" s="60">
        <v>4</v>
      </c>
      <c r="D39" s="60">
        <v>72.16</v>
      </c>
      <c r="E39" s="51">
        <v>0.6</v>
      </c>
      <c r="F39" s="51">
        <v>0.2</v>
      </c>
      <c r="G39" s="51">
        <v>0.2</v>
      </c>
      <c r="H39" s="51">
        <v>0</v>
      </c>
      <c r="I39" s="49">
        <f t="shared" si="1"/>
        <v>16.693750000000001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>
      <c r="A40" s="50">
        <v>50</v>
      </c>
      <c r="B40" s="60">
        <v>370.01</v>
      </c>
      <c r="C40" s="60">
        <v>5</v>
      </c>
      <c r="D40" s="60">
        <v>70.20999999999998</v>
      </c>
      <c r="E40" s="51">
        <v>0.6</v>
      </c>
      <c r="F40" s="51">
        <v>0.2</v>
      </c>
      <c r="G40" s="51">
        <v>0.2</v>
      </c>
      <c r="H40" s="51">
        <v>0</v>
      </c>
      <c r="I40" s="49">
        <f t="shared" si="1"/>
        <v>15.714444444444442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>
      <c r="A41" s="50">
        <v>60</v>
      </c>
      <c r="B41" s="60">
        <v>440.94</v>
      </c>
      <c r="C41" s="60">
        <v>6</v>
      </c>
      <c r="D41" s="60">
        <v>69.839999999999975</v>
      </c>
      <c r="E41" s="51">
        <v>0.6</v>
      </c>
      <c r="F41" s="51">
        <v>0.2</v>
      </c>
      <c r="G41" s="51">
        <v>0.2</v>
      </c>
      <c r="H41" s="51">
        <v>0</v>
      </c>
      <c r="I41" s="53">
        <f t="shared" si="1"/>
        <v>14.113999999999999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>
      <c r="A42" s="50">
        <v>70</v>
      </c>
      <c r="B42" s="60">
        <v>490.07</v>
      </c>
      <c r="C42" s="60">
        <v>7</v>
      </c>
      <c r="D42" s="60">
        <v>67.88</v>
      </c>
      <c r="E42" s="51">
        <v>0.6</v>
      </c>
      <c r="F42" s="51">
        <v>0.2</v>
      </c>
      <c r="G42" s="51">
        <v>0.2</v>
      </c>
      <c r="H42" s="51">
        <v>0</v>
      </c>
      <c r="I42" s="53">
        <f t="shared" si="1"/>
        <v>11.896999999999997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>
      <c r="A43" s="50">
        <v>80</v>
      </c>
      <c r="B43" s="60">
        <v>520.03</v>
      </c>
      <c r="C43" s="60">
        <v>8</v>
      </c>
      <c r="D43" s="60">
        <v>520.03</v>
      </c>
      <c r="E43" s="51">
        <v>0.6</v>
      </c>
      <c r="F43" s="51">
        <v>0.2</v>
      </c>
      <c r="G43" s="51">
        <v>0.2</v>
      </c>
      <c r="H43" s="51">
        <v>0</v>
      </c>
      <c r="I43" s="49">
        <f t="shared" si="1"/>
        <v>9.7839999999999971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>
      <c r="A44" s="50"/>
      <c r="B44" s="60"/>
      <c r="C44" s="60"/>
      <c r="D44" s="60"/>
      <c r="E44" s="51"/>
      <c r="F44" s="51"/>
      <c r="G44" s="51"/>
      <c r="H44" s="51"/>
      <c r="I44" s="49" t="str">
        <f t="shared" si="1"/>
        <v/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>
      <c r="A58" s="46" t="s">
        <v>166</v>
      </c>
      <c r="B58" s="52" t="str">
        <f>IF(B10="","",B10)</f>
        <v>Cèdre de l'Atlas</v>
      </c>
      <c r="C58" s="23" t="s">
        <v>324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>
      <c r="A60" s="4"/>
      <c r="B60" s="85" t="s">
        <v>185</v>
      </c>
      <c r="C60" s="263" t="s">
        <v>186</v>
      </c>
      <c r="D60" s="263"/>
      <c r="E60" s="264" t="s">
        <v>187</v>
      </c>
      <c r="F60" s="265"/>
      <c r="G60" s="265"/>
      <c r="H60" s="266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28.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>
      <c r="A62" s="50">
        <v>42</v>
      </c>
      <c r="B62" s="60">
        <v>422.7</v>
      </c>
      <c r="C62" s="60">
        <v>1</v>
      </c>
      <c r="D62" s="60">
        <v>185.17</v>
      </c>
      <c r="E62" s="51">
        <v>0.6</v>
      </c>
      <c r="F62" s="51">
        <v>0.2</v>
      </c>
      <c r="G62" s="51">
        <v>0.2</v>
      </c>
      <c r="H62" s="51">
        <v>0</v>
      </c>
      <c r="I62" s="53">
        <f>IFERROR(B62/A62,"")</f>
        <v>10.064285714285713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>
      <c r="A63" s="50">
        <v>49</v>
      </c>
      <c r="B63" s="60">
        <v>365.5</v>
      </c>
      <c r="C63" s="60">
        <v>2</v>
      </c>
      <c r="D63" s="60">
        <v>101.22000000000003</v>
      </c>
      <c r="E63" s="51">
        <v>0.6</v>
      </c>
      <c r="F63" s="51">
        <v>0.2</v>
      </c>
      <c r="G63" s="51">
        <v>0.2</v>
      </c>
      <c r="H63" s="51">
        <v>0</v>
      </c>
      <c r="I63" s="49">
        <f>IF(A63&lt;&gt;0,(B63-(B62-D62))/(A63-A62),"")</f>
        <v>18.28142857142857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>
      <c r="A64" s="50">
        <v>56</v>
      </c>
      <c r="B64" s="60">
        <v>384.15</v>
      </c>
      <c r="C64" s="60">
        <v>3</v>
      </c>
      <c r="D64" s="60">
        <v>80.21999999999997</v>
      </c>
      <c r="E64" s="51">
        <v>0.6</v>
      </c>
      <c r="F64" s="51">
        <v>0.2</v>
      </c>
      <c r="G64" s="51">
        <v>0.2</v>
      </c>
      <c r="H64" s="51">
        <v>0</v>
      </c>
      <c r="I64" s="49">
        <f>IF(A64&lt;&gt;0,(B64-(B63-D63))/(A64-A63),"")</f>
        <v>17.124285714285715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>
      <c r="A65" s="50">
        <v>63</v>
      </c>
      <c r="B65" s="60">
        <v>421.38</v>
      </c>
      <c r="C65" s="60">
        <v>4</v>
      </c>
      <c r="D65" s="60">
        <v>79.909999999999968</v>
      </c>
      <c r="E65" s="51">
        <v>0.6</v>
      </c>
      <c r="F65" s="51">
        <v>0.2</v>
      </c>
      <c r="G65" s="51">
        <v>0.2</v>
      </c>
      <c r="H65" s="51">
        <v>0</v>
      </c>
      <c r="I65" s="49">
        <f>IF(A65&lt;&gt;0,(B65-(B64-D64))/(A65-A64),"")</f>
        <v>16.778571428571428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>
      <c r="A66" s="50">
        <v>71</v>
      </c>
      <c r="B66" s="60">
        <v>471.35</v>
      </c>
      <c r="C66" s="60">
        <v>5</v>
      </c>
      <c r="D66" s="60">
        <v>91.730000000000018</v>
      </c>
      <c r="E66" s="51">
        <v>0.6</v>
      </c>
      <c r="F66" s="51">
        <v>0.2</v>
      </c>
      <c r="G66" s="51">
        <v>0.2</v>
      </c>
      <c r="H66" s="51">
        <v>0</v>
      </c>
      <c r="I66" s="49">
        <f t="shared" ref="I66:I81" si="2">IF(A66&lt;&gt;0,(B66-(B65-D65))/(A66-A65),"")</f>
        <v>16.234999999999999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>
      <c r="A67" s="50">
        <v>79</v>
      </c>
      <c r="B67" s="60">
        <v>502.02</v>
      </c>
      <c r="C67" s="60">
        <v>6</v>
      </c>
      <c r="D67" s="60">
        <v>89.009999999999991</v>
      </c>
      <c r="E67" s="51">
        <v>0.6</v>
      </c>
      <c r="F67" s="51">
        <v>0.2</v>
      </c>
      <c r="G67" s="51">
        <v>0.2</v>
      </c>
      <c r="H67" s="51">
        <v>0</v>
      </c>
      <c r="I67" s="49">
        <f t="shared" si="2"/>
        <v>15.299999999999997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>
      <c r="A68" s="50">
        <v>87</v>
      </c>
      <c r="B68" s="60">
        <v>528.16</v>
      </c>
      <c r="C68" s="60">
        <v>7</v>
      </c>
      <c r="D68" s="60">
        <v>89.649999999999977</v>
      </c>
      <c r="E68" s="51">
        <v>0.6</v>
      </c>
      <c r="F68" s="51">
        <v>0.2</v>
      </c>
      <c r="G68" s="51">
        <v>0.2</v>
      </c>
      <c r="H68" s="51">
        <v>0</v>
      </c>
      <c r="I68" s="49">
        <f t="shared" si="2"/>
        <v>14.393749999999997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>
      <c r="A69" s="50">
        <v>95</v>
      </c>
      <c r="B69" s="50">
        <v>545.23</v>
      </c>
      <c r="C69" s="50">
        <v>8</v>
      </c>
      <c r="D69" s="50">
        <v>272.32</v>
      </c>
      <c r="E69" s="51">
        <v>0.6</v>
      </c>
      <c r="F69" s="51">
        <v>0.2</v>
      </c>
      <c r="G69" s="51">
        <v>0.2</v>
      </c>
      <c r="H69" s="51">
        <v>0</v>
      </c>
      <c r="I69" s="49">
        <f t="shared" si="2"/>
        <v>13.340000000000003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>
      <c r="A70" s="50">
        <v>105</v>
      </c>
      <c r="B70" s="50">
        <v>361.46</v>
      </c>
      <c r="C70" s="50">
        <v>9</v>
      </c>
      <c r="D70" s="50">
        <v>361.46</v>
      </c>
      <c r="E70" s="51">
        <v>0.6</v>
      </c>
      <c r="F70" s="51">
        <v>0.2</v>
      </c>
      <c r="G70" s="51">
        <v>0.2</v>
      </c>
      <c r="H70" s="51">
        <v>0</v>
      </c>
      <c r="I70" s="49">
        <f t="shared" si="2"/>
        <v>8.8549999999999951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>
      <c r="A84" s="46" t="s">
        <v>167</v>
      </c>
      <c r="B84" s="52" t="str">
        <f>IF(B11="","",B11)</f>
        <v>Chêne rouge d'Amérique</v>
      </c>
      <c r="C84" s="23" t="s">
        <v>325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>
      <c r="A86" s="4"/>
      <c r="B86" s="85" t="s">
        <v>185</v>
      </c>
      <c r="C86" s="263" t="s">
        <v>186</v>
      </c>
      <c r="D86" s="263"/>
      <c r="E86" s="264" t="s">
        <v>187</v>
      </c>
      <c r="F86" s="265"/>
      <c r="G86" s="265"/>
      <c r="H86" s="266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28.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>
      <c r="A88" s="50">
        <v>20</v>
      </c>
      <c r="B88" s="60">
        <v>55.769230769230759</v>
      </c>
      <c r="C88" s="60">
        <v>1</v>
      </c>
      <c r="D88" s="60">
        <v>18.589743589743588</v>
      </c>
      <c r="E88" s="51">
        <v>0</v>
      </c>
      <c r="F88" s="51">
        <v>0.5</v>
      </c>
      <c r="G88" s="51">
        <v>0</v>
      </c>
      <c r="H88" s="87">
        <v>0.5</v>
      </c>
      <c r="I88" s="53">
        <f>IFERROR(B88/A88,"")</f>
        <v>2.7884615384615379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>
      <c r="A89" s="50">
        <v>25</v>
      </c>
      <c r="B89" s="60">
        <v>62.820512820512818</v>
      </c>
      <c r="C89" s="60">
        <v>2</v>
      </c>
      <c r="D89" s="60">
        <v>12.179487179487179</v>
      </c>
      <c r="E89" s="51">
        <v>0</v>
      </c>
      <c r="F89" s="51">
        <v>0.5</v>
      </c>
      <c r="G89" s="51">
        <v>0</v>
      </c>
      <c r="H89" s="87">
        <v>0.5</v>
      </c>
      <c r="I89" s="53">
        <f t="shared" ref="I89:I107" si="3">IF(A89&lt;&gt;0,(B89-(B88-D88))/(A89-A88),"")</f>
        <v>5.1282051282051295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>
      <c r="A90" s="50">
        <v>30</v>
      </c>
      <c r="B90" s="60">
        <v>76.282051282051285</v>
      </c>
      <c r="C90" s="60">
        <v>3</v>
      </c>
      <c r="D90" s="60">
        <v>12.820512820512819</v>
      </c>
      <c r="E90" s="87">
        <v>0</v>
      </c>
      <c r="F90" s="87">
        <v>0.5</v>
      </c>
      <c r="G90" s="87">
        <v>0</v>
      </c>
      <c r="H90" s="87">
        <v>0.5</v>
      </c>
      <c r="I90" s="53">
        <f t="shared" si="3"/>
        <v>5.1282051282051295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>
      <c r="A91" s="50">
        <v>35</v>
      </c>
      <c r="B91" s="60">
        <v>86.538461538461533</v>
      </c>
      <c r="C91" s="60">
        <v>4</v>
      </c>
      <c r="D91" s="60">
        <v>12.820512820512819</v>
      </c>
      <c r="E91" s="87">
        <v>0</v>
      </c>
      <c r="F91" s="87">
        <v>0.5</v>
      </c>
      <c r="G91" s="87">
        <v>0</v>
      </c>
      <c r="H91" s="87">
        <v>0.5</v>
      </c>
      <c r="I91" s="53">
        <f t="shared" si="3"/>
        <v>4.6153846153846132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>
      <c r="A92" s="50">
        <v>40</v>
      </c>
      <c r="B92" s="60">
        <v>96.153846153846146</v>
      </c>
      <c r="C92" s="60">
        <v>5</v>
      </c>
      <c r="D92" s="60">
        <v>12.820512820512819</v>
      </c>
      <c r="E92" s="87">
        <v>0</v>
      </c>
      <c r="F92" s="87">
        <v>0.5</v>
      </c>
      <c r="G92" s="87">
        <v>0</v>
      </c>
      <c r="H92" s="87">
        <v>0.5</v>
      </c>
      <c r="I92" s="53">
        <f t="shared" si="3"/>
        <v>4.4871794871794863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>
      <c r="A93" s="50">
        <v>45</v>
      </c>
      <c r="B93" s="60">
        <v>103.84615384615384</v>
      </c>
      <c r="C93" s="60">
        <v>6</v>
      </c>
      <c r="D93" s="60">
        <v>12.179487179487179</v>
      </c>
      <c r="E93" s="87">
        <v>0</v>
      </c>
      <c r="F93" s="87">
        <v>0.5</v>
      </c>
      <c r="G93" s="87">
        <v>0</v>
      </c>
      <c r="H93" s="87">
        <v>0.5</v>
      </c>
      <c r="I93" s="53">
        <f t="shared" si="3"/>
        <v>4.1025641025641022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>
      <c r="A94" s="50">
        <v>50</v>
      </c>
      <c r="B94" s="60">
        <v>110.89743589743588</v>
      </c>
      <c r="C94" s="60">
        <v>7</v>
      </c>
      <c r="D94" s="60">
        <v>11.538461538461538</v>
      </c>
      <c r="E94" s="87">
        <v>0</v>
      </c>
      <c r="F94" s="87">
        <v>0.5</v>
      </c>
      <c r="G94" s="87">
        <v>0</v>
      </c>
      <c r="H94" s="87">
        <v>0.5</v>
      </c>
      <c r="I94" s="53">
        <f t="shared" si="3"/>
        <v>3.8461538461538454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>
      <c r="A95" s="60">
        <v>55</v>
      </c>
      <c r="B95" s="60">
        <v>116.02564102564102</v>
      </c>
      <c r="C95" s="60">
        <v>8</v>
      </c>
      <c r="D95" s="60">
        <v>10.897435897435898</v>
      </c>
      <c r="E95" s="87">
        <v>0</v>
      </c>
      <c r="F95" s="87">
        <v>0.5</v>
      </c>
      <c r="G95" s="87">
        <v>0</v>
      </c>
      <c r="H95" s="87">
        <v>0.5</v>
      </c>
      <c r="I95" s="53">
        <f t="shared" si="3"/>
        <v>3.3333333333333344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>
      <c r="A96" s="60">
        <v>60</v>
      </c>
      <c r="B96" s="60">
        <v>121.15384615384616</v>
      </c>
      <c r="C96" s="60">
        <v>9</v>
      </c>
      <c r="D96" s="60">
        <v>10.256410256410255</v>
      </c>
      <c r="E96" s="87">
        <v>0</v>
      </c>
      <c r="F96" s="87">
        <v>0.5</v>
      </c>
      <c r="G96" s="87">
        <v>0</v>
      </c>
      <c r="H96" s="87">
        <v>0.5</v>
      </c>
      <c r="I96" s="53">
        <f t="shared" si="3"/>
        <v>3.2051282051282071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>
      <c r="A97" s="60">
        <v>65</v>
      </c>
      <c r="B97" s="60">
        <v>125</v>
      </c>
      <c r="C97" s="60">
        <v>10</v>
      </c>
      <c r="D97" s="60">
        <v>9.615384615384615</v>
      </c>
      <c r="E97" s="87">
        <v>0.1</v>
      </c>
      <c r="F97" s="87">
        <v>0.5</v>
      </c>
      <c r="G97" s="87">
        <v>0</v>
      </c>
      <c r="H97" s="87">
        <v>0.4</v>
      </c>
      <c r="I97" s="53">
        <f t="shared" si="3"/>
        <v>2.8205128205128176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>
      <c r="A98" s="60">
        <v>70</v>
      </c>
      <c r="B98" s="60">
        <v>128.84615384615384</v>
      </c>
      <c r="C98" s="60">
        <v>11</v>
      </c>
      <c r="D98" s="60">
        <v>8.9743589743589745</v>
      </c>
      <c r="E98" s="87">
        <v>0.1</v>
      </c>
      <c r="F98" s="87">
        <v>0.5</v>
      </c>
      <c r="G98" s="87">
        <v>0</v>
      </c>
      <c r="H98" s="87">
        <v>0.4</v>
      </c>
      <c r="I98" s="53">
        <f t="shared" si="3"/>
        <v>2.6923076923076907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>
      <c r="A99" s="60">
        <v>75</v>
      </c>
      <c r="B99" s="60">
        <v>130.76923076923075</v>
      </c>
      <c r="C99" s="60">
        <v>12</v>
      </c>
      <c r="D99" s="60">
        <v>7.6923076923076916</v>
      </c>
      <c r="E99" s="87">
        <v>0.1</v>
      </c>
      <c r="F99" s="87">
        <v>0.5</v>
      </c>
      <c r="G99" s="87">
        <v>0</v>
      </c>
      <c r="H99" s="87">
        <v>0.4</v>
      </c>
      <c r="I99" s="53">
        <f t="shared" si="3"/>
        <v>2.1794871794871766</v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>
      <c r="A100" s="60">
        <v>80</v>
      </c>
      <c r="B100" s="60">
        <v>133.33333333333334</v>
      </c>
      <c r="C100" s="60">
        <v>13</v>
      </c>
      <c r="D100" s="60">
        <v>7.0512820512820511</v>
      </c>
      <c r="E100" s="65">
        <v>0.1</v>
      </c>
      <c r="F100" s="65">
        <v>0.5</v>
      </c>
      <c r="G100" s="65">
        <v>0</v>
      </c>
      <c r="H100" s="65">
        <v>0.4</v>
      </c>
      <c r="I100" s="53">
        <f t="shared" si="3"/>
        <v>2.0512820512820582</v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>
      <c r="A101" s="60">
        <v>85</v>
      </c>
      <c r="B101" s="60">
        <v>135.25641025641025</v>
      </c>
      <c r="C101" s="60">
        <v>14</v>
      </c>
      <c r="D101" s="60">
        <v>6.4102564102564097</v>
      </c>
      <c r="E101" s="65">
        <v>0.1</v>
      </c>
      <c r="F101" s="65">
        <v>0.5</v>
      </c>
      <c r="G101" s="65">
        <v>0</v>
      </c>
      <c r="H101" s="65">
        <v>0.4</v>
      </c>
      <c r="I101" s="53">
        <f t="shared" si="3"/>
        <v>1.7948717948717898</v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>
      <c r="A102" s="60">
        <v>90</v>
      </c>
      <c r="B102" s="50">
        <v>137.82051282051282</v>
      </c>
      <c r="C102" s="60">
        <v>15</v>
      </c>
      <c r="D102" s="50">
        <v>6.4102564102564097</v>
      </c>
      <c r="E102" s="54">
        <v>0.1</v>
      </c>
      <c r="F102" s="54">
        <v>0.5</v>
      </c>
      <c r="G102" s="54">
        <v>0</v>
      </c>
      <c r="H102" s="54">
        <v>0.4</v>
      </c>
      <c r="I102" s="53">
        <f t="shared" si="3"/>
        <v>1.7948717948717956</v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>
      <c r="A103" s="60">
        <v>95</v>
      </c>
      <c r="B103" s="50">
        <v>140.38461538461539</v>
      </c>
      <c r="C103" s="60">
        <v>16</v>
      </c>
      <c r="D103" s="50">
        <v>7.0512820512820511</v>
      </c>
      <c r="E103" s="54">
        <v>0.1</v>
      </c>
      <c r="F103" s="54">
        <v>0.5</v>
      </c>
      <c r="G103" s="54">
        <v>0</v>
      </c>
      <c r="H103" s="54">
        <v>0.4</v>
      </c>
      <c r="I103" s="53">
        <f t="shared" si="3"/>
        <v>1.7948717948717956</v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>
      <c r="A104" s="60">
        <v>100</v>
      </c>
      <c r="B104" s="50">
        <v>142.94871794871796</v>
      </c>
      <c r="C104" s="60">
        <v>17</v>
      </c>
      <c r="D104" s="50">
        <v>142.94871794871796</v>
      </c>
      <c r="E104" s="54">
        <v>0.1</v>
      </c>
      <c r="F104" s="54">
        <v>0.5</v>
      </c>
      <c r="G104" s="54">
        <v>0</v>
      </c>
      <c r="H104" s="54">
        <v>0.4</v>
      </c>
      <c r="I104" s="53">
        <f t="shared" si="3"/>
        <v>1.9230769230769227</v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>
      <c r="A110" s="46" t="s">
        <v>168</v>
      </c>
      <c r="B110" s="52" t="str">
        <f>IF(B12="","",B12)</f>
        <v>Charme</v>
      </c>
      <c r="C110" s="23" t="s">
        <v>327</v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>
      <c r="A112" s="4"/>
      <c r="B112" s="85" t="s">
        <v>185</v>
      </c>
      <c r="C112" s="263" t="s">
        <v>186</v>
      </c>
      <c r="D112" s="263"/>
      <c r="E112" s="264" t="s">
        <v>187</v>
      </c>
      <c r="F112" s="265"/>
      <c r="G112" s="265"/>
      <c r="H112" s="266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28.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>
      <c r="A114" s="50">
        <v>25</v>
      </c>
      <c r="B114" s="60">
        <v>70</v>
      </c>
      <c r="C114" s="50">
        <v>1</v>
      </c>
      <c r="D114" s="60">
        <v>8</v>
      </c>
      <c r="E114" s="51">
        <v>0</v>
      </c>
      <c r="F114" s="51">
        <v>0.25</v>
      </c>
      <c r="G114" s="51">
        <v>0.25</v>
      </c>
      <c r="H114" s="51">
        <v>0.5</v>
      </c>
      <c r="I114" s="53">
        <f>IFERROR(B114/A114,"")</f>
        <v>2.8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>
      <c r="A115" s="50">
        <v>30</v>
      </c>
      <c r="B115" s="60">
        <v>97</v>
      </c>
      <c r="C115" s="50">
        <v>2</v>
      </c>
      <c r="D115" s="60">
        <v>21</v>
      </c>
      <c r="E115" s="51">
        <v>0</v>
      </c>
      <c r="F115" s="51">
        <v>0.25</v>
      </c>
      <c r="G115" s="51">
        <v>0.25</v>
      </c>
      <c r="H115" s="51">
        <v>0.5</v>
      </c>
      <c r="I115" s="53">
        <f t="shared" ref="I115:I133" si="4">IF(A115&lt;&gt;0,(B115-(B114-D114))/(A115-A114),"")</f>
        <v>7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>
      <c r="A116" s="50">
        <v>35</v>
      </c>
      <c r="B116" s="60">
        <v>116</v>
      </c>
      <c r="C116" s="50">
        <v>3</v>
      </c>
      <c r="D116" s="60">
        <v>21</v>
      </c>
      <c r="E116" s="51">
        <v>0</v>
      </c>
      <c r="F116" s="51">
        <v>0.25</v>
      </c>
      <c r="G116" s="51">
        <v>0.25</v>
      </c>
      <c r="H116" s="51">
        <v>0.5</v>
      </c>
      <c r="I116" s="53">
        <f t="shared" si="4"/>
        <v>8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>
      <c r="A117" s="50">
        <v>40</v>
      </c>
      <c r="B117" s="60">
        <v>137</v>
      </c>
      <c r="C117" s="50">
        <v>4</v>
      </c>
      <c r="D117" s="60">
        <v>21</v>
      </c>
      <c r="E117" s="51">
        <v>0</v>
      </c>
      <c r="F117" s="51">
        <v>0.25</v>
      </c>
      <c r="G117" s="51">
        <v>0.25</v>
      </c>
      <c r="H117" s="51">
        <v>0.5</v>
      </c>
      <c r="I117" s="53">
        <f t="shared" si="4"/>
        <v>8.4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>
      <c r="A118" s="50">
        <v>45</v>
      </c>
      <c r="B118" s="60">
        <v>158</v>
      </c>
      <c r="C118" s="50">
        <v>5</v>
      </c>
      <c r="D118" s="60">
        <v>21</v>
      </c>
      <c r="E118" s="51">
        <v>0</v>
      </c>
      <c r="F118" s="51">
        <v>0.25</v>
      </c>
      <c r="G118" s="51">
        <v>0.25</v>
      </c>
      <c r="H118" s="51">
        <v>0.5</v>
      </c>
      <c r="I118" s="53">
        <f t="shared" si="4"/>
        <v>8.4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>
      <c r="A119" s="50">
        <v>50</v>
      </c>
      <c r="B119" s="60">
        <v>178</v>
      </c>
      <c r="C119" s="50">
        <v>6</v>
      </c>
      <c r="D119" s="60">
        <v>21</v>
      </c>
      <c r="E119" s="51">
        <v>0</v>
      </c>
      <c r="F119" s="51">
        <v>0.25</v>
      </c>
      <c r="G119" s="51">
        <v>0.25</v>
      </c>
      <c r="H119" s="51">
        <v>0.5</v>
      </c>
      <c r="I119" s="53">
        <f t="shared" si="4"/>
        <v>8.1999999999999993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>
      <c r="A120" s="60">
        <v>55</v>
      </c>
      <c r="B120" s="60">
        <v>197</v>
      </c>
      <c r="C120" s="60">
        <v>7</v>
      </c>
      <c r="D120" s="60">
        <v>21</v>
      </c>
      <c r="E120" s="87">
        <v>0</v>
      </c>
      <c r="F120" s="87">
        <v>0.25</v>
      </c>
      <c r="G120" s="87">
        <v>0.25</v>
      </c>
      <c r="H120" s="87">
        <v>0.5</v>
      </c>
      <c r="I120" s="53">
        <f t="shared" si="4"/>
        <v>8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>
      <c r="A121" s="60">
        <v>60</v>
      </c>
      <c r="B121" s="60">
        <v>214</v>
      </c>
      <c r="C121" s="60">
        <v>8</v>
      </c>
      <c r="D121" s="60">
        <v>21</v>
      </c>
      <c r="E121" s="87">
        <v>0</v>
      </c>
      <c r="F121" s="87">
        <v>0.25</v>
      </c>
      <c r="G121" s="87">
        <v>0.25</v>
      </c>
      <c r="H121" s="87">
        <v>0.5</v>
      </c>
      <c r="I121" s="53">
        <f t="shared" si="4"/>
        <v>7.6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>
      <c r="A122" s="60">
        <v>65</v>
      </c>
      <c r="B122" s="60">
        <v>229</v>
      </c>
      <c r="C122" s="60">
        <v>9</v>
      </c>
      <c r="D122" s="60">
        <v>21</v>
      </c>
      <c r="E122" s="87">
        <v>0</v>
      </c>
      <c r="F122" s="87">
        <v>0.25</v>
      </c>
      <c r="G122" s="87">
        <v>0.25</v>
      </c>
      <c r="H122" s="87">
        <v>0.5</v>
      </c>
      <c r="I122" s="53">
        <f t="shared" si="4"/>
        <v>7.2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>
      <c r="A123" s="60">
        <v>70</v>
      </c>
      <c r="B123" s="60">
        <v>242</v>
      </c>
      <c r="C123" s="60">
        <v>10</v>
      </c>
      <c r="D123" s="60">
        <v>21</v>
      </c>
      <c r="E123" s="87">
        <v>0.25</v>
      </c>
      <c r="F123" s="87">
        <v>0.25</v>
      </c>
      <c r="G123" s="87">
        <v>0.25</v>
      </c>
      <c r="H123" s="87">
        <v>0.25</v>
      </c>
      <c r="I123" s="53">
        <f t="shared" si="4"/>
        <v>6.8</v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>
      <c r="A124" s="60">
        <v>75</v>
      </c>
      <c r="B124" s="60">
        <v>252</v>
      </c>
      <c r="C124" s="60">
        <v>11</v>
      </c>
      <c r="D124" s="60">
        <v>21</v>
      </c>
      <c r="E124" s="87">
        <v>0.25</v>
      </c>
      <c r="F124" s="87">
        <v>0.25</v>
      </c>
      <c r="G124" s="87">
        <v>0.25</v>
      </c>
      <c r="H124" s="87">
        <v>0.25</v>
      </c>
      <c r="I124" s="53">
        <f t="shared" si="4"/>
        <v>6.2</v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>
      <c r="A125" s="60">
        <v>80</v>
      </c>
      <c r="B125" s="60">
        <v>261</v>
      </c>
      <c r="C125" s="60">
        <v>12</v>
      </c>
      <c r="D125" s="60">
        <v>21</v>
      </c>
      <c r="E125" s="87">
        <v>0.25</v>
      </c>
      <c r="F125" s="87">
        <v>0.25</v>
      </c>
      <c r="G125" s="87">
        <v>0.25</v>
      </c>
      <c r="H125" s="87">
        <v>0.25</v>
      </c>
      <c r="I125" s="53">
        <f t="shared" si="4"/>
        <v>6</v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>
      <c r="A126" s="60">
        <v>85</v>
      </c>
      <c r="B126" s="60">
        <v>269</v>
      </c>
      <c r="C126" s="60">
        <v>13</v>
      </c>
      <c r="D126" s="60">
        <v>21</v>
      </c>
      <c r="E126" s="65">
        <v>0.25</v>
      </c>
      <c r="F126" s="65">
        <v>0.25</v>
      </c>
      <c r="G126" s="65">
        <v>0.25</v>
      </c>
      <c r="H126" s="65">
        <v>0.25</v>
      </c>
      <c r="I126" s="53">
        <f t="shared" si="4"/>
        <v>5.8</v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>
      <c r="A127" s="60">
        <v>90</v>
      </c>
      <c r="B127" s="60">
        <v>275</v>
      </c>
      <c r="C127" s="60">
        <v>14</v>
      </c>
      <c r="D127" s="60">
        <v>21</v>
      </c>
      <c r="E127" s="65">
        <v>0.25</v>
      </c>
      <c r="F127" s="65">
        <v>0.25</v>
      </c>
      <c r="G127" s="65">
        <v>0.25</v>
      </c>
      <c r="H127" s="65">
        <v>0.25</v>
      </c>
      <c r="I127" s="53">
        <f t="shared" si="4"/>
        <v>5.4</v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>
      <c r="A128" s="50">
        <v>95</v>
      </c>
      <c r="B128" s="50">
        <v>279</v>
      </c>
      <c r="C128" s="50">
        <v>15</v>
      </c>
      <c r="D128" s="50">
        <v>21</v>
      </c>
      <c r="E128" s="54">
        <v>0.25</v>
      </c>
      <c r="F128" s="54">
        <v>0.25</v>
      </c>
      <c r="G128" s="54">
        <v>0.25</v>
      </c>
      <c r="H128" s="54">
        <v>0.25</v>
      </c>
      <c r="I128" s="53">
        <f t="shared" si="4"/>
        <v>5</v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>
      <c r="A129" s="50">
        <v>100</v>
      </c>
      <c r="B129" s="50">
        <v>282</v>
      </c>
      <c r="C129" s="50">
        <v>16</v>
      </c>
      <c r="D129" s="50">
        <v>21</v>
      </c>
      <c r="E129" s="54">
        <v>0.25</v>
      </c>
      <c r="F129" s="54">
        <v>0.25</v>
      </c>
      <c r="G129" s="54">
        <v>0.25</v>
      </c>
      <c r="H129" s="54">
        <v>0.25</v>
      </c>
      <c r="I129" s="53">
        <f t="shared" si="4"/>
        <v>4.8</v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>
      <c r="A130" s="50">
        <v>105</v>
      </c>
      <c r="B130" s="50">
        <v>284</v>
      </c>
      <c r="C130" s="50">
        <v>17</v>
      </c>
      <c r="D130" s="50">
        <v>20</v>
      </c>
      <c r="E130" s="54">
        <v>0.25</v>
      </c>
      <c r="F130" s="54">
        <v>0.25</v>
      </c>
      <c r="G130" s="54">
        <v>0.25</v>
      </c>
      <c r="H130" s="54">
        <v>0.25</v>
      </c>
      <c r="I130" s="53">
        <f t="shared" si="4"/>
        <v>4.5999999999999996</v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>
      <c r="A131" s="50">
        <v>110</v>
      </c>
      <c r="B131" s="50">
        <v>285</v>
      </c>
      <c r="C131" s="50">
        <v>18</v>
      </c>
      <c r="D131" s="50">
        <v>19</v>
      </c>
      <c r="E131" s="54">
        <v>0.25</v>
      </c>
      <c r="F131" s="54">
        <v>0.25</v>
      </c>
      <c r="G131" s="54">
        <v>0.25</v>
      </c>
      <c r="H131" s="54">
        <v>0.25</v>
      </c>
      <c r="I131" s="53">
        <f t="shared" si="4"/>
        <v>4.2</v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>
      <c r="A132" s="50">
        <v>115</v>
      </c>
      <c r="B132" s="50">
        <v>285</v>
      </c>
      <c r="C132" s="50">
        <v>19</v>
      </c>
      <c r="D132" s="50">
        <v>18</v>
      </c>
      <c r="E132" s="54">
        <v>0.25</v>
      </c>
      <c r="F132" s="54">
        <v>0.25</v>
      </c>
      <c r="G132" s="54">
        <v>0.25</v>
      </c>
      <c r="H132" s="54">
        <v>0.25</v>
      </c>
      <c r="I132" s="53">
        <f t="shared" si="4"/>
        <v>3.8</v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>
      <c r="A133" s="50">
        <v>120</v>
      </c>
      <c r="B133" s="50">
        <v>285</v>
      </c>
      <c r="C133" s="50">
        <v>20</v>
      </c>
      <c r="D133" s="50">
        <v>285</v>
      </c>
      <c r="E133" s="54">
        <v>0.25</v>
      </c>
      <c r="F133" s="54">
        <v>0.25</v>
      </c>
      <c r="G133" s="54">
        <v>0.25</v>
      </c>
      <c r="H133" s="54">
        <v>0.25</v>
      </c>
      <c r="I133" s="53">
        <f t="shared" si="4"/>
        <v>3.6</v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>
      <c r="A136" s="46" t="s">
        <v>169</v>
      </c>
      <c r="B136" s="52" t="str">
        <f>IF(B13="","",B13)</f>
        <v>Erable champêtre</v>
      </c>
      <c r="C136" s="23" t="s">
        <v>326</v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>
      <c r="A138" s="4"/>
      <c r="B138" s="85" t="s">
        <v>185</v>
      </c>
      <c r="C138" s="263" t="s">
        <v>186</v>
      </c>
      <c r="D138" s="263"/>
      <c r="E138" s="264" t="s">
        <v>187</v>
      </c>
      <c r="F138" s="265"/>
      <c r="G138" s="265"/>
      <c r="H138" s="266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28.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>
      <c r="A140" s="50">
        <v>20</v>
      </c>
      <c r="B140" s="60">
        <v>57</v>
      </c>
      <c r="C140" s="50">
        <v>1</v>
      </c>
      <c r="D140" s="60">
        <v>21</v>
      </c>
      <c r="E140" s="51">
        <v>0</v>
      </c>
      <c r="F140" s="51">
        <v>0.25</v>
      </c>
      <c r="G140" s="51">
        <v>0.25</v>
      </c>
      <c r="H140" s="51">
        <v>0.5</v>
      </c>
      <c r="I140" s="57">
        <f>IFERROR(B140/A140,"")</f>
        <v>2.85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>
      <c r="A141" s="50">
        <v>25</v>
      </c>
      <c r="B141" s="60">
        <v>86</v>
      </c>
      <c r="C141" s="50">
        <v>2</v>
      </c>
      <c r="D141" s="60">
        <v>21</v>
      </c>
      <c r="E141" s="51">
        <v>0</v>
      </c>
      <c r="F141" s="51">
        <v>0.25</v>
      </c>
      <c r="G141" s="51">
        <v>0.25</v>
      </c>
      <c r="H141" s="51">
        <v>0.5</v>
      </c>
      <c r="I141" s="57">
        <f t="shared" ref="I141:I159" si="5">IF(A141&lt;&gt;0,(B141-(B140-D140))/(A141-A140),"")</f>
        <v>10</v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>
      <c r="A142" s="50">
        <v>30</v>
      </c>
      <c r="B142" s="60">
        <v>114</v>
      </c>
      <c r="C142" s="50">
        <v>3</v>
      </c>
      <c r="D142" s="60">
        <v>21</v>
      </c>
      <c r="E142" s="51">
        <v>0</v>
      </c>
      <c r="F142" s="51">
        <v>0.25</v>
      </c>
      <c r="G142" s="51">
        <v>0.25</v>
      </c>
      <c r="H142" s="51">
        <v>0.5</v>
      </c>
      <c r="I142" s="57">
        <f t="shared" si="5"/>
        <v>9.8000000000000007</v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>
      <c r="A143" s="50">
        <v>35</v>
      </c>
      <c r="B143" s="60">
        <v>136</v>
      </c>
      <c r="C143" s="50">
        <v>4</v>
      </c>
      <c r="D143" s="60">
        <v>21</v>
      </c>
      <c r="E143" s="51">
        <v>0</v>
      </c>
      <c r="F143" s="51">
        <v>0.25</v>
      </c>
      <c r="G143" s="51">
        <v>0.25</v>
      </c>
      <c r="H143" s="51">
        <v>0.5</v>
      </c>
      <c r="I143" s="57">
        <f t="shared" si="5"/>
        <v>8.6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>
      <c r="A144" s="50">
        <v>40</v>
      </c>
      <c r="B144" s="60">
        <v>153</v>
      </c>
      <c r="C144" s="50">
        <v>5</v>
      </c>
      <c r="D144" s="60">
        <v>21</v>
      </c>
      <c r="E144" s="51">
        <v>0</v>
      </c>
      <c r="F144" s="51">
        <v>0.25</v>
      </c>
      <c r="G144" s="51">
        <v>0.25</v>
      </c>
      <c r="H144" s="51">
        <v>0.5</v>
      </c>
      <c r="I144" s="57">
        <f t="shared" si="5"/>
        <v>7.6</v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>
      <c r="A145" s="50">
        <v>45</v>
      </c>
      <c r="B145" s="60">
        <v>164</v>
      </c>
      <c r="C145" s="50">
        <v>6</v>
      </c>
      <c r="D145" s="60">
        <v>18</v>
      </c>
      <c r="E145" s="51">
        <v>0</v>
      </c>
      <c r="F145" s="51">
        <v>0.25</v>
      </c>
      <c r="G145" s="51">
        <v>0.25</v>
      </c>
      <c r="H145" s="51">
        <v>0.5</v>
      </c>
      <c r="I145" s="57">
        <f t="shared" si="5"/>
        <v>6.4</v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>
      <c r="A146" s="50">
        <v>50</v>
      </c>
      <c r="B146" s="60">
        <v>174</v>
      </c>
      <c r="C146" s="50">
        <v>7</v>
      </c>
      <c r="D146" s="60">
        <v>13</v>
      </c>
      <c r="E146" s="51">
        <v>0.25</v>
      </c>
      <c r="F146" s="51">
        <v>0.25</v>
      </c>
      <c r="G146" s="51">
        <v>0.25</v>
      </c>
      <c r="H146" s="51">
        <v>0.25</v>
      </c>
      <c r="I146" s="57">
        <f t="shared" si="5"/>
        <v>5.6</v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>
      <c r="A147" s="50">
        <v>55</v>
      </c>
      <c r="B147" s="60">
        <v>185</v>
      </c>
      <c r="C147" s="50">
        <v>8</v>
      </c>
      <c r="D147" s="60">
        <v>11</v>
      </c>
      <c r="E147" s="51">
        <v>0.25</v>
      </c>
      <c r="F147" s="51">
        <v>0.25</v>
      </c>
      <c r="G147" s="51">
        <v>0.25</v>
      </c>
      <c r="H147" s="51">
        <v>0.25</v>
      </c>
      <c r="I147" s="57">
        <f>IF(A147&lt;&gt;0,(B147-(B146-D146))/(A147-A146),"")</f>
        <v>4.8</v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>
      <c r="A148" s="50">
        <v>60</v>
      </c>
      <c r="B148" s="60">
        <v>194</v>
      </c>
      <c r="C148" s="50">
        <v>9</v>
      </c>
      <c r="D148" s="60">
        <v>9</v>
      </c>
      <c r="E148" s="51">
        <v>0.25</v>
      </c>
      <c r="F148" s="51">
        <v>0.25</v>
      </c>
      <c r="G148" s="51">
        <v>0.25</v>
      </c>
      <c r="H148" s="51">
        <v>0.25</v>
      </c>
      <c r="I148" s="57">
        <f t="shared" si="5"/>
        <v>4</v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>
      <c r="A149" s="50">
        <v>65</v>
      </c>
      <c r="B149" s="60">
        <v>202</v>
      </c>
      <c r="C149" s="50">
        <v>10</v>
      </c>
      <c r="D149" s="60">
        <v>8</v>
      </c>
      <c r="E149" s="51">
        <v>0.25</v>
      </c>
      <c r="F149" s="51">
        <v>0.25</v>
      </c>
      <c r="G149" s="51">
        <v>0.25</v>
      </c>
      <c r="H149" s="51">
        <v>0.25</v>
      </c>
      <c r="I149" s="57">
        <f t="shared" si="5"/>
        <v>3.4</v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>
      <c r="A150" s="50">
        <v>70</v>
      </c>
      <c r="B150" s="60">
        <v>209</v>
      </c>
      <c r="C150" s="50">
        <v>11</v>
      </c>
      <c r="D150" s="60">
        <v>8</v>
      </c>
      <c r="E150" s="51">
        <v>0.25</v>
      </c>
      <c r="F150" s="51">
        <v>0.25</v>
      </c>
      <c r="G150" s="51">
        <v>0.25</v>
      </c>
      <c r="H150" s="51">
        <v>0.25</v>
      </c>
      <c r="I150" s="57">
        <f t="shared" si="5"/>
        <v>3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>
      <c r="A151" s="50">
        <v>75</v>
      </c>
      <c r="B151" s="60">
        <v>214</v>
      </c>
      <c r="C151" s="50">
        <v>12</v>
      </c>
      <c r="D151" s="60">
        <v>7</v>
      </c>
      <c r="E151" s="51">
        <v>0.25</v>
      </c>
      <c r="F151" s="51">
        <v>0.25</v>
      </c>
      <c r="G151" s="51">
        <v>0.25</v>
      </c>
      <c r="H151" s="51">
        <v>0.25</v>
      </c>
      <c r="I151" s="57">
        <f t="shared" si="5"/>
        <v>2.6</v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>
      <c r="A152" s="50">
        <v>80</v>
      </c>
      <c r="B152" s="60">
        <v>219</v>
      </c>
      <c r="C152" s="50">
        <v>13</v>
      </c>
      <c r="D152" s="60">
        <v>219</v>
      </c>
      <c r="E152" s="54">
        <v>0.25</v>
      </c>
      <c r="F152" s="54">
        <v>0.25</v>
      </c>
      <c r="G152" s="54">
        <v>0.25</v>
      </c>
      <c r="H152" s="54">
        <v>0.25</v>
      </c>
      <c r="I152" s="57">
        <f t="shared" si="5"/>
        <v>2.4</v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>
      <c r="A162" s="46" t="s">
        <v>170</v>
      </c>
      <c r="B162" s="52" t="str">
        <f>IF(B14="","",B14)</f>
        <v>Tilleul</v>
      </c>
      <c r="C162" s="23" t="s">
        <v>328</v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>
      <c r="A164" s="4"/>
      <c r="B164" s="85" t="s">
        <v>185</v>
      </c>
      <c r="C164" s="263" t="s">
        <v>186</v>
      </c>
      <c r="D164" s="263"/>
      <c r="E164" s="264" t="s">
        <v>187</v>
      </c>
      <c r="F164" s="265"/>
      <c r="G164" s="265"/>
      <c r="H164" s="266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28.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>
      <c r="A166" s="50">
        <v>20</v>
      </c>
      <c r="B166" s="60">
        <v>36.538461538461533</v>
      </c>
      <c r="C166" s="60">
        <v>1</v>
      </c>
      <c r="D166" s="60">
        <v>7.0512820512820511</v>
      </c>
      <c r="E166" s="51">
        <v>0</v>
      </c>
      <c r="F166" s="51">
        <v>0.25</v>
      </c>
      <c r="G166" s="51">
        <v>0.25</v>
      </c>
      <c r="H166" s="51">
        <v>0.5</v>
      </c>
      <c r="I166" s="49">
        <f>IFERROR(B166/A166,"")</f>
        <v>1.8269230769230766</v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>
      <c r="A167" s="50">
        <v>25</v>
      </c>
      <c r="B167" s="60">
        <v>50.641025641025635</v>
      </c>
      <c r="C167" s="60">
        <v>2</v>
      </c>
      <c r="D167" s="60">
        <v>9.615384615384615</v>
      </c>
      <c r="E167" s="51">
        <v>0</v>
      </c>
      <c r="F167" s="51">
        <v>0.25</v>
      </c>
      <c r="G167" s="51">
        <v>0.25</v>
      </c>
      <c r="H167" s="51">
        <v>0.5</v>
      </c>
      <c r="I167" s="49">
        <f t="shared" ref="I167:I185" si="6">IF(A167&lt;&gt;0,(B167-(B166-D166))/(A167-A166),"")</f>
        <v>4.2307692307692308</v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>
      <c r="A168" s="50">
        <v>30</v>
      </c>
      <c r="B168" s="60">
        <v>63.46153846153846</v>
      </c>
      <c r="C168" s="60">
        <v>3</v>
      </c>
      <c r="D168" s="60">
        <v>10.897435897435898</v>
      </c>
      <c r="E168" s="51">
        <v>0</v>
      </c>
      <c r="F168" s="51">
        <v>0.25</v>
      </c>
      <c r="G168" s="51">
        <v>0.25</v>
      </c>
      <c r="H168" s="51">
        <v>0.5</v>
      </c>
      <c r="I168" s="49">
        <f t="shared" si="6"/>
        <v>4.4871794871794872</v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>
      <c r="A169" s="50">
        <v>35</v>
      </c>
      <c r="B169" s="60">
        <v>76.282051282051285</v>
      </c>
      <c r="C169" s="60">
        <v>4</v>
      </c>
      <c r="D169" s="60">
        <v>12.179487179487179</v>
      </c>
      <c r="E169" s="51">
        <v>0</v>
      </c>
      <c r="F169" s="51">
        <v>0.25</v>
      </c>
      <c r="G169" s="51">
        <v>0.25</v>
      </c>
      <c r="H169" s="51">
        <v>0.5</v>
      </c>
      <c r="I169" s="49">
        <f t="shared" si="6"/>
        <v>4.7435897435897445</v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>
      <c r="A170" s="50">
        <v>40</v>
      </c>
      <c r="B170" s="60">
        <v>87.820512820512818</v>
      </c>
      <c r="C170" s="60">
        <v>5</v>
      </c>
      <c r="D170" s="60">
        <v>12.820512820512819</v>
      </c>
      <c r="E170" s="51">
        <v>0</v>
      </c>
      <c r="F170" s="51">
        <v>0.25</v>
      </c>
      <c r="G170" s="51">
        <v>0.25</v>
      </c>
      <c r="H170" s="51">
        <v>0.5</v>
      </c>
      <c r="I170" s="49">
        <f t="shared" si="6"/>
        <v>4.7435897435897427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>
      <c r="A171" s="50">
        <v>45</v>
      </c>
      <c r="B171" s="60">
        <v>98.717948717948715</v>
      </c>
      <c r="C171" s="60">
        <v>6</v>
      </c>
      <c r="D171" s="60">
        <v>13.461538461538462</v>
      </c>
      <c r="E171" s="51">
        <v>0</v>
      </c>
      <c r="F171" s="51">
        <v>0.25</v>
      </c>
      <c r="G171" s="51">
        <v>0.25</v>
      </c>
      <c r="H171" s="51">
        <v>0.5</v>
      </c>
      <c r="I171" s="49">
        <f t="shared" si="6"/>
        <v>4.7435897435897427</v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>
      <c r="A172" s="50">
        <v>50</v>
      </c>
      <c r="B172" s="60">
        <v>109.61538461538461</v>
      </c>
      <c r="C172" s="60">
        <v>7</v>
      </c>
      <c r="D172" s="60">
        <v>14.102564102564102</v>
      </c>
      <c r="E172" s="51">
        <v>0</v>
      </c>
      <c r="F172" s="51">
        <v>0.25</v>
      </c>
      <c r="G172" s="51">
        <v>0.25</v>
      </c>
      <c r="H172" s="51">
        <v>0.5</v>
      </c>
      <c r="I172" s="49">
        <f t="shared" si="6"/>
        <v>4.8717948717948731</v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>
      <c r="A173" s="50">
        <v>55</v>
      </c>
      <c r="B173" s="50">
        <v>118.58974358974359</v>
      </c>
      <c r="C173" s="50">
        <v>8</v>
      </c>
      <c r="D173" s="50">
        <v>14.102564102564102</v>
      </c>
      <c r="E173" s="51">
        <v>0</v>
      </c>
      <c r="F173" s="51">
        <v>0.25</v>
      </c>
      <c r="G173" s="51">
        <v>0.25</v>
      </c>
      <c r="H173" s="51">
        <v>0.5</v>
      </c>
      <c r="I173" s="49">
        <f t="shared" si="6"/>
        <v>4.6153846153846159</v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>
      <c r="A174" s="50">
        <v>60</v>
      </c>
      <c r="B174" s="50">
        <v>127.56410256410255</v>
      </c>
      <c r="C174" s="50">
        <v>9</v>
      </c>
      <c r="D174" s="50">
        <v>14.102564102564102</v>
      </c>
      <c r="E174" s="51">
        <v>0</v>
      </c>
      <c r="F174" s="51">
        <v>0.25</v>
      </c>
      <c r="G174" s="51">
        <v>0.25</v>
      </c>
      <c r="H174" s="51">
        <v>0.5</v>
      </c>
      <c r="I174" s="49">
        <f t="shared" si="6"/>
        <v>4.6153846153846132</v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>
      <c r="A175" s="50">
        <v>65</v>
      </c>
      <c r="B175" s="50">
        <v>135.89743589743591</v>
      </c>
      <c r="C175" s="50">
        <v>10</v>
      </c>
      <c r="D175" s="50">
        <v>14.102564102564102</v>
      </c>
      <c r="E175" s="51">
        <v>0</v>
      </c>
      <c r="F175" s="51">
        <v>0.25</v>
      </c>
      <c r="G175" s="51">
        <v>0.25</v>
      </c>
      <c r="H175" s="51">
        <v>0.5</v>
      </c>
      <c r="I175" s="49">
        <f t="shared" si="6"/>
        <v>4.4871794871794917</v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>
      <c r="A176" s="50">
        <v>70</v>
      </c>
      <c r="B176" s="50">
        <v>142.94871794871796</v>
      </c>
      <c r="C176" s="50">
        <v>11</v>
      </c>
      <c r="D176" s="50">
        <v>14.102564102564102</v>
      </c>
      <c r="E176" s="51">
        <v>0</v>
      </c>
      <c r="F176" s="51">
        <v>0.25</v>
      </c>
      <c r="G176" s="51">
        <v>0.25</v>
      </c>
      <c r="H176" s="51">
        <v>0.5</v>
      </c>
      <c r="I176" s="49">
        <f t="shared" si="6"/>
        <v>4.2307692307692291</v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>
      <c r="A177" s="50">
        <v>75</v>
      </c>
      <c r="B177" s="50">
        <v>150</v>
      </c>
      <c r="C177" s="50">
        <v>12</v>
      </c>
      <c r="D177" s="50">
        <v>14.102564102564102</v>
      </c>
      <c r="E177" s="51">
        <v>0.25</v>
      </c>
      <c r="F177" s="51">
        <v>0.25</v>
      </c>
      <c r="G177" s="51">
        <v>0.25</v>
      </c>
      <c r="H177" s="51">
        <v>0.25</v>
      </c>
      <c r="I177" s="49">
        <f t="shared" si="6"/>
        <v>4.2307692307692264</v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>
      <c r="A178" s="50">
        <v>80</v>
      </c>
      <c r="B178" s="50">
        <v>155.76923076923075</v>
      </c>
      <c r="C178" s="50">
        <v>13</v>
      </c>
      <c r="D178" s="50">
        <v>13.461538461538462</v>
      </c>
      <c r="E178" s="51">
        <v>0.25</v>
      </c>
      <c r="F178" s="51">
        <v>0.25</v>
      </c>
      <c r="G178" s="51">
        <v>0.25</v>
      </c>
      <c r="H178" s="51">
        <v>0.25</v>
      </c>
      <c r="I178" s="49">
        <f t="shared" si="6"/>
        <v>3.9743589743589665</v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>
      <c r="A179" s="50">
        <v>85</v>
      </c>
      <c r="B179" s="50">
        <v>160.89743589743588</v>
      </c>
      <c r="C179" s="50">
        <v>14</v>
      </c>
      <c r="D179" s="50">
        <v>12.820512820512819</v>
      </c>
      <c r="E179" s="51">
        <v>0.25</v>
      </c>
      <c r="F179" s="51">
        <v>0.25</v>
      </c>
      <c r="G179" s="51">
        <v>0.25</v>
      </c>
      <c r="H179" s="51">
        <v>0.25</v>
      </c>
      <c r="I179" s="49">
        <f t="shared" si="6"/>
        <v>3.7179487179487181</v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>
      <c r="A180" s="50">
        <v>90</v>
      </c>
      <c r="B180" s="50">
        <v>166.02564102564102</v>
      </c>
      <c r="C180" s="50">
        <v>15</v>
      </c>
      <c r="D180" s="50">
        <v>12.820512820512819</v>
      </c>
      <c r="E180" s="51">
        <v>0.25</v>
      </c>
      <c r="F180" s="51">
        <v>0.25</v>
      </c>
      <c r="G180" s="51">
        <v>0.25</v>
      </c>
      <c r="H180" s="51">
        <v>0.25</v>
      </c>
      <c r="I180" s="49">
        <f t="shared" si="6"/>
        <v>3.5897435897435912</v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>
      <c r="A181" s="50">
        <v>95</v>
      </c>
      <c r="B181" s="50">
        <v>170.5128205128205</v>
      </c>
      <c r="C181" s="50">
        <v>16</v>
      </c>
      <c r="D181" s="50">
        <v>12.179487179487179</v>
      </c>
      <c r="E181" s="51">
        <v>0.25</v>
      </c>
      <c r="F181" s="51">
        <v>0.25</v>
      </c>
      <c r="G181" s="51">
        <v>0.25</v>
      </c>
      <c r="H181" s="51">
        <v>0.25</v>
      </c>
      <c r="I181" s="49">
        <f t="shared" si="6"/>
        <v>3.4615384615384586</v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>
      <c r="A182" s="50">
        <v>100</v>
      </c>
      <c r="B182" s="50">
        <v>173.71794871794873</v>
      </c>
      <c r="C182" s="50">
        <v>17</v>
      </c>
      <c r="D182" s="50">
        <v>11.538461538461538</v>
      </c>
      <c r="E182" s="51">
        <v>0.25</v>
      </c>
      <c r="F182" s="51">
        <v>0.25</v>
      </c>
      <c r="G182" s="51">
        <v>0.25</v>
      </c>
      <c r="H182" s="51">
        <v>0.25</v>
      </c>
      <c r="I182" s="49">
        <f t="shared" si="6"/>
        <v>3.0769230769230829</v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>
      <c r="A183" s="50">
        <v>105</v>
      </c>
      <c r="B183" s="50">
        <v>177.56410256410254</v>
      </c>
      <c r="C183" s="50">
        <v>18</v>
      </c>
      <c r="D183" s="50">
        <v>10.897435897435898</v>
      </c>
      <c r="E183" s="51">
        <v>0.25</v>
      </c>
      <c r="F183" s="51">
        <v>0.25</v>
      </c>
      <c r="G183" s="51">
        <v>0.25</v>
      </c>
      <c r="H183" s="51">
        <v>0.25</v>
      </c>
      <c r="I183" s="49">
        <f t="shared" si="6"/>
        <v>3.0769230769230718</v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>
      <c r="A184" s="50">
        <v>110</v>
      </c>
      <c r="B184" s="50">
        <v>180.76923076923077</v>
      </c>
      <c r="C184" s="50">
        <v>19</v>
      </c>
      <c r="D184" s="50">
        <v>10.897435897435898</v>
      </c>
      <c r="E184" s="51">
        <v>0.25</v>
      </c>
      <c r="F184" s="51">
        <v>0.25</v>
      </c>
      <c r="G184" s="51">
        <v>0.25</v>
      </c>
      <c r="H184" s="51">
        <v>0.25</v>
      </c>
      <c r="I184" s="49">
        <f t="shared" si="6"/>
        <v>2.8205128205128291</v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>
      <c r="A185" s="50">
        <v>115</v>
      </c>
      <c r="B185" s="50">
        <v>183.33333333333331</v>
      </c>
      <c r="C185" s="50">
        <v>20</v>
      </c>
      <c r="D185" s="50">
        <f>+B185</f>
        <v>183.33333333333331</v>
      </c>
      <c r="E185" s="51">
        <v>0.25</v>
      </c>
      <c r="F185" s="51">
        <v>0.25</v>
      </c>
      <c r="G185" s="51">
        <v>0.25</v>
      </c>
      <c r="H185" s="51">
        <v>0.25</v>
      </c>
      <c r="I185" s="49">
        <f t="shared" si="6"/>
        <v>2.6923076923076907</v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>
      <c r="A188" s="46" t="s">
        <v>171</v>
      </c>
      <c r="B188" s="52" t="str">
        <f>IF(B15="","",B15)</f>
        <v>Cormier</v>
      </c>
      <c r="C188" s="23" t="s">
        <v>329</v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>
      <c r="A190" s="4"/>
      <c r="B190" s="85" t="s">
        <v>185</v>
      </c>
      <c r="C190" s="263" t="s">
        <v>186</v>
      </c>
      <c r="D190" s="263"/>
      <c r="E190" s="264" t="s">
        <v>187</v>
      </c>
      <c r="F190" s="265"/>
      <c r="G190" s="265"/>
      <c r="H190" s="266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28.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>
      <c r="A192" s="50">
        <v>25</v>
      </c>
      <c r="B192" s="60">
        <v>28.846153846153847</v>
      </c>
      <c r="C192" s="60">
        <v>1</v>
      </c>
      <c r="D192" s="60">
        <v>5.7692307692307692</v>
      </c>
      <c r="E192" s="51">
        <v>0</v>
      </c>
      <c r="F192" s="51">
        <v>0.25</v>
      </c>
      <c r="G192" s="51">
        <v>0.25</v>
      </c>
      <c r="H192" s="51">
        <v>0.5</v>
      </c>
      <c r="I192" s="49">
        <f>IFERROR(B192/A192,"")</f>
        <v>1.153846153846154</v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>
      <c r="A193" s="50">
        <v>30</v>
      </c>
      <c r="B193" s="60">
        <v>33.974358974358978</v>
      </c>
      <c r="C193" s="60">
        <v>2</v>
      </c>
      <c r="D193" s="60">
        <v>5.1282051282051277</v>
      </c>
      <c r="E193" s="51">
        <v>0</v>
      </c>
      <c r="F193" s="51">
        <v>0.25</v>
      </c>
      <c r="G193" s="51">
        <v>0.25</v>
      </c>
      <c r="H193" s="51">
        <v>0.5</v>
      </c>
      <c r="I193" s="49">
        <f t="shared" ref="I193:I211" si="7">IF(A193&lt;&gt;0,(B193-(B192-D192))/(A193-A192),"")</f>
        <v>2.1794871794871802</v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>
      <c r="A194" s="50">
        <v>35</v>
      </c>
      <c r="B194" s="60">
        <v>41.025641025641022</v>
      </c>
      <c r="C194" s="60">
        <v>3</v>
      </c>
      <c r="D194" s="60">
        <v>5.7692307692307692</v>
      </c>
      <c r="E194" s="51">
        <v>0</v>
      </c>
      <c r="F194" s="51">
        <v>0.25</v>
      </c>
      <c r="G194" s="51">
        <v>0.25</v>
      </c>
      <c r="H194" s="51">
        <v>0.5</v>
      </c>
      <c r="I194" s="49">
        <f t="shared" si="7"/>
        <v>2.4358974358974343</v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>
      <c r="A195" s="50">
        <v>40</v>
      </c>
      <c r="B195" s="60">
        <v>48.076923076923073</v>
      </c>
      <c r="C195" s="60">
        <v>4</v>
      </c>
      <c r="D195" s="60">
        <v>5.7692307692307692</v>
      </c>
      <c r="E195" s="51">
        <v>0</v>
      </c>
      <c r="F195" s="51">
        <v>0.25</v>
      </c>
      <c r="G195" s="51">
        <v>0.25</v>
      </c>
      <c r="H195" s="51">
        <v>0.5</v>
      </c>
      <c r="I195" s="49">
        <f t="shared" si="7"/>
        <v>2.5641025641025634</v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>
      <c r="A196" s="50">
        <v>45</v>
      </c>
      <c r="B196" s="60">
        <v>54.487179487179482</v>
      </c>
      <c r="C196" s="60">
        <v>5</v>
      </c>
      <c r="D196" s="60">
        <v>5.7692307692307692</v>
      </c>
      <c r="E196" s="51">
        <v>0</v>
      </c>
      <c r="F196" s="51">
        <v>0.25</v>
      </c>
      <c r="G196" s="51">
        <v>0.25</v>
      </c>
      <c r="H196" s="51">
        <v>0.5</v>
      </c>
      <c r="I196" s="49">
        <f t="shared" si="7"/>
        <v>2.4358974358974352</v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>
      <c r="A197" s="50">
        <v>50</v>
      </c>
      <c r="B197" s="60">
        <v>61.538461538461533</v>
      </c>
      <c r="C197" s="60">
        <v>6</v>
      </c>
      <c r="D197" s="60">
        <v>6.4102564102564097</v>
      </c>
      <c r="E197" s="51">
        <v>0</v>
      </c>
      <c r="F197" s="51">
        <v>0.25</v>
      </c>
      <c r="G197" s="51">
        <v>0.25</v>
      </c>
      <c r="H197" s="51">
        <v>0.5</v>
      </c>
      <c r="I197" s="49">
        <f t="shared" si="7"/>
        <v>2.5641025641025634</v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>
      <c r="A198" s="50">
        <v>55</v>
      </c>
      <c r="B198" s="60">
        <v>67.948717948717942</v>
      </c>
      <c r="C198" s="60">
        <v>7</v>
      </c>
      <c r="D198" s="60">
        <v>6.4102564102564097</v>
      </c>
      <c r="E198" s="51">
        <v>0</v>
      </c>
      <c r="F198" s="51">
        <v>0.25</v>
      </c>
      <c r="G198" s="51">
        <v>0.25</v>
      </c>
      <c r="H198" s="51">
        <v>0.5</v>
      </c>
      <c r="I198" s="49">
        <f t="shared" si="7"/>
        <v>2.5641025641025634</v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>
      <c r="A199" s="50">
        <v>60</v>
      </c>
      <c r="B199" s="50">
        <v>73.717948717948715</v>
      </c>
      <c r="C199" s="50">
        <v>8</v>
      </c>
      <c r="D199" s="50">
        <v>6.4102564102564097</v>
      </c>
      <c r="E199" s="51">
        <v>0</v>
      </c>
      <c r="F199" s="51">
        <v>0.25</v>
      </c>
      <c r="G199" s="51">
        <v>0.25</v>
      </c>
      <c r="H199" s="51">
        <v>0.5</v>
      </c>
      <c r="I199" s="49">
        <f t="shared" si="7"/>
        <v>2.4358974358974366</v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>
      <c r="A200" s="50">
        <v>65</v>
      </c>
      <c r="B200" s="50">
        <v>78.205128205128204</v>
      </c>
      <c r="C200" s="50">
        <v>9</v>
      </c>
      <c r="D200" s="50">
        <v>6.4102564102564097</v>
      </c>
      <c r="E200" s="51">
        <v>0</v>
      </c>
      <c r="F200" s="51">
        <v>0.25</v>
      </c>
      <c r="G200" s="51">
        <v>0.25</v>
      </c>
      <c r="H200" s="51">
        <v>0.5</v>
      </c>
      <c r="I200" s="49">
        <f t="shared" si="7"/>
        <v>2.1794871794871797</v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>
      <c r="A201" s="50">
        <v>70</v>
      </c>
      <c r="B201" s="50">
        <v>83.333333333333329</v>
      </c>
      <c r="C201" s="50">
        <v>10</v>
      </c>
      <c r="D201" s="50">
        <v>6.4102564102564097</v>
      </c>
      <c r="E201" s="51">
        <v>0</v>
      </c>
      <c r="F201" s="51">
        <v>0.25</v>
      </c>
      <c r="G201" s="51">
        <v>0.25</v>
      </c>
      <c r="H201" s="51">
        <v>0.5</v>
      </c>
      <c r="I201" s="49">
        <f t="shared" si="7"/>
        <v>2.3076923076923066</v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>
      <c r="A202" s="50">
        <v>75</v>
      </c>
      <c r="B202" s="50">
        <v>89.102564102564102</v>
      </c>
      <c r="C202" s="50">
        <v>11</v>
      </c>
      <c r="D202" s="50">
        <v>6.4102564102564097</v>
      </c>
      <c r="E202" s="51">
        <v>0</v>
      </c>
      <c r="F202" s="51">
        <v>0.25</v>
      </c>
      <c r="G202" s="51">
        <v>0.25</v>
      </c>
      <c r="H202" s="51">
        <v>0.5</v>
      </c>
      <c r="I202" s="49">
        <f t="shared" si="7"/>
        <v>2.4358974358974366</v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>
      <c r="A203" s="50">
        <v>80</v>
      </c>
      <c r="B203" s="50">
        <v>93.589743589743591</v>
      </c>
      <c r="C203" s="50">
        <v>12</v>
      </c>
      <c r="D203" s="50">
        <v>5.7692307692307692</v>
      </c>
      <c r="E203" s="51">
        <v>0</v>
      </c>
      <c r="F203" s="51">
        <v>0.25</v>
      </c>
      <c r="G203" s="51">
        <v>0.25</v>
      </c>
      <c r="H203" s="51">
        <v>0.5</v>
      </c>
      <c r="I203" s="49">
        <f t="shared" si="7"/>
        <v>2.1794871794871797</v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>
      <c r="A204" s="50">
        <v>85</v>
      </c>
      <c r="B204" s="50">
        <v>97.435897435897431</v>
      </c>
      <c r="C204" s="50">
        <v>13</v>
      </c>
      <c r="D204" s="50">
        <v>5.7692307692307692</v>
      </c>
      <c r="E204" s="51">
        <v>0</v>
      </c>
      <c r="F204" s="51">
        <v>0.25</v>
      </c>
      <c r="G204" s="51">
        <v>0.25</v>
      </c>
      <c r="H204" s="51">
        <v>0.5</v>
      </c>
      <c r="I204" s="49">
        <f t="shared" si="7"/>
        <v>1.9230769230769227</v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>
      <c r="A205" s="50">
        <v>90</v>
      </c>
      <c r="B205" s="50">
        <v>101.92307692307692</v>
      </c>
      <c r="C205" s="50">
        <v>14</v>
      </c>
      <c r="D205" s="50">
        <v>5.7692307692307692</v>
      </c>
      <c r="E205" s="51">
        <v>0</v>
      </c>
      <c r="F205" s="51">
        <v>0.25</v>
      </c>
      <c r="G205" s="51">
        <v>0.25</v>
      </c>
      <c r="H205" s="51">
        <v>0.5</v>
      </c>
      <c r="I205" s="49">
        <f t="shared" si="7"/>
        <v>2.0512820512820524</v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>
      <c r="A206" s="50">
        <v>95</v>
      </c>
      <c r="B206" s="50">
        <v>105.12820512820512</v>
      </c>
      <c r="C206" s="50">
        <v>15</v>
      </c>
      <c r="D206" s="50">
        <v>5.7692307692307692</v>
      </c>
      <c r="E206" s="51">
        <v>0</v>
      </c>
      <c r="F206" s="51">
        <v>0.25</v>
      </c>
      <c r="G206" s="51">
        <v>0.25</v>
      </c>
      <c r="H206" s="51">
        <v>0.5</v>
      </c>
      <c r="I206" s="49">
        <f t="shared" si="7"/>
        <v>1.7948717948717956</v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>
      <c r="A207" s="50">
        <v>100</v>
      </c>
      <c r="B207" s="50">
        <v>108.97435897435898</v>
      </c>
      <c r="C207" s="50">
        <v>16</v>
      </c>
      <c r="D207" s="50">
        <v>5.7692307692307692</v>
      </c>
      <c r="E207" s="51">
        <v>0</v>
      </c>
      <c r="F207" s="51">
        <v>0.25</v>
      </c>
      <c r="G207" s="51">
        <v>0.25</v>
      </c>
      <c r="H207" s="51">
        <v>0.5</v>
      </c>
      <c r="I207" s="49">
        <f t="shared" si="7"/>
        <v>1.9230769230769256</v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>
      <c r="A208" s="50">
        <v>105</v>
      </c>
      <c r="B208" s="50">
        <v>112.82051282051282</v>
      </c>
      <c r="C208" s="50">
        <v>17</v>
      </c>
      <c r="D208" s="50">
        <v>6.4102564102564097</v>
      </c>
      <c r="E208" s="51">
        <v>0</v>
      </c>
      <c r="F208" s="51">
        <v>0.25</v>
      </c>
      <c r="G208" s="51">
        <v>0.25</v>
      </c>
      <c r="H208" s="51">
        <v>0.5</v>
      </c>
      <c r="I208" s="49">
        <f t="shared" si="7"/>
        <v>1.9230769230769227</v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>
      <c r="A209" s="50">
        <v>110</v>
      </c>
      <c r="B209" s="50">
        <v>116.02564102564102</v>
      </c>
      <c r="C209" s="50">
        <v>18</v>
      </c>
      <c r="D209" s="50">
        <v>6.4102564102564097</v>
      </c>
      <c r="E209" s="51">
        <v>0</v>
      </c>
      <c r="F209" s="51">
        <v>0.25</v>
      </c>
      <c r="G209" s="51">
        <v>0.25</v>
      </c>
      <c r="H209" s="51">
        <v>0.5</v>
      </c>
      <c r="I209" s="49">
        <f t="shared" si="7"/>
        <v>1.9230769230769227</v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>
      <c r="A210" s="50">
        <v>115</v>
      </c>
      <c r="B210" s="50">
        <v>119.23076923076923</v>
      </c>
      <c r="C210" s="50">
        <v>19</v>
      </c>
      <c r="D210" s="50">
        <v>6.4102564102564097</v>
      </c>
      <c r="E210" s="51">
        <v>0</v>
      </c>
      <c r="F210" s="51">
        <v>0.25</v>
      </c>
      <c r="G210" s="51">
        <v>0.25</v>
      </c>
      <c r="H210" s="51">
        <v>0.5</v>
      </c>
      <c r="I210" s="49">
        <f t="shared" si="7"/>
        <v>1.9230769230769227</v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>
      <c r="A211" s="50">
        <v>120</v>
      </c>
      <c r="B211" s="50">
        <v>122.43589743589743</v>
      </c>
      <c r="C211" s="50">
        <v>20</v>
      </c>
      <c r="D211" s="50">
        <v>122.43589743589743</v>
      </c>
      <c r="E211" s="51">
        <v>0.25</v>
      </c>
      <c r="F211" s="51">
        <v>0.25</v>
      </c>
      <c r="G211" s="51">
        <v>0.25</v>
      </c>
      <c r="H211" s="51">
        <v>0.25</v>
      </c>
      <c r="I211" s="49">
        <f t="shared" si="7"/>
        <v>1.9230769230769227</v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>
      <c r="A214" s="46" t="s">
        <v>172</v>
      </c>
      <c r="B214" s="52" t="str">
        <f>IF(B16="","",B16)</f>
        <v>Alisier torminal</v>
      </c>
      <c r="C214" s="23" t="s">
        <v>329</v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>
      <c r="A216" s="4"/>
      <c r="B216" s="85" t="s">
        <v>185</v>
      </c>
      <c r="C216" s="263" t="s">
        <v>186</v>
      </c>
      <c r="D216" s="263"/>
      <c r="E216" s="264" t="s">
        <v>187</v>
      </c>
      <c r="F216" s="265"/>
      <c r="G216" s="265"/>
      <c r="H216" s="266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28.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>
      <c r="A218" s="50">
        <v>25</v>
      </c>
      <c r="B218" s="60">
        <v>28.846153846153847</v>
      </c>
      <c r="C218" s="50">
        <v>1</v>
      </c>
      <c r="D218" s="60">
        <v>5.7692307692307692</v>
      </c>
      <c r="E218" s="63">
        <v>0</v>
      </c>
      <c r="F218" s="63">
        <v>0.25</v>
      </c>
      <c r="G218" s="63">
        <v>0.25</v>
      </c>
      <c r="H218" s="63">
        <v>0.5</v>
      </c>
      <c r="I218" s="53">
        <f>IFERROR(B218/A218,"")</f>
        <v>1.153846153846154</v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>
      <c r="A219" s="50">
        <v>30</v>
      </c>
      <c r="B219" s="60">
        <v>33.974358974358978</v>
      </c>
      <c r="C219" s="50">
        <v>2</v>
      </c>
      <c r="D219" s="60">
        <v>5.1282051282051277</v>
      </c>
      <c r="E219" s="63">
        <v>0</v>
      </c>
      <c r="F219" s="63">
        <v>0.25</v>
      </c>
      <c r="G219" s="63">
        <v>0.25</v>
      </c>
      <c r="H219" s="63">
        <v>0.5</v>
      </c>
      <c r="I219" s="53">
        <f t="shared" ref="I219:I237" si="8">IF(A219&lt;&gt;0,(B219-(B218-D218))/(A219-A218),"")</f>
        <v>2.1794871794871802</v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>
      <c r="A220" s="50">
        <v>35</v>
      </c>
      <c r="B220" s="60">
        <v>41.025641025641022</v>
      </c>
      <c r="C220" s="50">
        <v>3</v>
      </c>
      <c r="D220" s="60">
        <v>5.7692307692307692</v>
      </c>
      <c r="E220" s="63">
        <v>0</v>
      </c>
      <c r="F220" s="63">
        <v>0.25</v>
      </c>
      <c r="G220" s="63">
        <v>0.25</v>
      </c>
      <c r="H220" s="63">
        <v>0.5</v>
      </c>
      <c r="I220" s="53">
        <f t="shared" si="8"/>
        <v>2.4358974358974343</v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>
      <c r="A221" s="55">
        <v>40</v>
      </c>
      <c r="B221" s="55">
        <v>48.076923076923073</v>
      </c>
      <c r="C221" s="55">
        <v>4</v>
      </c>
      <c r="D221" s="55">
        <v>5.7692307692307692</v>
      </c>
      <c r="E221" s="63">
        <v>0</v>
      </c>
      <c r="F221" s="63">
        <v>0.25</v>
      </c>
      <c r="G221" s="63">
        <v>0.25</v>
      </c>
      <c r="H221" s="63">
        <v>0.5</v>
      </c>
      <c r="I221" s="53">
        <f t="shared" si="8"/>
        <v>2.5641025641025634</v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>
      <c r="A222" s="55">
        <v>45</v>
      </c>
      <c r="B222" s="55">
        <v>54.487179487179482</v>
      </c>
      <c r="C222" s="55">
        <v>5</v>
      </c>
      <c r="D222" s="55">
        <v>5.7692307692307692</v>
      </c>
      <c r="E222" s="63">
        <v>0</v>
      </c>
      <c r="F222" s="63">
        <v>0.25</v>
      </c>
      <c r="G222" s="63">
        <v>0.25</v>
      </c>
      <c r="H222" s="63">
        <v>0.5</v>
      </c>
      <c r="I222" s="53">
        <f t="shared" si="8"/>
        <v>2.4358974358974352</v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>
      <c r="A223" s="55">
        <v>50</v>
      </c>
      <c r="B223" s="55">
        <v>61.538461538461533</v>
      </c>
      <c r="C223" s="55">
        <v>6</v>
      </c>
      <c r="D223" s="55">
        <v>6.4102564102564097</v>
      </c>
      <c r="E223" s="63">
        <v>0</v>
      </c>
      <c r="F223" s="63">
        <v>0.25</v>
      </c>
      <c r="G223" s="63">
        <v>0.25</v>
      </c>
      <c r="H223" s="63">
        <v>0.5</v>
      </c>
      <c r="I223" s="53">
        <f t="shared" si="8"/>
        <v>2.5641025641025634</v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>
      <c r="A224" s="55">
        <v>55</v>
      </c>
      <c r="B224" s="55">
        <v>67.948717948717942</v>
      </c>
      <c r="C224" s="55">
        <v>7</v>
      </c>
      <c r="D224" s="55">
        <v>6.4102564102564097</v>
      </c>
      <c r="E224" s="63">
        <v>0</v>
      </c>
      <c r="F224" s="63">
        <v>0.25</v>
      </c>
      <c r="G224" s="63">
        <v>0.25</v>
      </c>
      <c r="H224" s="63">
        <v>0.5</v>
      </c>
      <c r="I224" s="53">
        <f t="shared" si="8"/>
        <v>2.5641025641025634</v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>
      <c r="A225" s="55">
        <v>60</v>
      </c>
      <c r="B225" s="55">
        <v>73.717948717948715</v>
      </c>
      <c r="C225" s="55">
        <v>8</v>
      </c>
      <c r="D225" s="55">
        <v>6.4102564102564097</v>
      </c>
      <c r="E225" s="63">
        <v>0</v>
      </c>
      <c r="F225" s="63">
        <v>0.25</v>
      </c>
      <c r="G225" s="63">
        <v>0.25</v>
      </c>
      <c r="H225" s="63">
        <v>0.5</v>
      </c>
      <c r="I225" s="53">
        <f t="shared" si="8"/>
        <v>2.4358974358974366</v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>
      <c r="A226" s="55">
        <v>65</v>
      </c>
      <c r="B226" s="55">
        <v>78.205128205128204</v>
      </c>
      <c r="C226" s="55">
        <v>9</v>
      </c>
      <c r="D226" s="55">
        <v>6.4102564102564097</v>
      </c>
      <c r="E226" s="63">
        <v>0</v>
      </c>
      <c r="F226" s="63">
        <v>0.25</v>
      </c>
      <c r="G226" s="63">
        <v>0.25</v>
      </c>
      <c r="H226" s="63">
        <v>0.5</v>
      </c>
      <c r="I226" s="53">
        <f t="shared" si="8"/>
        <v>2.1794871794871797</v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>
      <c r="A227" s="55">
        <v>70</v>
      </c>
      <c r="B227" s="55">
        <v>83.333333333333329</v>
      </c>
      <c r="C227" s="55">
        <v>10</v>
      </c>
      <c r="D227" s="55">
        <v>6.4102564102564097</v>
      </c>
      <c r="E227" s="63">
        <v>0</v>
      </c>
      <c r="F227" s="63">
        <v>0.25</v>
      </c>
      <c r="G227" s="63">
        <v>0.25</v>
      </c>
      <c r="H227" s="63">
        <v>0.5</v>
      </c>
      <c r="I227" s="53">
        <f t="shared" si="8"/>
        <v>2.3076923076923066</v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>
      <c r="A228" s="55">
        <v>75</v>
      </c>
      <c r="B228" s="55">
        <v>89.102564102564102</v>
      </c>
      <c r="C228" s="55">
        <v>11</v>
      </c>
      <c r="D228" s="55">
        <v>6.4102564102564097</v>
      </c>
      <c r="E228" s="63">
        <v>0</v>
      </c>
      <c r="F228" s="63">
        <v>0.25</v>
      </c>
      <c r="G228" s="63">
        <v>0.25</v>
      </c>
      <c r="H228" s="63">
        <v>0.5</v>
      </c>
      <c r="I228" s="53">
        <f t="shared" si="8"/>
        <v>2.4358974358974366</v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>
      <c r="A229" s="55">
        <v>80</v>
      </c>
      <c r="B229" s="55">
        <v>93.589743589743591</v>
      </c>
      <c r="C229" s="55">
        <v>12</v>
      </c>
      <c r="D229" s="55">
        <v>5.7692307692307692</v>
      </c>
      <c r="E229" s="63">
        <v>0</v>
      </c>
      <c r="F229" s="63">
        <v>0.25</v>
      </c>
      <c r="G229" s="63">
        <v>0.25</v>
      </c>
      <c r="H229" s="63">
        <v>0.5</v>
      </c>
      <c r="I229" s="53">
        <f t="shared" si="8"/>
        <v>2.1794871794871797</v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>
      <c r="A230" s="55">
        <v>85</v>
      </c>
      <c r="B230" s="55">
        <v>97.435897435897431</v>
      </c>
      <c r="C230" s="55">
        <v>13</v>
      </c>
      <c r="D230" s="55">
        <v>5.7692307692307692</v>
      </c>
      <c r="E230" s="64">
        <v>0</v>
      </c>
      <c r="F230" s="64">
        <v>0.25</v>
      </c>
      <c r="G230" s="64">
        <v>0.25</v>
      </c>
      <c r="H230" s="64">
        <v>0.5</v>
      </c>
      <c r="I230" s="53">
        <f t="shared" si="8"/>
        <v>1.9230769230769227</v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>
      <c r="A231" s="88">
        <v>90</v>
      </c>
      <c r="B231" s="60">
        <v>101.92307692307692</v>
      </c>
      <c r="C231" s="88">
        <v>14</v>
      </c>
      <c r="D231" s="60">
        <v>5.7692307692307692</v>
      </c>
      <c r="E231" s="54">
        <v>0</v>
      </c>
      <c r="F231" s="54">
        <v>0.25</v>
      </c>
      <c r="G231" s="54">
        <v>0.25</v>
      </c>
      <c r="H231" s="54">
        <v>0.5</v>
      </c>
      <c r="I231" s="53">
        <f t="shared" si="8"/>
        <v>2.0512820512820524</v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>
      <c r="A232" s="50">
        <v>95</v>
      </c>
      <c r="B232" s="50">
        <v>105.12820512820512</v>
      </c>
      <c r="C232" s="50">
        <v>15</v>
      </c>
      <c r="D232" s="50">
        <v>5.7692307692307692</v>
      </c>
      <c r="E232" s="54">
        <v>0</v>
      </c>
      <c r="F232" s="54">
        <v>0.25</v>
      </c>
      <c r="G232" s="54">
        <v>0.25</v>
      </c>
      <c r="H232" s="54">
        <v>0.5</v>
      </c>
      <c r="I232" s="53">
        <f t="shared" si="8"/>
        <v>1.7948717948717956</v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>
      <c r="A233" s="50">
        <v>100</v>
      </c>
      <c r="B233" s="50">
        <v>108.97435897435898</v>
      </c>
      <c r="C233" s="50">
        <v>16</v>
      </c>
      <c r="D233" s="50">
        <v>5.7692307692307692</v>
      </c>
      <c r="E233" s="54">
        <v>0</v>
      </c>
      <c r="F233" s="54">
        <v>0.25</v>
      </c>
      <c r="G233" s="54">
        <v>0.25</v>
      </c>
      <c r="H233" s="54">
        <v>0.5</v>
      </c>
      <c r="I233" s="53">
        <f t="shared" si="8"/>
        <v>1.9230769230769256</v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>
      <c r="A234" s="50">
        <v>105</v>
      </c>
      <c r="B234" s="50">
        <v>112.82051282051282</v>
      </c>
      <c r="C234" s="50">
        <v>17</v>
      </c>
      <c r="D234" s="50">
        <v>6.4102564102564097</v>
      </c>
      <c r="E234" s="54">
        <v>0</v>
      </c>
      <c r="F234" s="54">
        <v>0.25</v>
      </c>
      <c r="G234" s="54">
        <v>0.25</v>
      </c>
      <c r="H234" s="54">
        <v>0.5</v>
      </c>
      <c r="I234" s="53">
        <f t="shared" si="8"/>
        <v>1.9230769230769227</v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>
      <c r="A235" s="50">
        <v>110</v>
      </c>
      <c r="B235" s="50">
        <v>116.02564102564102</v>
      </c>
      <c r="C235" s="50">
        <v>18</v>
      </c>
      <c r="D235" s="50">
        <v>6.4102564102564097</v>
      </c>
      <c r="E235" s="54">
        <v>0</v>
      </c>
      <c r="F235" s="54">
        <v>0.25</v>
      </c>
      <c r="G235" s="54">
        <v>0.25</v>
      </c>
      <c r="H235" s="54">
        <v>0.5</v>
      </c>
      <c r="I235" s="53">
        <f t="shared" si="8"/>
        <v>1.9230769230769227</v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>
      <c r="A236" s="50">
        <v>115</v>
      </c>
      <c r="B236" s="50">
        <v>119.23076923076923</v>
      </c>
      <c r="C236" s="50">
        <v>19</v>
      </c>
      <c r="D236" s="50">
        <v>6.4102564102564097</v>
      </c>
      <c r="E236" s="54">
        <v>0</v>
      </c>
      <c r="F236" s="54">
        <v>0.25</v>
      </c>
      <c r="G236" s="54">
        <v>0.25</v>
      </c>
      <c r="H236" s="54">
        <v>0.5</v>
      </c>
      <c r="I236" s="53">
        <f t="shared" si="8"/>
        <v>1.9230769230769227</v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>
      <c r="A237" s="50">
        <v>120</v>
      </c>
      <c r="B237" s="50">
        <v>122.43589743589743</v>
      </c>
      <c r="C237" s="50">
        <v>20</v>
      </c>
      <c r="D237" s="50">
        <v>122.43589743589743</v>
      </c>
      <c r="E237" s="54">
        <v>0.25</v>
      </c>
      <c r="F237" s="54">
        <v>0.25</v>
      </c>
      <c r="G237" s="54">
        <v>0.25</v>
      </c>
      <c r="H237" s="54">
        <v>0.25</v>
      </c>
      <c r="I237" s="53">
        <f t="shared" si="8"/>
        <v>1.9230769230769227</v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>
      <c r="A242" s="4"/>
      <c r="B242" s="85" t="s">
        <v>185</v>
      </c>
      <c r="C242" s="263" t="s">
        <v>186</v>
      </c>
      <c r="D242" s="263"/>
      <c r="E242" s="264" t="s">
        <v>187</v>
      </c>
      <c r="F242" s="265"/>
      <c r="G242" s="265"/>
      <c r="H242" s="266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28.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>
      <c r="A268" s="4"/>
      <c r="B268" s="85" t="s">
        <v>185</v>
      </c>
      <c r="C268" s="263" t="s">
        <v>186</v>
      </c>
      <c r="D268" s="263"/>
      <c r="E268" s="264" t="s">
        <v>187</v>
      </c>
      <c r="F268" s="265"/>
      <c r="G268" s="265"/>
      <c r="H268" s="266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28.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E17" sqref="E17"/>
    </sheetView>
  </sheetViews>
  <sheetFormatPr baseColWidth="10" defaultColWidth="11.46484375" defaultRowHeight="14.25"/>
  <cols>
    <col min="1" max="1" width="5.9296875" style="1" customWidth="1"/>
    <col min="2" max="2" width="14.06640625" style="1" customWidth="1"/>
    <col min="3" max="3" width="62.0664062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6484375" style="1"/>
    <col min="11" max="11" width="12.53125" style="1" customWidth="1"/>
    <col min="12" max="16384" width="11.46484375" style="1"/>
  </cols>
  <sheetData>
    <row r="1" spans="1:38" ht="14.65" thickBot="1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5.9" thickBot="1">
      <c r="A2" s="4"/>
      <c r="B2" s="259" t="s">
        <v>191</v>
      </c>
      <c r="C2" s="260"/>
      <c r="D2" s="260"/>
      <c r="E2" s="260"/>
      <c r="F2" s="260"/>
      <c r="G2" s="261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>
      <c r="A4" s="4"/>
      <c r="B4" s="258"/>
      <c r="C4" s="258"/>
      <c r="D4" s="258"/>
      <c r="E4" s="258"/>
      <c r="F4" s="258"/>
      <c r="G4" s="258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>
      <c r="A8" s="105">
        <v>1</v>
      </c>
      <c r="B8" s="61">
        <v>0.94</v>
      </c>
      <c r="C8" s="49" t="s">
        <v>177</v>
      </c>
      <c r="D8" s="23"/>
      <c r="E8" s="105">
        <v>4</v>
      </c>
      <c r="F8" s="61">
        <v>0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>
      <c r="A9" s="105">
        <v>2</v>
      </c>
      <c r="B9" s="61">
        <v>0.06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>
      <c r="A15" s="23"/>
      <c r="B15" s="26" t="s">
        <v>295</v>
      </c>
      <c r="C15" s="4"/>
      <c r="D15" s="23"/>
      <c r="E15" s="4"/>
      <c r="F15" s="4"/>
      <c r="G15" s="2" t="s">
        <v>149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>
      <c r="A16" s="23"/>
      <c r="B16" s="61">
        <v>0.94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>
      <c r="A19" s="23"/>
      <c r="B19" s="106">
        <f>SUM(B16:B18)</f>
        <v>0.94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>
      <c r="C104" s="4"/>
      <c r="F104" s="4"/>
    </row>
    <row r="105" spans="3:35">
      <c r="C105" s="4"/>
      <c r="F105" s="4"/>
    </row>
    <row r="106" spans="3:35">
      <c r="C106" s="4"/>
      <c r="F106" s="4"/>
    </row>
    <row r="107" spans="3:35">
      <c r="C107" s="4"/>
      <c r="F107" s="4"/>
    </row>
    <row r="108" spans="3:35">
      <c r="C108" s="4"/>
      <c r="F108" s="4"/>
    </row>
    <row r="109" spans="3:35">
      <c r="C109" s="4"/>
      <c r="F109" s="4"/>
    </row>
    <row r="110" spans="3:35">
      <c r="C110" s="4"/>
      <c r="F110" s="4"/>
    </row>
    <row r="111" spans="3:35">
      <c r="C111" s="4"/>
      <c r="F111" s="4"/>
    </row>
    <row r="112" spans="3:35">
      <c r="C112" s="4"/>
      <c r="F112" s="4"/>
    </row>
    <row r="113" spans="3:6">
      <c r="C113" s="4"/>
      <c r="F113" s="4"/>
    </row>
    <row r="114" spans="3:6">
      <c r="C114" s="4"/>
      <c r="F114" s="4"/>
    </row>
    <row r="115" spans="3:6">
      <c r="C115" s="4"/>
      <c r="F115" s="4"/>
    </row>
    <row r="116" spans="3:6">
      <c r="C116" s="4"/>
      <c r="F116" s="4"/>
    </row>
    <row r="117" spans="3:6">
      <c r="C117" s="4"/>
      <c r="F117" s="4"/>
    </row>
    <row r="118" spans="3:6">
      <c r="C118" s="4"/>
      <c r="F118" s="4"/>
    </row>
    <row r="119" spans="3:6">
      <c r="C119" s="4"/>
      <c r="F119" s="4"/>
    </row>
    <row r="120" spans="3:6">
      <c r="C120" s="4"/>
      <c r="F120" s="4"/>
    </row>
    <row r="121" spans="3:6">
      <c r="C121" s="4"/>
      <c r="F121" s="4"/>
    </row>
    <row r="122" spans="3:6">
      <c r="C122" s="4"/>
      <c r="F122" s="4"/>
    </row>
    <row r="123" spans="3:6">
      <c r="C123" s="4"/>
      <c r="F123" s="4"/>
    </row>
    <row r="124" spans="3:6">
      <c r="C124" s="4"/>
      <c r="F124" s="4"/>
    </row>
    <row r="125" spans="3:6">
      <c r="C125" s="4"/>
      <c r="F125" s="4"/>
    </row>
    <row r="126" spans="3:6">
      <c r="C126" s="4"/>
      <c r="F126" s="4"/>
    </row>
    <row r="127" spans="3:6">
      <c r="C127" s="4"/>
      <c r="F127" s="4"/>
    </row>
    <row r="128" spans="3:6">
      <c r="C128" s="4"/>
      <c r="F128" s="4"/>
    </row>
    <row r="129" spans="3:6">
      <c r="C129" s="4"/>
      <c r="F129" s="4"/>
    </row>
    <row r="130" spans="3:6">
      <c r="C130" s="4"/>
      <c r="F130" s="4"/>
    </row>
    <row r="131" spans="3:6">
      <c r="C131" s="4"/>
      <c r="F131" s="4"/>
    </row>
    <row r="132" spans="3:6">
      <c r="F132" s="4"/>
    </row>
    <row r="133" spans="3:6">
      <c r="F133" s="4"/>
    </row>
    <row r="134" spans="3:6">
      <c r="F134" s="4"/>
    </row>
    <row r="135" spans="3:6">
      <c r="F135" s="4"/>
    </row>
    <row r="136" spans="3:6">
      <c r="F136" s="4"/>
    </row>
    <row r="137" spans="3:6">
      <c r="F137" s="4"/>
    </row>
    <row r="138" spans="3:6">
      <c r="F138" s="4"/>
    </row>
    <row r="139" spans="3:6">
      <c r="F139" s="4"/>
    </row>
    <row r="140" spans="3:6">
      <c r="F140" s="4"/>
    </row>
    <row r="141" spans="3:6">
      <c r="F141" s="4"/>
    </row>
    <row r="142" spans="3:6">
      <c r="F142" s="4"/>
    </row>
    <row r="143" spans="3:6">
      <c r="F143" s="4"/>
    </row>
    <row r="144" spans="3:6">
      <c r="F144" s="4"/>
    </row>
    <row r="145" spans="6:6">
      <c r="F145" s="4"/>
    </row>
    <row r="146" spans="6:6">
      <c r="F146" s="4"/>
    </row>
    <row r="147" spans="6:6">
      <c r="F147" s="4"/>
    </row>
    <row r="148" spans="6:6">
      <c r="F148" s="4"/>
    </row>
    <row r="149" spans="6:6">
      <c r="F149" s="4"/>
    </row>
    <row r="150" spans="6:6">
      <c r="F150" s="4"/>
    </row>
    <row r="151" spans="6:6">
      <c r="F151" s="4"/>
    </row>
    <row r="152" spans="6:6">
      <c r="F152" s="4"/>
    </row>
    <row r="153" spans="6:6">
      <c r="F153" s="4"/>
    </row>
    <row r="154" spans="6:6">
      <c r="F154" s="4"/>
    </row>
    <row r="155" spans="6:6">
      <c r="F155" s="4"/>
    </row>
    <row r="156" spans="6:6">
      <c r="F156" s="4"/>
    </row>
    <row r="157" spans="6:6">
      <c r="F157" s="4"/>
    </row>
    <row r="158" spans="6:6">
      <c r="F158" s="4"/>
    </row>
    <row r="159" spans="6:6">
      <c r="F159" s="4"/>
    </row>
    <row r="160" spans="6:6">
      <c r="F160" s="4"/>
    </row>
    <row r="161" spans="6:6">
      <c r="F161" s="4"/>
    </row>
    <row r="162" spans="6:6">
      <c r="F162" s="4"/>
    </row>
    <row r="163" spans="6:6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70" zoomScaleNormal="70" workbookViewId="0">
      <selection activeCell="Q42" sqref="A39:Q42"/>
    </sheetView>
  </sheetViews>
  <sheetFormatPr baseColWidth="10" defaultColWidth="11.46484375" defaultRowHeight="14.25"/>
  <cols>
    <col min="1" max="1" width="22.9296875" style="1" bestFit="1" customWidth="1"/>
    <col min="2" max="2" width="10.53125" style="1" bestFit="1" customWidth="1"/>
    <col min="3" max="3" width="15.53125" style="1" bestFit="1" customWidth="1"/>
    <col min="4" max="4" width="13.46484375" style="1" bestFit="1" customWidth="1"/>
    <col min="5" max="8" width="11.46484375" style="1"/>
    <col min="9" max="13" width="11.46484375" style="62"/>
    <col min="14" max="15" width="11.46484375" style="1"/>
    <col min="16" max="17" width="13.46484375" style="1" customWidth="1"/>
    <col min="18" max="16384" width="11.46484375" style="1"/>
  </cols>
  <sheetData>
    <row r="1" spans="1:62" ht="14.65" thickBo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5.9" thickBot="1">
      <c r="A2" s="259" t="s">
        <v>271</v>
      </c>
      <c r="B2" s="260"/>
      <c r="C2" s="260"/>
      <c r="D2" s="260"/>
      <c r="E2" s="260"/>
      <c r="F2" s="260"/>
      <c r="G2" s="260"/>
      <c r="H2" s="260"/>
      <c r="I2" s="260"/>
      <c r="J2" s="260"/>
      <c r="K2" s="260"/>
      <c r="L2" s="261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4.65" thickBot="1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57.4" thickBot="1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>
      <c r="A6" s="145" t="str">
        <f>IF('Données projet'!$B$9="","",'Données projet'!$B$9)</f>
        <v>Pin laricio</v>
      </c>
      <c r="B6" s="146">
        <f>'Données projet'!D9</f>
        <v>6.468</v>
      </c>
      <c r="C6" s="147">
        <f ca="1">IF(OR('Données projet'!B9="",'Données projet'!C9="",'Données projet'!C9=0%),0,Calculateur!S3)</f>
        <v>366.93249569585623</v>
      </c>
      <c r="D6" s="147">
        <f>IF(OR('Données projet'!B9="",'Données projet'!C9="",'Données projet'!C9=0%),0,Calculateur!T3)</f>
        <v>272.47262353368501</v>
      </c>
      <c r="E6" s="147">
        <f ca="1">MIN(C6,D6)</f>
        <v>272.47262353368501</v>
      </c>
      <c r="F6" s="147">
        <f ca="1">E6*B6</f>
        <v>1762.3529290158747</v>
      </c>
      <c r="G6" s="147">
        <f ca="1">F6*(100%-'Données projet'!$C$24)*(100%-'Données projet'!$C$25)*(100%-'Données projet'!$C$26)*(100%-'Données projet'!$C$27)</f>
        <v>1348.1999906971441</v>
      </c>
      <c r="H6" s="148">
        <f>IF(OR('Données projet'!B9="",'Données projet'!C9="",'Données projet'!C9=0%),0,AVERAGE(Calculateur!$AC$3:$AC$33)*B6)</f>
        <v>40.994190473675744</v>
      </c>
      <c r="I6" s="149">
        <f>H6*(100%-'Données projet'!$C$24)*(100%-'Données projet'!$C$25)*(100%-'Données projet'!$C$26)*(100%-'Données projet'!$C$27)</f>
        <v>31.360555712361943</v>
      </c>
      <c r="J6" s="150">
        <f>IF(OR('Données projet'!B9="",'Données projet'!C9="",'Données projet'!C9=0%),0,SUM(Calculateur!$V$3:$V$33)*VLOOKUP('Données projet'!$B$9,Paramètres!$A$1:$I$89,9,0)*B6)</f>
        <v>251.84128199999998</v>
      </c>
      <c r="K6" s="151">
        <f>J6*(100%-'Données projet'!$C$24)*(100%-'Données projet'!$C$25)*(100%-'Données projet'!$C$26)*(100%-'Données projet'!$C$27)</f>
        <v>192.65858072999998</v>
      </c>
      <c r="L6" s="152">
        <f ca="1">G6+I6+K6</f>
        <v>1572.2191271395061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>
      <c r="A7" s="153" t="str">
        <f>IF('Données projet'!$B$10="","",'Données projet'!$B$10)</f>
        <v>Cèdre de l'Atlas</v>
      </c>
      <c r="B7" s="154">
        <f>'Données projet'!D10</f>
        <v>5.2919999999999998</v>
      </c>
      <c r="C7" s="147">
        <f ca="1">IF(OR('Données projet'!B10="",'Données projet'!C10="",'Données projet'!C10=0%),0,Calculateur!AN3)</f>
        <v>382.89338473200229</v>
      </c>
      <c r="D7" s="147">
        <f>IF(OR('Données projet'!B10="",'Données projet'!C10="",'Données projet'!C10=0%),0,Calculateur!AO3)</f>
        <v>360.46248248971744</v>
      </c>
      <c r="E7" s="147">
        <f t="shared" ref="E7:E15" ca="1" si="0">MIN(C7,D7)</f>
        <v>360.46248248971744</v>
      </c>
      <c r="F7" s="147">
        <f t="shared" ref="F7:F15" ca="1" si="1">E7*B7</f>
        <v>1907.5674573355845</v>
      </c>
      <c r="G7" s="147">
        <f ca="1">F7*(100%-'Données projet'!$C$24)*(100%-'Données projet'!$C$25)*(100%-'Données projet'!$C$26)*(100%-'Données projet'!$C$27)</f>
        <v>1459.2891048617223</v>
      </c>
      <c r="H7" s="155">
        <f>IF(OR('Données projet'!B10="",'Données projet'!C10="",'Données projet'!C10=0%),0,AVERAGE(Calculateur!$AX$3:$AX$33)*B7)</f>
        <v>0</v>
      </c>
      <c r="I7" s="149">
        <f>H7*(100%-'Données projet'!$C$24)*(100%-'Données projet'!$C$25)*(100%-'Données projet'!$C$26)*(100%-'Données projet'!$C$27)</f>
        <v>0</v>
      </c>
      <c r="J7" s="150">
        <f>IF(OR('Données projet'!B10="",'Données projet'!C10="",'Données projet'!C10=0%),0,SUM(Calculateur!$AQ$3:$AQ$33)*VLOOKUP('Données projet'!$B$10,Paramètres!$A$1:$I$89,9,0)*B7)</f>
        <v>0</v>
      </c>
      <c r="K7" s="151">
        <f>J7*(100%-'Données projet'!$C$24)*(100%-'Données projet'!$C$25)*(100%-'Données projet'!$C$26)*(100%-'Données projet'!$C$27)</f>
        <v>0</v>
      </c>
      <c r="L7" s="152">
        <f t="shared" ref="L7:L15" ca="1" si="2">G7+I7+K7</f>
        <v>1459.2891048617223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>
      <c r="A8" s="153" t="str">
        <f>IF('Données projet'!$B$11="","",'Données projet'!$B$11)</f>
        <v>Chêne rouge d'Amérique</v>
      </c>
      <c r="B8" s="154">
        <f>'Données projet'!D11</f>
        <v>0.55004677268475211</v>
      </c>
      <c r="C8" s="147">
        <f ca="1">IF(OR('Données projet'!B11="",'Données projet'!C11="",'Données projet'!C11=0%),0,Calculateur!BI3)</f>
        <v>225.75484198243581</v>
      </c>
      <c r="D8" s="147">
        <f>IF(OR('Données projet'!B11="",'Données projet'!C11="",'Données projet'!C11=0%),0,Calculateur!BJ3)</f>
        <v>199.49566488421061</v>
      </c>
      <c r="E8" s="147">
        <f t="shared" ca="1" si="0"/>
        <v>199.49566488421061</v>
      </c>
      <c r="F8" s="147">
        <f t="shared" ca="1" si="1"/>
        <v>109.73194663415887</v>
      </c>
      <c r="G8" s="147">
        <f ca="1">F8*(100%-'Données projet'!$C$24)*(100%-'Données projet'!$C$25)*(100%-'Données projet'!$C$26)*(100%-'Données projet'!$C$27)</f>
        <v>83.944939175131537</v>
      </c>
      <c r="H8" s="155">
        <f>IF(OR('Données projet'!B11="",'Données projet'!C11="",'Données projet'!C11=0%),0,AVERAGE(Calculateur!$BS$3:$BS$33)*B8)</f>
        <v>0.95330339638666717</v>
      </c>
      <c r="I8" s="149">
        <f>H8*(100%-'Données projet'!$C$24)*(100%-'Données projet'!$C$25)*(100%-'Données projet'!$C$26)*(100%-'Données projet'!$C$27)</f>
        <v>0.72927709823580045</v>
      </c>
      <c r="J8" s="150">
        <f>IF(OR('Données projet'!B11="",'Données projet'!C11="",'Données projet'!C11=0%),0,SUM(Calculateur!$BL$3:$BL$33)*VLOOKUP('Données projet'!$B$11,Paramètres!$A$1:$I$89,9,0)*B8)</f>
        <v>5.9940994459235801</v>
      </c>
      <c r="K8" s="151">
        <f>J8*(100%-'Données projet'!$C$24)*(100%-'Données projet'!$C$25)*(100%-'Données projet'!$C$26)*(100%-'Données projet'!$C$27)</f>
        <v>4.5854860761315388</v>
      </c>
      <c r="L8" s="152">
        <f t="shared" ca="1" si="2"/>
        <v>89.25970234949888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>
      <c r="A9" s="153" t="str">
        <f>IF('Données projet'!$B$12="","",'Données projet'!$B$12)</f>
        <v>Charme</v>
      </c>
      <c r="B9" s="154">
        <f>'Données projet'!D12</f>
        <v>0.55004677268475211</v>
      </c>
      <c r="C9" s="147">
        <f ca="1">IF(OR('Données projet'!B12="",'Données projet'!C12="",'Données projet'!C12=0%),0,Calculateur!CD3)</f>
        <v>413.9352601863377</v>
      </c>
      <c r="D9" s="147">
        <f>IF(OR('Données projet'!B12="",'Données projet'!C12="",'Données projet'!C12=0%),0,Calculateur!CE3)</f>
        <v>255.13997349799286</v>
      </c>
      <c r="E9" s="147">
        <f t="shared" ca="1" si="0"/>
        <v>255.13997349799286</v>
      </c>
      <c r="F9" s="147">
        <f t="shared" ca="1" si="1"/>
        <v>140.33891900544415</v>
      </c>
      <c r="G9" s="147">
        <f ca="1">F9*(100%-'Données projet'!$C$24)*(100%-'Données projet'!$C$25)*(100%-'Données projet'!$C$26)*(100%-'Données projet'!$C$27)</f>
        <v>107.35927303916478</v>
      </c>
      <c r="H9" s="155">
        <f>IF(OR('Données projet'!B12="",'Données projet'!C12="",'Données projet'!C12=0%),0,AVERAGE(Calculateur!$CN$3:$CN$33)*B9)</f>
        <v>0.31040703029957811</v>
      </c>
      <c r="I9" s="149">
        <f>H9*(100%-'Données projet'!$C$24)*(100%-'Données projet'!$C$25)*(100%-'Données projet'!$C$26)*(100%-'Données projet'!$C$27)</f>
        <v>0.23746137817917726</v>
      </c>
      <c r="J9" s="150">
        <f>IF(OR('Données projet'!B12="",'Données projet'!C12="",'Données projet'!C12=0%),0,SUM(Calculateur!$CG$3:$CG$33)*VLOOKUP('Données projet'!$B$12,Paramètres!$A$1:$I$89,9,0)*B9)</f>
        <v>3.9878391019644526</v>
      </c>
      <c r="K9" s="151">
        <f>J9*(100%-'Données projet'!$C$24)*(100%-'Données projet'!$C$25)*(100%-'Données projet'!$C$26)*(100%-'Données projet'!$C$27)</f>
        <v>3.0506969130028061</v>
      </c>
      <c r="L9" s="152">
        <f t="shared" ca="1" si="2"/>
        <v>110.64743133034676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>
      <c r="A10" s="153" t="str">
        <f>IF('Données projet'!$B$13="","",'Données projet'!$B$13)</f>
        <v>Erable champêtre</v>
      </c>
      <c r="B10" s="154">
        <f>'Données projet'!D13</f>
        <v>0.44099999999999995</v>
      </c>
      <c r="C10" s="147">
        <f ca="1">IF(OR('Données projet'!B13="",'Données projet'!C13="",'Données projet'!C13=0%),0,Calculateur!CY3)</f>
        <v>280.59827778697775</v>
      </c>
      <c r="D10" s="147">
        <f>IF(OR('Données projet'!B13="",'Données projet'!C13="",'Données projet'!C13=0%),0,Calculateur!CZ3)</f>
        <v>270.86588231964726</v>
      </c>
      <c r="E10" s="147">
        <f t="shared" ca="1" si="0"/>
        <v>270.86588231964726</v>
      </c>
      <c r="F10" s="147">
        <f t="shared" ca="1" si="1"/>
        <v>119.45185410296443</v>
      </c>
      <c r="G10" s="147">
        <f ca="1">F10*(100%-'Données projet'!$C$24)*(100%-'Données projet'!$C$25)*(100%-'Données projet'!$C$26)*(100%-'Données projet'!$C$27)</f>
        <v>91.380668388767788</v>
      </c>
      <c r="H10" s="155">
        <f>IF(OR('Données projet'!B13="",'Données projet'!C13="",'Données projet'!C13=0%),0,AVERAGE(Calculateur!$DI$3:$DI$33)*B10)</f>
        <v>1.0685090643153388</v>
      </c>
      <c r="I10" s="149">
        <f>H10*(100%-'Données projet'!$C$24)*(100%-'Données projet'!$C$25)*(100%-'Données projet'!$C$26)*(100%-'Données projet'!$C$27)</f>
        <v>0.81740943420123413</v>
      </c>
      <c r="J10" s="150">
        <f>IF(OR('Données projet'!B13="",'Données projet'!C13="",'Données projet'!C13=0%),0,SUM(Calculateur!$DB$3:$DB$33)*VLOOKUP('Données projet'!$B$13,Paramètres!$A$1:$I$89,9,0)*B10)</f>
        <v>6.9457499999999994</v>
      </c>
      <c r="K10" s="151">
        <f>J10*(100%-'Données projet'!$C$24)*(100%-'Données projet'!$C$25)*(100%-'Données projet'!$C$26)*(100%-'Données projet'!$C$27)</f>
        <v>5.3134987499999999</v>
      </c>
      <c r="L10" s="152">
        <f t="shared" ca="1" si="2"/>
        <v>97.51157657296902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>
      <c r="A11" s="153" t="str">
        <f>IF('Données projet'!$B$14="","",'Données projet'!$B$14)</f>
        <v>Tilleul</v>
      </c>
      <c r="B11" s="154">
        <f>'Données projet'!D14</f>
        <v>0.44099999999999995</v>
      </c>
      <c r="C11" s="147">
        <f ca="1">IF(OR('Données projet'!B14="",'Données projet'!C14="",'Données projet'!C14=0%),0,Calculateur!DT3)</f>
        <v>211.42385430331873</v>
      </c>
      <c r="D11" s="147">
        <f>IF(OR('Données projet'!B14="",'Données projet'!C14="",'Données projet'!C14=0%),0,Calculateur!DU3)</f>
        <v>146.84623106782686</v>
      </c>
      <c r="E11" s="147">
        <f t="shared" ca="1" si="0"/>
        <v>146.84623106782686</v>
      </c>
      <c r="F11" s="147">
        <f t="shared" ca="1" si="1"/>
        <v>64.759187900911641</v>
      </c>
      <c r="G11" s="147">
        <f ca="1">F11*(100%-'Données projet'!$C$24)*(100%-'Données projet'!$C$25)*(100%-'Données projet'!$C$26)*(100%-'Données projet'!$C$27)</f>
        <v>49.540778744197404</v>
      </c>
      <c r="H11" s="155">
        <f>IF(OR('Données projet'!B14="",'Données projet'!C14="",'Données projet'!C14=0%),0,AVERAGE(Calculateur!$ED$3:$ED$33)*B11)</f>
        <v>0.32675311011970953</v>
      </c>
      <c r="I11" s="149">
        <f>H11*(100%-'Données projet'!$C$24)*(100%-'Données projet'!$C$25)*(100%-'Données projet'!$C$26)*(100%-'Données projet'!$C$27)</f>
        <v>0.24996612924157777</v>
      </c>
      <c r="J11" s="150">
        <f>IF(OR('Données projet'!B14="",'Données projet'!C14="",'Données projet'!C14=0%),0,SUM(Calculateur!$DW$3:$DW$33)*VLOOKUP('Données projet'!$B$14,Paramètres!$A$1:$I$89,9,0)*B11)</f>
        <v>3.0389423076923072</v>
      </c>
      <c r="K11" s="151">
        <f>J11*(100%-'Données projet'!$C$24)*(100%-'Données projet'!$C$25)*(100%-'Données projet'!$C$26)*(100%-'Données projet'!$C$27)</f>
        <v>2.3247908653846152</v>
      </c>
      <c r="L11" s="152">
        <f t="shared" ca="1" si="2"/>
        <v>52.115535738823596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>
      <c r="A12" s="153" t="str">
        <f>IF('Données projet'!$B$15="","",'Données projet'!$B$15)</f>
        <v>Cormier</v>
      </c>
      <c r="B12" s="154">
        <f>'Données projet'!D15</f>
        <v>0.48129092609915808</v>
      </c>
      <c r="C12" s="147">
        <f ca="1">IF(OR('Données projet'!B15="",'Données projet'!C15="",'Données projet'!C15=0%),0,Calculateur!EO3)</f>
        <v>212.00478362779876</v>
      </c>
      <c r="D12" s="147">
        <f>IF(OR('Données projet'!B15="",'Données projet'!C15="",'Données projet'!C15=0%),0,Calculateur!EP3)</f>
        <v>133.62262474506707</v>
      </c>
      <c r="E12" s="147">
        <f t="shared" ca="1" si="0"/>
        <v>133.62262474506707</v>
      </c>
      <c r="F12" s="147">
        <f t="shared" ca="1" si="1"/>
        <v>64.311356811353605</v>
      </c>
      <c r="G12" s="147">
        <f ca="1">F12*(100%-'Données projet'!$C$24)*(100%-'Données projet'!$C$25)*(100%-'Données projet'!$C$26)*(100%-'Données projet'!$C$27)</f>
        <v>49.198187960685509</v>
      </c>
      <c r="H12" s="155">
        <f>IF(OR('Données projet'!B15="",'Données projet'!C15="",'Données projet'!C15=0%),0,AVERAGE(Calculateur!$EY$3:$EY$33)*B12)</f>
        <v>0.16226141118596701</v>
      </c>
      <c r="I12" s="149">
        <f>H12*(100%-'Données projet'!$C$24)*(100%-'Données projet'!$C$25)*(100%-'Données projet'!$C$26)*(100%-'Données projet'!$C$27)</f>
        <v>0.12412997955726478</v>
      </c>
      <c r="J12" s="150">
        <f>IF(OR('Données projet'!B15="",'Données projet'!C15="",'Données projet'!C15=0%),0,SUM(Calculateur!$ER$3:$ER$33)*VLOOKUP('Données projet'!$B$15,Paramètres!$A$1:$I$89,9,0)*B12)</f>
        <v>1.3112092537957833</v>
      </c>
      <c r="K12" s="151">
        <f>J12*(100%-'Données projet'!$C$24)*(100%-'Données projet'!$C$25)*(100%-'Données projet'!$C$26)*(100%-'Données projet'!$C$27)</f>
        <v>1.0030750791537744</v>
      </c>
      <c r="L12" s="152">
        <f t="shared" ca="1" si="2"/>
        <v>50.32539301939655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>
      <c r="A13" s="153" t="str">
        <f>IF('Données projet'!$B$16="","",'Données projet'!$B$16)</f>
        <v>Alisier torminal</v>
      </c>
      <c r="B13" s="154">
        <f>'Données projet'!D16</f>
        <v>0.44099999999999995</v>
      </c>
      <c r="C13" s="147">
        <f ca="1">IF(OR('Données projet'!B16="",'Données projet'!C16="",'Données projet'!C16=0%),0,Calculateur!FJ3)</f>
        <v>196.65742339093146</v>
      </c>
      <c r="D13" s="147">
        <f>IF(OR('Données projet'!B16="",'Données projet'!C16="",'Données projet'!C16=0%),0,Calculateur!FK3)</f>
        <v>125.41980634506001</v>
      </c>
      <c r="E13" s="147">
        <f t="shared" ca="1" si="0"/>
        <v>125.41980634506001</v>
      </c>
      <c r="F13" s="147">
        <f t="shared" ca="1" si="1"/>
        <v>55.310134598171459</v>
      </c>
      <c r="G13" s="147">
        <f ca="1">F13*(100%-'Données projet'!$C$24)*(100%-'Données projet'!$C$25)*(100%-'Données projet'!$C$26)*(100%-'Données projet'!$C$27)</f>
        <v>42.312252967601168</v>
      </c>
      <c r="H13" s="155">
        <f>IF(OR('Données projet'!B16="",'Données projet'!C16="",'Données projet'!C16=0%),0,AVERAGE(Calculateur!$FT$3:$FT$33)*B13)</f>
        <v>0.13359455665321143</v>
      </c>
      <c r="I13" s="149">
        <f>H13*(100%-'Données projet'!$C$24)*(100%-'Données projet'!$C$25)*(100%-'Données projet'!$C$26)*(100%-'Données projet'!$C$27)</f>
        <v>0.10219983583970675</v>
      </c>
      <c r="J13" s="150">
        <f>IF(OR('Données projet'!C16="",'Données projet'!C16=0%),0,SUM(Calculateur!$FM$3:$FM$33)*VLOOKUP('Données projet'!$B$16,Paramètres!$A$1:$I$89,9,0)*B13)</f>
        <v>1.2014423076923075</v>
      </c>
      <c r="K13" s="151">
        <f>J13*(100%-'Données projet'!$C$24)*(100%-'Données projet'!$C$25)*(100%-'Données projet'!$C$26)*(100%-'Données projet'!$C$27)</f>
        <v>0.91910336538461535</v>
      </c>
      <c r="L13" s="152">
        <f t="shared" ca="1" si="2"/>
        <v>43.333556168825488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4.65" thickBot="1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4.65" thickBot="1">
      <c r="A16" s="209"/>
      <c r="B16" s="213"/>
      <c r="C16" s="214"/>
      <c r="D16" s="23"/>
      <c r="E16" s="23"/>
      <c r="F16" s="165">
        <f t="shared" ref="F16:L16" ca="1" si="3">SUM(F6:F15)</f>
        <v>4223.8237854044637</v>
      </c>
      <c r="G16" s="166">
        <f t="shared" ca="1" si="3"/>
        <v>3231.2251958344141</v>
      </c>
      <c r="H16" s="167">
        <f t="shared" si="3"/>
        <v>43.949019042636216</v>
      </c>
      <c r="I16" s="167">
        <f t="shared" si="3"/>
        <v>33.6209995676167</v>
      </c>
      <c r="J16" s="168">
        <f t="shared" si="3"/>
        <v>274.32056441706834</v>
      </c>
      <c r="K16" s="168">
        <f t="shared" si="3"/>
        <v>209.85523177905733</v>
      </c>
      <c r="L16" s="169">
        <f t="shared" ca="1" si="3"/>
        <v>3474.7014271810881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>
      <c r="A17" s="209"/>
      <c r="B17" s="213"/>
      <c r="C17" s="214"/>
      <c r="D17" s="23"/>
      <c r="E17" s="23"/>
      <c r="F17" s="276" t="s">
        <v>246</v>
      </c>
      <c r="G17" s="277"/>
      <c r="H17" s="277"/>
      <c r="I17" s="277"/>
      <c r="J17" s="277"/>
      <c r="K17" s="277"/>
      <c r="L17" s="277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>
      <c r="A18" s="209"/>
      <c r="B18" s="213"/>
      <c r="C18" s="214"/>
      <c r="D18" s="23"/>
      <c r="E18" s="23"/>
      <c r="F18" s="258"/>
      <c r="G18" s="258"/>
      <c r="H18" s="258"/>
      <c r="I18" s="258"/>
      <c r="J18" s="258"/>
      <c r="K18" s="258"/>
      <c r="L18" s="258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4.65" thickBot="1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4.65" thickBot="1">
      <c r="A21" s="170" t="str">
        <f>A6</f>
        <v>Pin laricio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4.65" thickBot="1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4.65" thickBot="1">
      <c r="A39" s="170" t="str">
        <f>A7</f>
        <v>Cèdre de l'Atlas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4.65" thickBot="1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4.65" thickBot="1">
      <c r="A57" s="170" t="str">
        <f>A8</f>
        <v>Chêne rouge d'Amérique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4.65" thickBot="1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4.65" thickBot="1">
      <c r="A76" s="170" t="str">
        <f>A9</f>
        <v>Charme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4.65" thickBot="1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4.65" thickBot="1">
      <c r="A94" s="170" t="str">
        <f>A10</f>
        <v>Erable champêtre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4.65" thickBot="1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4.65" thickBot="1">
      <c r="A112" s="170" t="str">
        <f>A11</f>
        <v>Tilleul</v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4.65" thickBot="1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4.65" thickBot="1">
      <c r="A130" s="170" t="str">
        <f>A12</f>
        <v>Cormier</v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4.65" thickBot="1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4.65" thickBot="1">
      <c r="A148" s="170" t="str">
        <f>A13</f>
        <v>Alisier torminal</v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4.65" thickBot="1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4.65" thickBot="1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4.65" thickBot="1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4.65" thickBot="1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6484375" defaultRowHeight="14.25"/>
  <cols>
    <col min="1" max="1" width="6.9296875" style="4" bestFit="1" customWidth="1"/>
    <col min="2" max="4" width="11.46484375" style="4"/>
    <col min="5" max="5" width="9.53125" style="4" customWidth="1"/>
    <col min="6" max="7" width="11.46484375" style="4"/>
    <col min="8" max="8" width="10.59765625" style="4" customWidth="1"/>
    <col min="9" max="9" width="9.46484375" style="4" customWidth="1"/>
    <col min="10" max="11" width="10.53125" style="4" bestFit="1" customWidth="1"/>
    <col min="12" max="12" width="14" style="4" bestFit="1" customWidth="1"/>
    <col min="13" max="13" width="14" style="4" customWidth="1"/>
    <col min="14" max="23" width="11.46484375" style="4"/>
    <col min="24" max="24" width="11.59765625" style="4" bestFit="1" customWidth="1"/>
    <col min="25" max="25" width="14.53125" style="4" bestFit="1" customWidth="1"/>
    <col min="26" max="26" width="12.46484375" style="4" bestFit="1" customWidth="1"/>
    <col min="27" max="27" width="9.59765625" style="4" bestFit="1" customWidth="1"/>
    <col min="28" max="28" width="11" style="4" bestFit="1" customWidth="1"/>
    <col min="29" max="29" width="9.46484375" style="4" bestFit="1" customWidth="1"/>
    <col min="30" max="31" width="9.46484375" style="4" customWidth="1"/>
    <col min="32" max="32" width="11.46484375" style="4"/>
    <col min="33" max="34" width="14" style="4" bestFit="1" customWidth="1"/>
    <col min="35" max="35" width="10.53125" style="4" bestFit="1" customWidth="1"/>
    <col min="36" max="36" width="9.46484375" style="4" bestFit="1" customWidth="1"/>
    <col min="37" max="38" width="10.53125" style="4" bestFit="1" customWidth="1"/>
    <col min="39" max="41" width="10.53125" style="4" customWidth="1"/>
    <col min="42" max="42" width="9" style="4" bestFit="1" customWidth="1"/>
    <col min="43" max="43" width="10.53125" style="4" bestFit="1" customWidth="1"/>
    <col min="44" max="44" width="9.33203125" style="4" bestFit="1" customWidth="1"/>
    <col min="45" max="45" width="11.59765625" style="4" bestFit="1" customWidth="1"/>
    <col min="46" max="46" width="8.46484375" style="4" bestFit="1" customWidth="1"/>
    <col min="47" max="47" width="9.46484375" style="4" bestFit="1" customWidth="1"/>
    <col min="48" max="48" width="9.59765625" style="4" bestFit="1" customWidth="1"/>
    <col min="49" max="49" width="11" style="4" bestFit="1" customWidth="1"/>
    <col min="50" max="50" width="9.46484375" style="4" bestFit="1" customWidth="1"/>
    <col min="51" max="52" width="9.46484375" style="4" customWidth="1"/>
    <col min="53" max="53" width="10.53125" style="4" bestFit="1" customWidth="1"/>
    <col min="54" max="54" width="14.33203125" style="4" customWidth="1"/>
    <col min="55" max="55" width="14" style="4" customWidth="1"/>
    <col min="56" max="56" width="10.53125" style="4" bestFit="1" customWidth="1"/>
    <col min="57" max="57" width="9.46484375" style="4" bestFit="1" customWidth="1"/>
    <col min="58" max="59" width="10.53125" style="4" bestFit="1" customWidth="1"/>
    <col min="60" max="62" width="10.53125" style="4" customWidth="1"/>
    <col min="63" max="63" width="9" style="4" bestFit="1" customWidth="1"/>
    <col min="64" max="64" width="10.53125" style="4" bestFit="1" customWidth="1"/>
    <col min="65" max="65" width="9.33203125" style="4" bestFit="1" customWidth="1"/>
    <col min="66" max="66" width="11.59765625" style="4" bestFit="1" customWidth="1"/>
    <col min="67" max="67" width="8.46484375" style="4" bestFit="1" customWidth="1"/>
    <col min="68" max="68" width="9.46484375" style="4" bestFit="1" customWidth="1"/>
    <col min="69" max="69" width="9.59765625" style="4" bestFit="1" customWidth="1"/>
    <col min="70" max="70" width="11" style="4" bestFit="1" customWidth="1"/>
    <col min="71" max="71" width="9.46484375" style="4" bestFit="1" customWidth="1"/>
    <col min="72" max="73" width="9.46484375" style="4" customWidth="1"/>
    <col min="74" max="74" width="10.53125" style="4" bestFit="1" customWidth="1"/>
    <col min="75" max="75" width="14" style="4" bestFit="1" customWidth="1"/>
    <col min="76" max="76" width="13.9296875" style="4" customWidth="1"/>
    <col min="77" max="77" width="10.53125" style="4" bestFit="1" customWidth="1"/>
    <col min="78" max="78" width="9.46484375" style="4" bestFit="1" customWidth="1"/>
    <col min="79" max="80" width="10.53125" style="4" bestFit="1" customWidth="1"/>
    <col min="81" max="83" width="10.53125" style="4" customWidth="1"/>
    <col min="84" max="84" width="11.46484375" style="4"/>
    <col min="85" max="85" width="10.53125" style="4" bestFit="1" customWidth="1"/>
    <col min="86" max="86" width="9.33203125" style="4" bestFit="1" customWidth="1"/>
    <col min="87" max="87" width="11.59765625" style="4" bestFit="1" customWidth="1"/>
    <col min="88" max="88" width="8.46484375" style="4" bestFit="1" customWidth="1"/>
    <col min="89" max="89" width="9.46484375" style="4" bestFit="1" customWidth="1"/>
    <col min="90" max="90" width="9.59765625" style="4" bestFit="1" customWidth="1"/>
    <col min="91" max="91" width="11" style="4" bestFit="1" customWidth="1"/>
    <col min="92" max="92" width="9.46484375" style="4" bestFit="1" customWidth="1"/>
    <col min="93" max="94" width="9.46484375" style="4" customWidth="1"/>
    <col min="95" max="95" width="11.46484375" style="4"/>
    <col min="96" max="97" width="14" style="4" customWidth="1"/>
    <col min="98" max="98" width="10.53125" style="4" bestFit="1" customWidth="1"/>
    <col min="99" max="99" width="9.46484375" style="4" bestFit="1" customWidth="1"/>
    <col min="100" max="101" width="10.53125" style="4" bestFit="1" customWidth="1"/>
    <col min="102" max="104" width="10.53125" style="4" customWidth="1"/>
    <col min="105" max="105" width="9" style="4" bestFit="1" customWidth="1"/>
    <col min="106" max="106" width="10.53125" style="4" bestFit="1" customWidth="1"/>
    <col min="107" max="107" width="9.33203125" style="4" bestFit="1" customWidth="1"/>
    <col min="108" max="108" width="11.59765625" style="4" bestFit="1" customWidth="1"/>
    <col min="109" max="109" width="8.46484375" style="4" bestFit="1" customWidth="1"/>
    <col min="110" max="110" width="9.46484375" style="4" bestFit="1" customWidth="1"/>
    <col min="111" max="111" width="9.59765625" style="4" bestFit="1" customWidth="1"/>
    <col min="112" max="112" width="11" style="4" bestFit="1" customWidth="1"/>
    <col min="113" max="113" width="9.46484375" style="4" bestFit="1" customWidth="1"/>
    <col min="114" max="115" width="9.46484375" style="4" customWidth="1"/>
    <col min="116" max="116" width="10.53125" style="4" bestFit="1" customWidth="1"/>
    <col min="117" max="117" width="14.33203125" style="4" customWidth="1"/>
    <col min="118" max="118" width="14" style="4" bestFit="1" customWidth="1"/>
    <col min="119" max="119" width="10.53125" style="4" bestFit="1" customWidth="1"/>
    <col min="120" max="120" width="9.46484375" style="4" bestFit="1" customWidth="1"/>
    <col min="121" max="122" width="10.53125" style="4" bestFit="1" customWidth="1"/>
    <col min="123" max="125" width="10.53125" style="4" customWidth="1"/>
    <col min="126" max="126" width="9" style="4" bestFit="1" customWidth="1"/>
    <col min="127" max="127" width="10.53125" style="4" bestFit="1" customWidth="1"/>
    <col min="128" max="128" width="9.33203125" style="4" bestFit="1" customWidth="1"/>
    <col min="129" max="129" width="11.59765625" style="4" bestFit="1" customWidth="1"/>
    <col min="130" max="130" width="8.46484375" style="4" bestFit="1" customWidth="1"/>
    <col min="131" max="131" width="9.46484375" style="4" bestFit="1" customWidth="1"/>
    <col min="132" max="132" width="9.59765625" style="4" bestFit="1" customWidth="1"/>
    <col min="133" max="133" width="11" style="4" bestFit="1" customWidth="1"/>
    <col min="134" max="134" width="9.46484375" style="4" bestFit="1" customWidth="1"/>
    <col min="135" max="136" width="9.46484375" style="4" customWidth="1"/>
    <col min="137" max="137" width="10.53125" style="4" bestFit="1" customWidth="1"/>
    <col min="138" max="139" width="14" style="4" customWidth="1"/>
    <col min="140" max="140" width="10.53125" style="4" bestFit="1" customWidth="1"/>
    <col min="141" max="141" width="9.46484375" style="4" bestFit="1" customWidth="1"/>
    <col min="142" max="143" width="10.53125" style="4" bestFit="1" customWidth="1"/>
    <col min="144" max="146" width="10.53125" style="4" customWidth="1"/>
    <col min="147" max="147" width="9" style="4" bestFit="1" customWidth="1"/>
    <col min="148" max="148" width="10.53125" style="4" bestFit="1" customWidth="1"/>
    <col min="149" max="149" width="9.33203125" style="4" bestFit="1" customWidth="1"/>
    <col min="150" max="150" width="11.59765625" style="4" bestFit="1" customWidth="1"/>
    <col min="151" max="151" width="8.46484375" style="4" bestFit="1" customWidth="1"/>
    <col min="152" max="152" width="9.46484375" style="4" bestFit="1" customWidth="1"/>
    <col min="153" max="153" width="9.59765625" style="4" bestFit="1" customWidth="1"/>
    <col min="154" max="154" width="11" style="4" bestFit="1" customWidth="1"/>
    <col min="155" max="155" width="9.46484375" style="4" bestFit="1" customWidth="1"/>
    <col min="156" max="157" width="9.46484375" style="4" customWidth="1"/>
    <col min="158" max="158" width="11.46484375" style="4"/>
    <col min="159" max="160" width="14" style="4" bestFit="1" customWidth="1"/>
    <col min="161" max="161" width="10.53125" style="4" bestFit="1" customWidth="1"/>
    <col min="162" max="162" width="9.46484375" style="4" bestFit="1" customWidth="1"/>
    <col min="163" max="164" width="10.53125" style="4" bestFit="1" customWidth="1"/>
    <col min="165" max="167" width="10.53125" style="4" customWidth="1"/>
    <col min="168" max="168" width="9" style="4" bestFit="1" customWidth="1"/>
    <col min="169" max="169" width="10.53125" style="4" bestFit="1" customWidth="1"/>
    <col min="170" max="170" width="9.33203125" style="4" bestFit="1" customWidth="1"/>
    <col min="171" max="171" width="11.59765625" style="4" bestFit="1" customWidth="1"/>
    <col min="172" max="172" width="8.06640625" style="4" bestFit="1" customWidth="1"/>
    <col min="173" max="173" width="9.46484375" style="4" bestFit="1" customWidth="1"/>
    <col min="174" max="174" width="9.59765625" style="4" bestFit="1" customWidth="1"/>
    <col min="175" max="175" width="11" style="4" bestFit="1" customWidth="1"/>
    <col min="176" max="176" width="9.46484375" style="4" bestFit="1" customWidth="1"/>
    <col min="177" max="178" width="9.46484375" style="4" customWidth="1"/>
    <col min="179" max="179" width="10.53125" style="4" bestFit="1" customWidth="1"/>
    <col min="180" max="181" width="14" style="4" bestFit="1" customWidth="1"/>
    <col min="182" max="182" width="10.53125" style="4" bestFit="1" customWidth="1"/>
    <col min="183" max="183" width="9.46484375" style="4" bestFit="1" customWidth="1"/>
    <col min="184" max="185" width="10.53125" style="4" bestFit="1" customWidth="1"/>
    <col min="186" max="188" width="10.53125" style="4" customWidth="1"/>
    <col min="189" max="189" width="9" style="4" bestFit="1" customWidth="1"/>
    <col min="190" max="190" width="10.53125" style="4" bestFit="1" customWidth="1"/>
    <col min="191" max="191" width="9.33203125" style="4" bestFit="1" customWidth="1"/>
    <col min="192" max="192" width="11.46484375" style="4"/>
    <col min="193" max="193" width="8.46484375" style="4" bestFit="1" customWidth="1"/>
    <col min="194" max="194" width="9.46484375" style="4" bestFit="1" customWidth="1"/>
    <col min="195" max="195" width="9.59765625" style="4" bestFit="1" customWidth="1"/>
    <col min="196" max="196" width="11" style="4" bestFit="1" customWidth="1"/>
    <col min="197" max="197" width="9.46484375" style="4" bestFit="1" customWidth="1"/>
    <col min="198" max="199" width="9.46484375" style="4" customWidth="1"/>
    <col min="200" max="200" width="10.53125" style="4" bestFit="1" customWidth="1"/>
    <col min="201" max="201" width="14" style="4" customWidth="1"/>
    <col min="202" max="202" width="14.33203125" style="4" customWidth="1"/>
    <col min="203" max="203" width="10.53125" style="4" bestFit="1" customWidth="1"/>
    <col min="204" max="204" width="9.46484375" style="4" bestFit="1" customWidth="1"/>
    <col min="205" max="206" width="10.53125" style="4" bestFit="1" customWidth="1"/>
    <col min="207" max="209" width="10.53125" style="4" customWidth="1"/>
    <col min="210" max="210" width="9" style="4" bestFit="1" customWidth="1"/>
    <col min="211" max="211" width="10.53125" style="4" bestFit="1" customWidth="1"/>
    <col min="212" max="212" width="9.33203125" style="4" bestFit="1" customWidth="1"/>
    <col min="213" max="213" width="11.59765625" style="4" bestFit="1" customWidth="1"/>
    <col min="214" max="214" width="8.46484375" style="4" bestFit="1" customWidth="1"/>
    <col min="215" max="215" width="9.46484375" style="4" bestFit="1" customWidth="1"/>
    <col min="216" max="216" width="9.59765625" style="4" bestFit="1" customWidth="1"/>
    <col min="217" max="217" width="11" style="4" bestFit="1" customWidth="1"/>
    <col min="218" max="218" width="9.46484375" style="4" bestFit="1" customWidth="1"/>
    <col min="219" max="16384" width="11.46484375" style="4"/>
  </cols>
  <sheetData>
    <row r="1" spans="1:218" ht="25.9" thickBot="1">
      <c r="B1" s="281" t="s">
        <v>176</v>
      </c>
      <c r="C1" s="282"/>
      <c r="D1" s="282"/>
      <c r="E1" s="282"/>
      <c r="F1" s="282"/>
      <c r="G1" s="282"/>
      <c r="H1" s="283"/>
      <c r="I1" s="278" t="str">
        <f>IF('Données projet'!$B$9="","",'Données projet'!$B$9)</f>
        <v>Pin laricio</v>
      </c>
      <c r="J1" s="279"/>
      <c r="K1" s="279"/>
      <c r="L1" s="279"/>
      <c r="M1" s="279"/>
      <c r="N1" s="279"/>
      <c r="O1" s="279"/>
      <c r="P1" s="279"/>
      <c r="Q1" s="279"/>
      <c r="R1" s="279"/>
      <c r="S1" s="279"/>
      <c r="T1" s="279"/>
      <c r="U1" s="279"/>
      <c r="V1" s="279"/>
      <c r="W1" s="279"/>
      <c r="X1" s="279"/>
      <c r="Y1" s="279"/>
      <c r="Z1" s="279"/>
      <c r="AA1" s="279"/>
      <c r="AB1" s="279"/>
      <c r="AC1" s="280"/>
      <c r="AD1" s="279" t="str">
        <f>IF('Données projet'!$B$10="","",'Données projet'!$B$10)</f>
        <v>Cèdre de l'Atlas</v>
      </c>
      <c r="AE1" s="279"/>
      <c r="AF1" s="279"/>
      <c r="AG1" s="279"/>
      <c r="AH1" s="279"/>
      <c r="AI1" s="279"/>
      <c r="AJ1" s="279"/>
      <c r="AK1" s="279"/>
      <c r="AL1" s="279"/>
      <c r="AM1" s="279"/>
      <c r="AN1" s="279"/>
      <c r="AO1" s="279"/>
      <c r="AP1" s="279"/>
      <c r="AQ1" s="279"/>
      <c r="AR1" s="279"/>
      <c r="AS1" s="279"/>
      <c r="AT1" s="279"/>
      <c r="AU1" s="279"/>
      <c r="AV1" s="279"/>
      <c r="AW1" s="279"/>
      <c r="AX1" s="280"/>
      <c r="AY1" s="278" t="str">
        <f>IF('Données projet'!$B$11="","",'Données projet'!$B$11)</f>
        <v>Chêne rouge d'Amérique</v>
      </c>
      <c r="AZ1" s="279"/>
      <c r="BA1" s="279"/>
      <c r="BB1" s="279"/>
      <c r="BC1" s="279"/>
      <c r="BD1" s="279"/>
      <c r="BE1" s="279"/>
      <c r="BF1" s="279"/>
      <c r="BG1" s="279"/>
      <c r="BH1" s="279"/>
      <c r="BI1" s="279"/>
      <c r="BJ1" s="279"/>
      <c r="BK1" s="279"/>
      <c r="BL1" s="279"/>
      <c r="BM1" s="279"/>
      <c r="BN1" s="279"/>
      <c r="BO1" s="279"/>
      <c r="BP1" s="279"/>
      <c r="BQ1" s="279"/>
      <c r="BR1" s="279"/>
      <c r="BS1" s="280"/>
      <c r="BT1" s="278" t="str">
        <f>IF('Données projet'!$B$12="","",'Données projet'!$B$12)</f>
        <v>Charme</v>
      </c>
      <c r="BU1" s="279"/>
      <c r="BV1" s="279"/>
      <c r="BW1" s="279"/>
      <c r="BX1" s="279"/>
      <c r="BY1" s="279"/>
      <c r="BZ1" s="279"/>
      <c r="CA1" s="279"/>
      <c r="CB1" s="279"/>
      <c r="CC1" s="279"/>
      <c r="CD1" s="279"/>
      <c r="CE1" s="279"/>
      <c r="CF1" s="279"/>
      <c r="CG1" s="279"/>
      <c r="CH1" s="279"/>
      <c r="CI1" s="279"/>
      <c r="CJ1" s="279"/>
      <c r="CK1" s="279"/>
      <c r="CL1" s="279"/>
      <c r="CM1" s="279"/>
      <c r="CN1" s="280"/>
      <c r="CO1" s="278" t="str">
        <f>IF('Données projet'!$B$13="","",'Données projet'!$B$13)</f>
        <v>Erable champêtre</v>
      </c>
      <c r="CP1" s="279"/>
      <c r="CQ1" s="279"/>
      <c r="CR1" s="279"/>
      <c r="CS1" s="279"/>
      <c r="CT1" s="279"/>
      <c r="CU1" s="279"/>
      <c r="CV1" s="279"/>
      <c r="CW1" s="279"/>
      <c r="CX1" s="279"/>
      <c r="CY1" s="279"/>
      <c r="CZ1" s="279"/>
      <c r="DA1" s="279"/>
      <c r="DB1" s="279"/>
      <c r="DC1" s="279"/>
      <c r="DD1" s="279"/>
      <c r="DE1" s="279"/>
      <c r="DF1" s="279"/>
      <c r="DG1" s="279"/>
      <c r="DH1" s="279"/>
      <c r="DI1" s="280"/>
      <c r="DJ1" s="278" t="str">
        <f>IF('Données projet'!$B$14="","",'Données projet'!$B$14)</f>
        <v>Tilleul</v>
      </c>
      <c r="DK1" s="279"/>
      <c r="DL1" s="279"/>
      <c r="DM1" s="279"/>
      <c r="DN1" s="279"/>
      <c r="DO1" s="279"/>
      <c r="DP1" s="279"/>
      <c r="DQ1" s="279"/>
      <c r="DR1" s="279"/>
      <c r="DS1" s="279"/>
      <c r="DT1" s="279"/>
      <c r="DU1" s="279"/>
      <c r="DV1" s="279"/>
      <c r="DW1" s="279"/>
      <c r="DX1" s="279"/>
      <c r="DY1" s="279"/>
      <c r="DZ1" s="279"/>
      <c r="EA1" s="279"/>
      <c r="EB1" s="279"/>
      <c r="EC1" s="279"/>
      <c r="ED1" s="280"/>
      <c r="EE1" s="278" t="str">
        <f>IF('Données projet'!$B$15="","",'Données projet'!$B$15)</f>
        <v>Cormier</v>
      </c>
      <c r="EF1" s="279"/>
      <c r="EG1" s="279"/>
      <c r="EH1" s="279"/>
      <c r="EI1" s="279"/>
      <c r="EJ1" s="279"/>
      <c r="EK1" s="279"/>
      <c r="EL1" s="279"/>
      <c r="EM1" s="279"/>
      <c r="EN1" s="279"/>
      <c r="EO1" s="279"/>
      <c r="EP1" s="279"/>
      <c r="EQ1" s="279"/>
      <c r="ER1" s="279"/>
      <c r="ES1" s="279"/>
      <c r="ET1" s="279"/>
      <c r="EU1" s="279"/>
      <c r="EV1" s="279"/>
      <c r="EW1" s="279"/>
      <c r="EX1" s="279"/>
      <c r="EY1" s="280"/>
      <c r="EZ1" s="278" t="str">
        <f>IF('Données projet'!$B$16="","",'Données projet'!$B$16)</f>
        <v>Alisier torminal</v>
      </c>
      <c r="FA1" s="279"/>
      <c r="FB1" s="279"/>
      <c r="FC1" s="279"/>
      <c r="FD1" s="279"/>
      <c r="FE1" s="279"/>
      <c r="FF1" s="279"/>
      <c r="FG1" s="279"/>
      <c r="FH1" s="279"/>
      <c r="FI1" s="279"/>
      <c r="FJ1" s="279"/>
      <c r="FK1" s="279"/>
      <c r="FL1" s="279"/>
      <c r="FM1" s="279"/>
      <c r="FN1" s="279"/>
      <c r="FO1" s="279"/>
      <c r="FP1" s="279"/>
      <c r="FQ1" s="279"/>
      <c r="FR1" s="279"/>
      <c r="FS1" s="279"/>
      <c r="FT1" s="280"/>
      <c r="FU1" s="278" t="str">
        <f>IF('Données projet'!$B$17="","",'Données projet'!$B$17)</f>
        <v/>
      </c>
      <c r="FV1" s="279"/>
      <c r="FW1" s="279"/>
      <c r="FX1" s="279"/>
      <c r="FY1" s="279"/>
      <c r="FZ1" s="279"/>
      <c r="GA1" s="279"/>
      <c r="GB1" s="279"/>
      <c r="GC1" s="279"/>
      <c r="GD1" s="279"/>
      <c r="GE1" s="279"/>
      <c r="GF1" s="279"/>
      <c r="GG1" s="279"/>
      <c r="GH1" s="279"/>
      <c r="GI1" s="279"/>
      <c r="GJ1" s="279"/>
      <c r="GK1" s="279"/>
      <c r="GL1" s="279"/>
      <c r="GM1" s="279"/>
      <c r="GN1" s="279"/>
      <c r="GO1" s="280"/>
      <c r="GP1" s="278" t="str">
        <f>IF('Données projet'!$B$18="","",'Données projet'!$B$18)</f>
        <v/>
      </c>
      <c r="GQ1" s="279"/>
      <c r="GR1" s="279"/>
      <c r="GS1" s="279"/>
      <c r="GT1" s="279"/>
      <c r="GU1" s="279"/>
      <c r="GV1" s="279"/>
      <c r="GW1" s="279"/>
      <c r="GX1" s="279"/>
      <c r="GY1" s="279"/>
      <c r="GZ1" s="279"/>
      <c r="HA1" s="279"/>
      <c r="HB1" s="279"/>
      <c r="HC1" s="279"/>
      <c r="HD1" s="279"/>
      <c r="HE1" s="279"/>
      <c r="HF1" s="279"/>
      <c r="HG1" s="279"/>
      <c r="HH1" s="279"/>
      <c r="HI1" s="279"/>
      <c r="HJ1" s="280"/>
    </row>
    <row r="2" spans="1:218" ht="57.4" thickBot="1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>
      <c r="A3" s="10">
        <v>0</v>
      </c>
      <c r="B3" s="73">
        <f>'Scénario référence'!$B$16*5+'Scénario référence'!$B$17*0+'Scénario référence'!$B$18*5</f>
        <v>4.6999999999999993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16.199333333333332</v>
      </c>
      <c r="H3" s="67">
        <f>(B3+E3+F3)*44/12+(C3+D3)*0.475*44/12</f>
        <v>187.73333333333335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46.5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170.5</v>
      </c>
      <c r="S3" s="59">
        <f ca="1">AVERAGE(OFFSET($R$3,0,0,'Données projet'!$E$9+1,1))-AVERAGE(OFFSET($H$3,0,0,'Données projet'!$E$9+1,1))</f>
        <v>366.93249569585623</v>
      </c>
      <c r="T3" s="59">
        <f>IF('Données projet'!E9&gt;30,$R$33-$H$33,LOOKUP('Données projet'!$E$9,$A$3:$A$203,R3:R203)-LOOKUP('Données projet'!$E$9,$A$3:$A$203,$H$3:$H$203))</f>
        <v>272.47262353368501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46.5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170.5</v>
      </c>
      <c r="AN3" s="59">
        <f ca="1">AVERAGE(OFFSET($AM$3,0,0,'Données projet'!$E$10+1,1))-AVERAGE(OFFSET($H$3,0,0,'Données projet'!$E$10+1,1))</f>
        <v>382.89338473200229</v>
      </c>
      <c r="AO3" s="59">
        <f>IF('Données projet'!E10&gt;30,$AM$33-$H$33,LOOKUP('Données projet'!$E$10,$A$3:$A$203,AM3:AM203)-LOOKUP('Données projet'!$E$10,$A$3:$A$203,$H$3:$H$203))</f>
        <v>360.46248248971744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46.5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170.5</v>
      </c>
      <c r="BI3" s="59">
        <f ca="1">AVERAGE(OFFSET($BH$3,0,0,'Données projet'!$E$11+1,1))-AVERAGE(OFFSET($H$3,0,0,'Données projet'!$E$11+1,1))</f>
        <v>225.75484198243581</v>
      </c>
      <c r="BJ3" s="59">
        <f>IF('Données projet'!E11&gt;30,$BH$33-$H$33,LOOKUP('Données projet'!$E$11,$A$3:$A$203,BH3:BH203)-LOOKUP('Données projet'!$E$11,$A$3:$A$203,$H$3:$H$203))</f>
        <v>199.49566488421061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46.5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170.5</v>
      </c>
      <c r="CD3" s="59">
        <f ca="1">AVERAGE(OFFSET($CC$3,0,0,'Données projet'!$E$12+1,1))-AVERAGE(OFFSET($H$3,0,0,'Données projet'!$E$12+1,1))</f>
        <v>413.9352601863377</v>
      </c>
      <c r="CE3" s="59">
        <f>IF('Données projet'!E12&gt;30,$CC$33-$H$33,LOOKUP('Données projet'!$E$12,$A$3:$A$203,CC3:CC203)-LOOKUP('Données projet'!$E$12,$A$3:$A$203,$H$3:$H$203))</f>
        <v>255.13997349799286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46.5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9">
        <f>CW3+(CO3+CP3)*44/12</f>
        <v>170.5</v>
      </c>
      <c r="CY3" s="59">
        <f ca="1">AVERAGE(OFFSET($CX$3,0,0,'Données projet'!$E$13+1,1))-AVERAGE(OFFSET($H$3,0,0,'Données projet'!$E$13+1,1))</f>
        <v>280.59827778697775</v>
      </c>
      <c r="CZ3" s="59">
        <f>IF('Données projet'!E13&gt;30,$CX$33-$H$33,LOOKUP('Données projet'!$E$13,$A$3:$A$203,CX3:CX203)-LOOKUP('Données projet'!$E$13,$A$3:$A$203,$H$3:$H$203))</f>
        <v>270.86588231964726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46.5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>
        <f>DO3*VLOOKUP('Données projet'!$B$14,Paramètres!$A$1:$I$89,3,0)*VLOOKUP('Données projet'!$B$14,Paramètres!$A$1:$I$89,5,0)</f>
        <v>0</v>
      </c>
      <c r="DQ3" s="12">
        <v>0</v>
      </c>
      <c r="DR3" s="14">
        <f>(DP3+DQ3)*0.475*44/12</f>
        <v>0</v>
      </c>
      <c r="DS3" s="59">
        <f>DR3+(DJ3+DK3)*44/12</f>
        <v>170.5</v>
      </c>
      <c r="DT3" s="59">
        <f ca="1">AVERAGE(OFFSET($DS$3,0,0,'Données projet'!$E$14+1,1))-AVERAGE(OFFSET($H$3,0,0,'Données projet'!$E$14+1,1))</f>
        <v>211.42385430331873</v>
      </c>
      <c r="DU3" s="59">
        <f>IF('Données projet'!E14&gt;30,$DS$33-$H$33,LOOKUP('Données projet'!$E$14,$A$3:$A$203,DS3:DS203)-LOOKUP('Données projet'!$E$14,$A$3:$A$203,$H$3:$H$203))</f>
        <v>146.84623106782686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46.5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>
        <f>EJ3*VLOOKUP('Données projet'!$B$15,Paramètres!$A$1:$I$89,3,0)*VLOOKUP('Données projet'!$B$15,Paramètres!$A$1:$I$89,5,0)</f>
        <v>0</v>
      </c>
      <c r="EL3" s="12">
        <v>0</v>
      </c>
      <c r="EM3" s="14">
        <f>(EK3+EL3)*0.475*44/12</f>
        <v>0</v>
      </c>
      <c r="EN3" s="59">
        <f>EM3+(EE3+EF3)*44/12</f>
        <v>170.5</v>
      </c>
      <c r="EO3" s="59">
        <f ca="1">AVERAGE(OFFSET($EN$3,0,0,'Données projet'!$E$15+1,1))-AVERAGE(OFFSET($H$3,0,0,'Données projet'!$E$15+1,1))</f>
        <v>212.00478362779876</v>
      </c>
      <c r="EP3" s="59">
        <f>IF('Données projet'!E15&gt;30,$EN$33-$H$33,LOOKUP('Données projet'!$E$15,$A$3:$A$203,EN3:EN203)-LOOKUP('Données projet'!$E$15,$A$3:$A$203,$H$3:$H$203))</f>
        <v>133.62262474506707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46.5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>
        <f>FE3*VLOOKUP('Données projet'!$B$16,Paramètres!$A$1:$I$89,3,0)*VLOOKUP('Données projet'!$B$16,Paramètres!$A$1:$I$89,5,0)</f>
        <v>0</v>
      </c>
      <c r="FG3" s="12">
        <v>0</v>
      </c>
      <c r="FH3" s="14">
        <f>(FF3+FG3)*0.475*44/12</f>
        <v>0</v>
      </c>
      <c r="FI3" s="59">
        <f>FH3+(EZ3+FA3)*44/12</f>
        <v>170.5</v>
      </c>
      <c r="FJ3" s="59">
        <f ca="1">AVERAGE(OFFSET($FI$3,0,0,'Données projet'!$E$16+1,1))-AVERAGE(OFFSET($H$3,0,0,'Données projet'!$E$16+1,1))</f>
        <v>196.65742339093146</v>
      </c>
      <c r="FK3" s="59">
        <f>IF('Données projet'!E16&gt;30,$FI$33-$H$33,LOOKUP('Données projet'!$E$16,$A$3:$A$203,FI3:FI203)-LOOKUP('Données projet'!$E$16,$A$3:$A$203,$H$3:$H$203))</f>
        <v>125.41980634506001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46.5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46.5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>
      <c r="A4" s="10">
        <f>A3+1</f>
        <v>1</v>
      </c>
      <c r="B4" s="73">
        <f>'Scénario référence'!$B$16*5+'Scénario référence'!$B$17*0+'Scénario référence'!$B$18*5</f>
        <v>4.6999999999999993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5.335199999999999E-2</v>
      </c>
      <c r="D4" s="11">
        <f>IFERROR(EXP(-1.0587+0.8836*LN(C4)+0.284),0)</f>
        <v>3.4582981096836482E-2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16.240061114051866</v>
      </c>
      <c r="H4" s="67">
        <f t="shared" ref="H4:H67" si="1">(B4+E4+F4)*44/12+(C4+D4)*0.475*44/12</f>
        <v>187.88648675874367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46.907672461870774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5.8890909090909096</v>
      </c>
      <c r="N4" s="13">
        <f>IF('Données projet'!$A$36&gt;35,N3+M4-V3,IF(A4&lt;'Données projet'!$A$36,$K$205^A4,IF(A4='Données projet'!$A$36,'Données projet'!$B$36,N3+M4-V3)))</f>
        <v>1.2474449991725556</v>
      </c>
      <c r="O4" s="13">
        <f>N4*VLOOKUP('Données projet'!$B$9,Paramètres!$A$1:$I$89,3,0)*VLOOKUP('Données projet'!$B$9,Paramètres!$A$1:$I$89,5,0)</f>
        <v>0.74597210950518822</v>
      </c>
      <c r="P4" s="13">
        <f>EXP(-1.0587+0.8836*LN(O4)+0.284)</f>
        <v>0.35570481632934337</v>
      </c>
      <c r="Q4" s="20">
        <f t="shared" ref="Q4:Q34" si="2">(O4+P4)*0.475*44/12</f>
        <v>1.9187539791618089</v>
      </c>
      <c r="R4" s="59">
        <f t="shared" si="0"/>
        <v>175.13577522824355</v>
      </c>
      <c r="S4" s="59">
        <f ca="1">AVERAGE(OFFSET($R$3,0,0,'Données projet'!$E$9+1,1))-AVERAGE(OFFSET($H$3,0,0,'Données projet'!$E$9+1,1))</f>
        <v>366.93249569585623</v>
      </c>
      <c r="T4" s="59">
        <f>$T$3</f>
        <v>272.47262353368501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46.907672461870774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10.064285714285713</v>
      </c>
      <c r="AI4" s="13">
        <f>IF('Données projet'!$A$62&gt;35,AI3+AH4-AQ3,IF(A4&lt;'Données projet'!$A$62,$AF$205^A4,IF(A4='Données projet'!$A$62,'Données projet'!$B$62,AI3+AH4-AQ3)))</f>
        <v>10.064285714285713</v>
      </c>
      <c r="AJ4" s="13">
        <f>AI4*VLOOKUP('Données projet'!$B$10,Paramètres!$A$1:$I$89,3,0)*VLOOKUP('Données projet'!$B$10,Paramètres!$A$1:$I$89,5,0)</f>
        <v>4.7100857142857135</v>
      </c>
      <c r="AK4" s="13">
        <f>EXP(-1.0587+0.8836*LN(AJ4)+0.284)</f>
        <v>1.8123426958074231</v>
      </c>
      <c r="AL4" s="20">
        <f t="shared" ref="AL4:AL67" si="4">(AJ4+AK4)*0.475*44/12</f>
        <v>11.35989614757888</v>
      </c>
      <c r="AM4" s="59">
        <f t="shared" ref="AM4:AM67" si="5">AL4+(AD4+AE4)*44/12</f>
        <v>184.57691739666063</v>
      </c>
      <c r="AN4" s="59">
        <f ca="1">AVERAGE(OFFSET($AM$3,0,0,'Données projet'!$E$10+1,1))-AVERAGE(OFFSET($H$3,0,0,'Données projet'!$E$10+1,1))</f>
        <v>382.89338473200229</v>
      </c>
      <c r="AO4" s="59">
        <f>$AO$3</f>
        <v>360.46248248971744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46.907672461870774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2.7884615384615379</v>
      </c>
      <c r="BD4" s="12">
        <f>IF('Données projet'!$A$88&gt;35,BD3+BC4-BL3,IF(A4&lt;'Données projet'!$A$88,$BA$205^A4,IF(A4='Données projet'!$A$88,'Données projet'!$B$88,BD3+BC4-BL3)))</f>
        <v>1.2226994946602114</v>
      </c>
      <c r="BE4" s="13">
        <f>BD4*VLOOKUP('Données projet'!$B$11,Paramètres!$A$1:$I$89,3,0)*VLOOKUP('Données projet'!$B$11,Paramètres!$A$1:$I$89,5,0)</f>
        <v>1.0681502785351609</v>
      </c>
      <c r="BF4" s="13">
        <f>EXP(-1.0587+0.8836*LN(BE4)+0.284)</f>
        <v>0.48848543210146395</v>
      </c>
      <c r="BG4" s="20">
        <f t="shared" ref="BG4:BG67" si="7">(BE4+BF4)*0.475*44/12</f>
        <v>2.7111405293587882</v>
      </c>
      <c r="BH4" s="59">
        <f t="shared" ref="BH4:BH67" si="8">BG4+(AY4+AZ4)*44/12</f>
        <v>175.92816177844054</v>
      </c>
      <c r="BI4" s="59">
        <f ca="1">AVERAGE(OFFSET($BH$3,0,0,'Données projet'!$E$11+1,1))-AVERAGE(OFFSET($H$3,0,0,'Données projet'!$E$11+1,1))</f>
        <v>225.75484198243581</v>
      </c>
      <c r="BJ4" s="59">
        <f>$BJ$3</f>
        <v>199.49566488421061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46.907672461870774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2.8</v>
      </c>
      <c r="BY4" s="12">
        <f>IF('Données projet'!$A$114&gt;35,BY3+BX4-CG3,IF(A4&lt;'Données projet'!$A$114,$BV$205^A4,IF(A4='Données projet'!$A$114,'Données projet'!$B$114,BY3+BX4-CG3)))</f>
        <v>1.1852335095914694</v>
      </c>
      <c r="BZ4" s="13">
        <f>BY4*VLOOKUP('Données projet'!$B$12,Paramètres!$A$1:$I$89,3,0)*VLOOKUP('Données projet'!$B$12,Paramètres!$A$1:$I$89,5,0)</f>
        <v>1.1278682077272424</v>
      </c>
      <c r="CA4" s="13">
        <f>EXP(-1.0587+0.8836*LN(BZ4)+0.284)</f>
        <v>0.51253974361771537</v>
      </c>
      <c r="CB4" s="20">
        <f t="shared" ref="CB4:CB67" si="10">(BZ4+CA4)*0.475*44/12</f>
        <v>2.8570438485924678</v>
      </c>
      <c r="CC4" s="59">
        <f t="shared" ref="CC4:CC67" si="11">CB4+(BT4+BU4)*44/12</f>
        <v>176.07406509767421</v>
      </c>
      <c r="CD4" s="59">
        <f ca="1">AVERAGE(OFFSET($CC$3,0,0,'Données projet'!$E$12+1,1))-AVERAGE(OFFSET($H$3,0,0,'Données projet'!$E$12+1,1))</f>
        <v>413.9352601863377</v>
      </c>
      <c r="CE4" s="59">
        <f>$CE$3</f>
        <v>255.13997349799286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46.907672461870774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2.85</v>
      </c>
      <c r="CT4" s="12">
        <f>IF('Données projet'!$A$140&gt;35,CT3+CS4-DB3,IF(A4&lt;'Données projet'!$A$140,$CQ$205^A4,IF(A4='Données projet'!$A$140,'Données projet'!$B$140,CT3+CS4-DB3)))</f>
        <v>1.2240347367580502</v>
      </c>
      <c r="CU4" s="17">
        <f>CT4*VLOOKUP('Données projet'!$B$13,Paramètres!$A$1:$I$89,3,0)*VLOOKUP('Données projet'!$B$13,Paramètres!$A$1:$I$89,5,0)</f>
        <v>1.0693167460318327</v>
      </c>
      <c r="CV4" s="13">
        <f>EXP(-1.0587+0.8836*LN(CU4)+0.284)</f>
        <v>0.48895675660122978</v>
      </c>
      <c r="CW4" s="20">
        <f t="shared" ref="CW4:CW67" si="13">(CU4+CV4)*0.475*44/12</f>
        <v>2.713993017085917</v>
      </c>
      <c r="CX4" s="59">
        <f t="shared" ref="CX4:CX67" si="14">CW4+(CO4+CP4)*44/12</f>
        <v>175.93101426616767</v>
      </c>
      <c r="CY4" s="59">
        <f ca="1">AVERAGE(OFFSET($CX$3,0,0,'Données projet'!$E$13+1,1))-AVERAGE(OFFSET($H$3,0,0,'Données projet'!$E$13+1,1))</f>
        <v>280.59827778697775</v>
      </c>
      <c r="CZ4" s="59">
        <f>$CZ$3</f>
        <v>270.86588231964726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46.907672461870774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1.8269230769230766</v>
      </c>
      <c r="DO4" s="12">
        <f>IF('Données projet'!$A$166&gt;35,DO3+DN4-DW3,IF(A4&lt;'Données projet'!$A$166,$DL$205^A4,IF(A4='Données projet'!$A$166,'Données projet'!$B$166,DO3+DN4-DW3)))</f>
        <v>1.197119521332874</v>
      </c>
      <c r="DP4" s="17">
        <f>DO4*VLOOKUP('Données projet'!$B$14,Paramètres!$A$1:$I$89,3,0)*VLOOKUP('Données projet'!$B$14,Paramètres!$A$1:$I$89,5,0)</f>
        <v>0.80302777491009192</v>
      </c>
      <c r="DQ4" s="13">
        <f>EXP(-1.0587+0.8836*LN(DP4)+0.284)</f>
        <v>0.37964002532343649</v>
      </c>
      <c r="DR4" s="20">
        <f t="shared" ref="DR4:DR67" si="16">(DP4+DQ4)*0.475*44/12</f>
        <v>2.0598130854067289</v>
      </c>
      <c r="DS4" s="59">
        <f t="shared" ref="DS4:DS67" si="17">DR4+(DJ4+DK4)*44/12</f>
        <v>175.27683433448846</v>
      </c>
      <c r="DT4" s="59">
        <f ca="1">AVERAGE(OFFSET($DS$3,0,0,'Données projet'!$E$14+1,1))-AVERAGE(OFFSET($H$3,0,0,'Données projet'!$E$14+1,1))</f>
        <v>211.42385430331873</v>
      </c>
      <c r="DU4" s="59">
        <f>$DU$3</f>
        <v>146.84623106782686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>
        <f>EXP(-LN(2)/35)*EA3+(1-EXP(-LN(2)/35))/(LN(2)/35)*DW4*DX4*VLOOKUP('Données projet'!$B$14,Paramètres!$A$1:$I$89,3,0)*0.475*44/12</f>
        <v>0</v>
      </c>
      <c r="EB4" s="21">
        <f>EXP(-LN(2)/25)*EB3+(1-EXP(-LN(2)/25))/(LN(2)/25)*Calculateur!DW4*Calculateur!DY4*VLOOKUP('Données projet'!$B$14,Paramètres!$A$1:$I$89,3,0)*0.475*44/12</f>
        <v>0</v>
      </c>
      <c r="EC4" s="21">
        <f>EXP(-LN(2)/2)*EC3+(1-EXP(-LN(2)/2))/(LN(2)/2)*DW4*DZ4*VLOOKUP('Données projet'!$B$14,Paramètres!$A$1:$I$89,3,0)*0.475*44/12</f>
        <v>0</v>
      </c>
      <c r="ED4" s="22">
        <f t="shared" ref="ED4:ED67" si="18">SUM(EA4:EC4)</f>
        <v>0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46.907672461870774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1.153846153846154</v>
      </c>
      <c r="EJ4" s="12">
        <f>IF('Données projet'!$A$192&gt;35,EJ3+EI4-ER3,IF(A4&lt;'Données projet'!$A$192,$EG$205^A4,IF(A4='Données projet'!$A$192,'Données projet'!$B$192,EJ3+EI4-ER3)))</f>
        <v>1.1439407123438055</v>
      </c>
      <c r="EK4" s="17">
        <f>EJ4*VLOOKUP('Données projet'!$B$15,Paramètres!$A$1:$I$89,3,0)*VLOOKUP('Données projet'!$B$15,Paramètres!$A$1:$I$89,5,0)</f>
        <v>1.2313377827668721</v>
      </c>
      <c r="EL4" s="13">
        <f>EXP(-1.0587+0.8836*LN(EK4)+0.284)</f>
        <v>0.55387194019465891</v>
      </c>
      <c r="EM4" s="20">
        <f t="shared" ref="EM4:EM67" si="19">(EK4+EL4)*0.475*44/12</f>
        <v>3.1092402674913333</v>
      </c>
      <c r="EN4" s="59">
        <f t="shared" ref="EN4:EN67" si="20">EM4+(EE4+EF4)*44/12</f>
        <v>176.32626151657308</v>
      </c>
      <c r="EO4" s="59">
        <f ca="1">AVERAGE(OFFSET($EN$3,0,0,'Données projet'!$E$15+1,1))-AVERAGE(OFFSET($H$3,0,0,'Données projet'!$E$15+1,1))</f>
        <v>212.00478362779876</v>
      </c>
      <c r="EP4" s="59">
        <f>$EP$3</f>
        <v>133.62262474506707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>
        <f>EXP(-LN(2)/35)*EV3+(1-EXP(-LN(2)/35))/(LN(2)/35)*ER4*ES4*VLOOKUP('Données projet'!$B$15,Paramètres!$A$1:$I$89,3,0)*0.475*44/12</f>
        <v>0</v>
      </c>
      <c r="EW4" s="21">
        <f>EXP(-LN(2)/25)*EW3+(1-EXP(-LN(2)/25))/(LN(2)/25)*Calculateur!ER4*Calculateur!ET4*VLOOKUP('Données projet'!$B$15,Paramètres!$A$1:$I$89,3,0)*0.475*44/12</f>
        <v>0</v>
      </c>
      <c r="EX4" s="21">
        <f>EXP(-LN(2)/2)*EX3+(1-EXP(-LN(2)/2))/(LN(2)/2)*ER4*EU4*VLOOKUP('Données projet'!$B$15,Paramètres!$A$1:$I$89,3,0)*0.475*44/12</f>
        <v>0</v>
      </c>
      <c r="EY4" s="22">
        <f t="shared" ref="EY4:EY67" si="21">SUM(EV4:EX4)</f>
        <v>0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46.907672461870774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1.153846153846154</v>
      </c>
      <c r="FE4" s="12">
        <f>IF('Données projet'!$A$218&gt;35,FE3+FD4-FM3,IF(A4&lt;'Données projet'!$A$218,$FB$205^A4,IF(A4='Données projet'!$A$218,'Données projet'!$B$218,FE3+FD4-FM3)))</f>
        <v>1.1439407123438055</v>
      </c>
      <c r="FF4" s="17">
        <f>FE4*VLOOKUP('Données projet'!$B$16,Paramètres!$A$1:$I$89,3,0)*VLOOKUP('Données projet'!$B$16,Paramètres!$A$1:$I$89,5,0)</f>
        <v>1.1064194569789285</v>
      </c>
      <c r="FG4" s="13">
        <f>EXP(-1.0587+0.8836*LN(FF4)+0.284)</f>
        <v>0.50391768952888172</v>
      </c>
      <c r="FH4" s="20">
        <f t="shared" ref="FH4:FH67" si="22">(FF4+FG4)*0.475*44/12</f>
        <v>2.8046705301677695</v>
      </c>
      <c r="FI4" s="59">
        <f t="shared" ref="FI4:FI67" si="23">FH4+(EZ4+FA4)*44/12</f>
        <v>176.02169177924952</v>
      </c>
      <c r="FJ4" s="59">
        <f ca="1">AVERAGE(OFFSET($FI$3,0,0,'Données projet'!$E$16+1,1))-AVERAGE(OFFSET($H$3,0,0,'Données projet'!$E$16+1,1))</f>
        <v>196.65742339093146</v>
      </c>
      <c r="FK4" s="59">
        <f>$FK$3</f>
        <v>125.41980634506001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>
        <f>EXP(-LN(2)/35)*FQ3+(1-EXP(-LN(2)/35))/(LN(2)/35)*FM4*FN4*VLOOKUP('Données projet'!$B$16,Paramètres!$A$1:$I$89,3,0)*0.475*44/12</f>
        <v>0</v>
      </c>
      <c r="FR4" s="21">
        <f>EXP(-LN(2)/25)*FR3+(1-EXP(-LN(2)/25))/(LN(2)/25)*Calculateur!FM4*Calculateur!FO4*VLOOKUP('Données projet'!$B$16,Paramètres!$A$1:$I$89,3,0)*0.475*44/12</f>
        <v>0</v>
      </c>
      <c r="FS4" s="21">
        <f>EXP(-LN(2)/2)*FS3+(1-EXP(-LN(2)/2))/(LN(2)/2)*FM4*FP4*VLOOKUP('Données projet'!$B$16,Paramètres!$A$1:$I$89,3,0)*0.475*44/12</f>
        <v>0</v>
      </c>
      <c r="FT4" s="22">
        <f t="shared" ref="FT4:FT67" si="24">SUM(FQ4:FS4)</f>
        <v>0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46.907672461870774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46.907672461870774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>
      <c r="A5" s="10">
        <f t="shared" ref="A5:A68" si="31">A4+1</f>
        <v>2</v>
      </c>
      <c r="B5" s="73">
        <f>'Scénario référence'!$B$16*5+'Scénario référence'!$B$17*0+'Scénario référence'!$B$18*5</f>
        <v>4.6999999999999993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0.10670399999999998</v>
      </c>
      <c r="D5" s="11">
        <f t="shared" ref="D5:D68" si="32">IFERROR(EXP(-1.0587+0.8836*LN(C5)+0.284),0)</f>
        <v>6.3804679495269981E-2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16.278305774362721</v>
      </c>
      <c r="H5" s="67">
        <f t="shared" si="1"/>
        <v>188.03030261678762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47.308272717947183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5.8890909090909096</v>
      </c>
      <c r="N5" s="13">
        <f>IF('Données projet'!$A$36&gt;35,N4+M5-V4,IF(A5&lt;'Données projet'!$A$36,$K$205^A5,IF(A5='Données projet'!$A$36,'Données projet'!$B$36,N4+M5-V4)))</f>
        <v>1.5561190259606172</v>
      </c>
      <c r="O5" s="13">
        <f>N5*VLOOKUP('Données projet'!$B$9,Paramètres!$A$1:$I$89,3,0)*VLOOKUP('Données projet'!$B$9,Paramètres!$A$1:$I$89,5,0)</f>
        <v>0.93055917752444917</v>
      </c>
      <c r="P5" s="13">
        <f t="shared" ref="P5:P68" si="33">EXP(-1.0587+0.8836*LN(O5)+0.284)</f>
        <v>0.43244836584356472</v>
      </c>
      <c r="Q5" s="20">
        <f t="shared" si="2"/>
        <v>2.3739048046992908</v>
      </c>
      <c r="R5" s="59">
        <f t="shared" si="0"/>
        <v>178.28201588161673</v>
      </c>
      <c r="S5" s="59">
        <f ca="1">AVERAGE(OFFSET($R$3,0,0,'Données projet'!$E$9+1,1))-AVERAGE(OFFSET($H$3,0,0,'Données projet'!$E$9+1,1))</f>
        <v>366.93249569585623</v>
      </c>
      <c r="T5" s="59">
        <f t="shared" ref="T5:T68" si="34">$T$3</f>
        <v>272.47262353368501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47.308272717947183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10.064285714285713</v>
      </c>
      <c r="AI5" s="13">
        <f>IF('Données projet'!$A$62&gt;35,AI4+AH5-AQ4,IF(A5&lt;'Données projet'!$A$62,$AF$205^A5,IF(A5='Données projet'!$A$62,'Données projet'!$B$62,AI4+AH5-AQ4)))</f>
        <v>20.128571428571426</v>
      </c>
      <c r="AJ5" s="13">
        <f>AI5*VLOOKUP('Données projet'!$B$10,Paramètres!$A$1:$I$89,3,0)*VLOOKUP('Données projet'!$B$10,Paramètres!$A$1:$I$89,5,0)</f>
        <v>9.4201714285714271</v>
      </c>
      <c r="AK5" s="13">
        <f t="shared" ref="AK5:AK68" si="35">EXP(-1.0587+0.8836*LN(AJ5)+0.284)</f>
        <v>3.3437240276594942</v>
      </c>
      <c r="AL5" s="20">
        <f t="shared" si="4"/>
        <v>22.23045125293552</v>
      </c>
      <c r="AM5" s="59">
        <f t="shared" si="5"/>
        <v>198.13856232985296</v>
      </c>
      <c r="AN5" s="59">
        <f ca="1">AVERAGE(OFFSET($AM$3,0,0,'Données projet'!$E$10+1,1))-AVERAGE(OFFSET($H$3,0,0,'Données projet'!$E$10+1,1))</f>
        <v>382.89338473200229</v>
      </c>
      <c r="AO5" s="59">
        <f t="shared" ref="AO5:AO68" si="36">$AO$3</f>
        <v>360.46248248971744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47.308272717947183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2.7884615384615379</v>
      </c>
      <c r="BD5" s="12">
        <f>IF('Données projet'!$A$88&gt;35,BD4+BC5-BL4,IF(A5&lt;'Données projet'!$A$88,$BA$205^A5,IF(A5='Données projet'!$A$88,'Données projet'!$B$88,BD4+BC5-BL4)))</f>
        <v>1.4949940542423363</v>
      </c>
      <c r="BE5" s="13">
        <f>BD5*VLOOKUP('Données projet'!$B$11,Paramètres!$A$1:$I$89,3,0)*VLOOKUP('Données projet'!$B$11,Paramètres!$A$1:$I$89,5,0)</f>
        <v>1.3060268057861053</v>
      </c>
      <c r="BF5" s="13">
        <f t="shared" ref="BF5:BF68" si="37">EXP(-1.0587+0.8836*LN(BE5)+0.284)</f>
        <v>0.58345495478858944</v>
      </c>
      <c r="BG5" s="20">
        <f t="shared" si="7"/>
        <v>3.2908473996675931</v>
      </c>
      <c r="BH5" s="59">
        <f t="shared" si="8"/>
        <v>179.19895847658503</v>
      </c>
      <c r="BI5" s="59">
        <f ca="1">AVERAGE(OFFSET($BH$3,0,0,'Données projet'!$E$11+1,1))-AVERAGE(OFFSET($H$3,0,0,'Données projet'!$E$11+1,1))</f>
        <v>225.75484198243581</v>
      </c>
      <c r="BJ5" s="59">
        <f t="shared" ref="BJ5:BJ68" si="38">$BJ$3</f>
        <v>199.49566488421061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47.308272717947183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2.8</v>
      </c>
      <c r="BY5" s="12">
        <f>IF('Données projet'!$A$114&gt;35,BY4+BX5-CG4,IF(A5&lt;'Données projet'!$A$114,$BV$205^A5,IF(A5='Données projet'!$A$114,'Données projet'!$B$114,BY4+BX5-CG4)))</f>
        <v>1.4047784722585119</v>
      </c>
      <c r="BZ5" s="13">
        <f>BY5*VLOOKUP('Données projet'!$B$12,Paramètres!$A$1:$I$89,3,0)*VLOOKUP('Données projet'!$B$12,Paramètres!$A$1:$I$89,5,0)</f>
        <v>1.3367871942012</v>
      </c>
      <c r="CA5" s="13">
        <f t="shared" ref="CA5:CA68" si="39">EXP(-1.0587+0.8836*LN(BZ5)+0.284)</f>
        <v>0.59558080504648392</v>
      </c>
      <c r="CB5" s="20">
        <f t="shared" si="10"/>
        <v>3.3655409320230496</v>
      </c>
      <c r="CC5" s="59">
        <f t="shared" si="11"/>
        <v>179.27365200894047</v>
      </c>
      <c r="CD5" s="59">
        <f ca="1">AVERAGE(OFFSET($CC$3,0,0,'Données projet'!$E$12+1,1))-AVERAGE(OFFSET($H$3,0,0,'Données projet'!$E$12+1,1))</f>
        <v>413.9352601863377</v>
      </c>
      <c r="CE5" s="59">
        <f t="shared" ref="CE5:CE68" si="40">$CE$3</f>
        <v>255.13997349799286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47.308272717947183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2.85</v>
      </c>
      <c r="CT5" s="12">
        <f>IF('Données projet'!$A$140&gt;35,CT4+CS5-DB4,IF(A5&lt;'Données projet'!$A$140,$CQ$205^A5,IF(A5='Données projet'!$A$140,'Données projet'!$B$140,CT4+CS5-DB4)))</f>
        <v>1.4982610367903493</v>
      </c>
      <c r="CU5" s="17">
        <f>CT5*VLOOKUP('Données projet'!$B$13,Paramètres!$A$1:$I$89,3,0)*VLOOKUP('Données projet'!$B$13,Paramètres!$A$1:$I$89,5,0)</f>
        <v>1.3088808417400493</v>
      </c>
      <c r="CV5" s="13">
        <f t="shared" ref="CV5:CV68" si="41">EXP(-1.0587+0.8836*LN(CU5)+0.284)</f>
        <v>0.58458141328454194</v>
      </c>
      <c r="CW5" s="20">
        <f t="shared" si="13"/>
        <v>3.297780094167829</v>
      </c>
      <c r="CX5" s="59">
        <f t="shared" si="14"/>
        <v>179.20589117108526</v>
      </c>
      <c r="CY5" s="59">
        <f ca="1">AVERAGE(OFFSET($CX$3,0,0,'Données projet'!$E$13+1,1))-AVERAGE(OFFSET($H$3,0,0,'Données projet'!$E$13+1,1))</f>
        <v>280.59827778697775</v>
      </c>
      <c r="CZ5" s="59">
        <f t="shared" ref="CZ5:CZ68" si="42">$CZ$3</f>
        <v>270.86588231964726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47.308272717947183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1.8269230769230766</v>
      </c>
      <c r="DO5" s="12">
        <f>IF('Données projet'!$A$166&gt;35,DO4+DN5-DW4,IF(A5&lt;'Données projet'!$A$166,$DL$205^A5,IF(A5='Données projet'!$A$166,'Données projet'!$B$166,DO4+DN5-DW4)))</f>
        <v>1.4330951483562495</v>
      </c>
      <c r="DP5" s="17">
        <f>DO5*VLOOKUP('Données projet'!$B$14,Paramètres!$A$1:$I$89,3,0)*VLOOKUP('Données projet'!$B$14,Paramètres!$A$1:$I$89,5,0)</f>
        <v>0.96132022551737217</v>
      </c>
      <c r="DQ5" s="13">
        <f t="shared" ref="DQ5:DQ68" si="43">EXP(-1.0587+0.8836*LN(DP5)+0.284)</f>
        <v>0.44505563080410987</v>
      </c>
      <c r="DR5" s="20">
        <f t="shared" si="16"/>
        <v>2.4494379497599144</v>
      </c>
      <c r="DS5" s="59">
        <f t="shared" si="17"/>
        <v>178.35754902667736</v>
      </c>
      <c r="DT5" s="59">
        <f ca="1">AVERAGE(OFFSET($DS$3,0,0,'Données projet'!$E$14+1,1))-AVERAGE(OFFSET($H$3,0,0,'Données projet'!$E$14+1,1))</f>
        <v>211.42385430331873</v>
      </c>
      <c r="DU5" s="59">
        <f t="shared" ref="DU5:DU68" si="44">$DU$3</f>
        <v>146.84623106782686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>
        <f>EXP(-LN(2)/35)*EA4+(1-EXP(-LN(2)/35))/(LN(2)/35)*DW5*DX5*VLOOKUP('Données projet'!$B$14,Paramètres!$A$1:$I$89,3,0)*0.475*44/12</f>
        <v>0</v>
      </c>
      <c r="EB5" s="21">
        <f>EXP(-LN(2)/25)*EB4+(1-EXP(-LN(2)/25))/(LN(2)/25)*Calculateur!DW5*Calculateur!DY5*VLOOKUP('Données projet'!$B$14,Paramètres!$A$1:$I$89,3,0)*0.475*44/12</f>
        <v>0</v>
      </c>
      <c r="EC5" s="21">
        <f>EXP(-LN(2)/2)*EC4+(1-EXP(-LN(2)/2))/(LN(2)/2)*DW5*DZ5*VLOOKUP('Données projet'!$B$14,Paramètres!$A$1:$I$89,3,0)*0.475*44/12</f>
        <v>0</v>
      </c>
      <c r="ED5" s="22">
        <f t="shared" si="18"/>
        <v>0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47.308272717947183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1.153846153846154</v>
      </c>
      <c r="EJ5" s="12">
        <f>IF('Données projet'!$A$192&gt;35,EJ4+EI5-ER4,IF(A5&lt;'Données projet'!$A$192,$EG$205^A5,IF(A5='Données projet'!$A$192,'Données projet'!$B$192,EJ4+EI5-ER4)))</f>
        <v>1.3086003533576531</v>
      </c>
      <c r="EK5" s="17">
        <f>EJ5*VLOOKUP('Données projet'!$B$15,Paramètres!$A$1:$I$89,3,0)*VLOOKUP('Données projet'!$B$15,Paramètres!$A$1:$I$89,5,0)</f>
        <v>1.4085774203541777</v>
      </c>
      <c r="EL5" s="13">
        <f t="shared" ref="EL5:EL68" si="45">EXP(-1.0587+0.8836*LN(EK5)+0.284)</f>
        <v>0.62375596398272404</v>
      </c>
      <c r="EM5" s="20">
        <f t="shared" si="19"/>
        <v>3.5396473110534372</v>
      </c>
      <c r="EN5" s="59">
        <f t="shared" si="20"/>
        <v>179.44775838797088</v>
      </c>
      <c r="EO5" s="59">
        <f ca="1">AVERAGE(OFFSET($EN$3,0,0,'Données projet'!$E$15+1,1))-AVERAGE(OFFSET($H$3,0,0,'Données projet'!$E$15+1,1))</f>
        <v>212.00478362779876</v>
      </c>
      <c r="EP5" s="59">
        <f t="shared" ref="EP5:EP68" si="46">$EP$3</f>
        <v>133.62262474506707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>
        <f>EXP(-LN(2)/35)*EV4+(1-EXP(-LN(2)/35))/(LN(2)/35)*ER5*ES5*VLOOKUP('Données projet'!$B$15,Paramètres!$A$1:$I$89,3,0)*0.475*44/12</f>
        <v>0</v>
      </c>
      <c r="EW5" s="21">
        <f>EXP(-LN(2)/25)*EW4+(1-EXP(-LN(2)/25))/(LN(2)/25)*Calculateur!ER5*Calculateur!ET5*VLOOKUP('Données projet'!$B$15,Paramètres!$A$1:$I$89,3,0)*0.475*44/12</f>
        <v>0</v>
      </c>
      <c r="EX5" s="21">
        <f>EXP(-LN(2)/2)*EX4+(1-EXP(-LN(2)/2))/(LN(2)/2)*ER5*EU5*VLOOKUP('Données projet'!$B$15,Paramètres!$A$1:$I$89,3,0)*0.475*44/12</f>
        <v>0</v>
      </c>
      <c r="EY5" s="22">
        <f t="shared" si="21"/>
        <v>0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47.308272717947183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1.153846153846154</v>
      </c>
      <c r="FE5" s="12">
        <f>IF('Données projet'!$A$218&gt;35,FE4+FD5-FM4,IF(A5&lt;'Données projet'!$A$218,$FB$205^A5,IF(A5='Données projet'!$A$218,'Données projet'!$B$218,FE4+FD5-FM4)))</f>
        <v>1.3086003533576531</v>
      </c>
      <c r="FF5" s="17">
        <f>FE5*VLOOKUP('Données projet'!$B$16,Paramètres!$A$1:$I$89,3,0)*VLOOKUP('Données projet'!$B$16,Paramètres!$A$1:$I$89,5,0)</f>
        <v>1.2656782617675222</v>
      </c>
      <c r="FG5" s="13">
        <f t="shared" ref="FG5:FG68" si="47">EXP(-1.0587+0.8836*LN(FF5)+0.284)</f>
        <v>0.56749880502985206</v>
      </c>
      <c r="FH5" s="20">
        <f t="shared" si="22"/>
        <v>3.1927833913387604</v>
      </c>
      <c r="FI5" s="59">
        <f t="shared" si="23"/>
        <v>179.1008944682562</v>
      </c>
      <c r="FJ5" s="59">
        <f ca="1">AVERAGE(OFFSET($FI$3,0,0,'Données projet'!$E$16+1,1))-AVERAGE(OFFSET($H$3,0,0,'Données projet'!$E$16+1,1))</f>
        <v>196.65742339093146</v>
      </c>
      <c r="FK5" s="59">
        <f t="shared" ref="FK5:FK68" si="48">$FK$3</f>
        <v>125.41980634506001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>
        <f>EXP(-LN(2)/35)*FQ4+(1-EXP(-LN(2)/35))/(LN(2)/35)*FM5*FN5*VLOOKUP('Données projet'!$B$16,Paramètres!$A$1:$I$89,3,0)*0.475*44/12</f>
        <v>0</v>
      </c>
      <c r="FR5" s="21">
        <f>EXP(-LN(2)/25)*FR4+(1-EXP(-LN(2)/25))/(LN(2)/25)*Calculateur!FM5*Calculateur!FO5*VLOOKUP('Données projet'!$B$16,Paramètres!$A$1:$I$89,3,0)*0.475*44/12</f>
        <v>0</v>
      </c>
      <c r="FS5" s="21">
        <f>EXP(-LN(2)/2)*FS4+(1-EXP(-LN(2)/2))/(LN(2)/2)*FM5*FP5*VLOOKUP('Données projet'!$B$16,Paramètres!$A$1:$I$89,3,0)*0.475*44/12</f>
        <v>0</v>
      </c>
      <c r="FT5" s="22">
        <f t="shared" si="24"/>
        <v>0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47.308272717947183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47.308272717947183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>
      <c r="A6" s="10">
        <f t="shared" si="31"/>
        <v>3</v>
      </c>
      <c r="B6" s="73">
        <f>'Scénario référence'!$B$16*5+'Scénario référence'!$B$17*0+'Scénario référence'!$B$18*5</f>
        <v>4.6999999999999993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0.16005599999999998</v>
      </c>
      <c r="D6" s="11">
        <f t="shared" si="32"/>
        <v>9.1294952701675772E-2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16.31574851142674</v>
      </c>
      <c r="H6" s="67">
        <f t="shared" si="1"/>
        <v>188.17110290928878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47.70192345518867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5.8890909090909096</v>
      </c>
      <c r="N6" s="13">
        <f>IF('Données projet'!$A$36&gt;35,N5+M6-V5,IF(A6&lt;'Données projet'!$A$36,$K$205^A6,IF(A6='Données projet'!$A$36,'Données projet'!$B$36,N5+M6-V5)))</f>
        <v>1.9411728970518403</v>
      </c>
      <c r="O6" s="13">
        <f>N6*VLOOKUP('Données projet'!$B$9,Paramètres!$A$1:$I$89,3,0)*VLOOKUP('Données projet'!$B$9,Paramètres!$A$1:$I$89,5,0)</f>
        <v>1.1608213924370006</v>
      </c>
      <c r="P6" s="13">
        <f t="shared" si="33"/>
        <v>0.52574938695127893</v>
      </c>
      <c r="Q6" s="20">
        <f t="shared" si="2"/>
        <v>2.9374441074345867</v>
      </c>
      <c r="R6" s="59">
        <f t="shared" si="0"/>
        <v>181.51116344312635</v>
      </c>
      <c r="S6" s="59">
        <f ca="1">AVERAGE(OFFSET($R$3,0,0,'Données projet'!$E$9+1,1))-AVERAGE(OFFSET($H$3,0,0,'Données projet'!$E$9+1,1))</f>
        <v>366.93249569585623</v>
      </c>
      <c r="T6" s="59">
        <f t="shared" si="34"/>
        <v>272.47262353368501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47.70192345518867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10.064285714285713</v>
      </c>
      <c r="AI6" s="13">
        <f>IF('Données projet'!$A$62&gt;35,AI5+AH6-AQ5,IF(A6&lt;'Données projet'!$A$62,$AF$205^A6,IF(A6='Données projet'!$A$62,'Données projet'!$B$62,AI5+AH6-AQ5)))</f>
        <v>30.19285714285714</v>
      </c>
      <c r="AJ6" s="13">
        <f>AI6*VLOOKUP('Données projet'!$B$10,Paramètres!$A$1:$I$89,3,0)*VLOOKUP('Données projet'!$B$10,Paramètres!$A$1:$I$89,5,0)</f>
        <v>14.130257142857142</v>
      </c>
      <c r="AK6" s="13">
        <f t="shared" si="35"/>
        <v>4.7843689423322058</v>
      </c>
      <c r="AL6" s="20">
        <f t="shared" si="4"/>
        <v>32.942973765038111</v>
      </c>
      <c r="AM6" s="59">
        <f t="shared" si="5"/>
        <v>211.5166931007299</v>
      </c>
      <c r="AN6" s="59">
        <f ca="1">AVERAGE(OFFSET($AM$3,0,0,'Données projet'!$E$10+1,1))-AVERAGE(OFFSET($H$3,0,0,'Données projet'!$E$10+1,1))</f>
        <v>382.89338473200229</v>
      </c>
      <c r="AO6" s="59">
        <f t="shared" si="36"/>
        <v>360.46248248971744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47.70192345518867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2.7884615384615379</v>
      </c>
      <c r="BD6" s="12">
        <f>IF('Données projet'!$A$88&gt;35,BD5+BC6-BL5,IF(A6&lt;'Données projet'!$A$88,$BA$205^A6,IF(A6='Données projet'!$A$88,'Données projet'!$B$88,BD5+BC6-BL5)))</f>
        <v>1.8279284746421254</v>
      </c>
      <c r="BE6" s="13">
        <f>BD6*VLOOKUP('Données projet'!$B$11,Paramètres!$A$1:$I$89,3,0)*VLOOKUP('Données projet'!$B$11,Paramètres!$A$1:$I$89,5,0)</f>
        <v>1.5968783154473611</v>
      </c>
      <c r="BF6" s="13">
        <f t="shared" si="37"/>
        <v>0.69688809920670447</v>
      </c>
      <c r="BG6" s="20">
        <f t="shared" si="7"/>
        <v>3.9949765055224975</v>
      </c>
      <c r="BH6" s="59">
        <f t="shared" si="8"/>
        <v>182.56869584121426</v>
      </c>
      <c r="BI6" s="59">
        <f ca="1">AVERAGE(OFFSET($BH$3,0,0,'Données projet'!$E$11+1,1))-AVERAGE(OFFSET($H$3,0,0,'Données projet'!$E$11+1,1))</f>
        <v>225.75484198243581</v>
      </c>
      <c r="BJ6" s="59">
        <f t="shared" si="38"/>
        <v>199.49566488421061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47.70192345518867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2.8</v>
      </c>
      <c r="BY6" s="12">
        <f>IF('Données projet'!$A$114&gt;35,BY5+BX6-CG5,IF(A6&lt;'Données projet'!$A$114,$BV$205^A6,IF(A6='Données projet'!$A$114,'Données projet'!$B$114,BY5+BX6-CG5)))</f>
        <v>1.6649905188734988</v>
      </c>
      <c r="BZ6" s="13">
        <f>BY6*VLOOKUP('Données projet'!$B$12,Paramètres!$A$1:$I$89,3,0)*VLOOKUP('Données projet'!$B$12,Paramètres!$A$1:$I$89,5,0)</f>
        <v>1.5844049777600215</v>
      </c>
      <c r="CA6" s="13">
        <f t="shared" si="39"/>
        <v>0.69207607752734202</v>
      </c>
      <c r="CB6" s="20">
        <f t="shared" si="10"/>
        <v>3.9648711712921583</v>
      </c>
      <c r="CC6" s="59">
        <f t="shared" si="11"/>
        <v>182.53859050698392</v>
      </c>
      <c r="CD6" s="59">
        <f ca="1">AVERAGE(OFFSET($CC$3,0,0,'Données projet'!$E$12+1,1))-AVERAGE(OFFSET($H$3,0,0,'Données projet'!$E$12+1,1))</f>
        <v>413.9352601863377</v>
      </c>
      <c r="CE6" s="59">
        <f t="shared" si="40"/>
        <v>255.13997349799286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47.70192345518867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2.85</v>
      </c>
      <c r="CT6" s="12">
        <f>IF('Données projet'!$A$140&gt;35,CT5+CS6-DB5,IF(A6&lt;'Données projet'!$A$140,$CQ$205^A6,IF(A6='Données projet'!$A$140,'Données projet'!$B$140,CT5+CS6-DB5)))</f>
        <v>1.8339235537625185</v>
      </c>
      <c r="CU6" s="17">
        <f>CT6*VLOOKUP('Données projet'!$B$13,Paramètres!$A$1:$I$89,3,0)*VLOOKUP('Données projet'!$B$13,Paramètres!$A$1:$I$89,5,0)</f>
        <v>1.6021156165669364</v>
      </c>
      <c r="CV6" s="13">
        <f t="shared" si="41"/>
        <v>0.69890726356493671</v>
      </c>
      <c r="CW6" s="20">
        <f t="shared" si="13"/>
        <v>4.0076148495630122</v>
      </c>
      <c r="CX6" s="59">
        <f t="shared" si="14"/>
        <v>182.58133418525478</v>
      </c>
      <c r="CY6" s="59">
        <f ca="1">AVERAGE(OFFSET($CX$3,0,0,'Données projet'!$E$13+1,1))-AVERAGE(OFFSET($H$3,0,0,'Données projet'!$E$13+1,1))</f>
        <v>280.59827778697775</v>
      </c>
      <c r="CZ6" s="59">
        <f t="shared" si="42"/>
        <v>270.86588231964726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47.70192345518867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1.8269230769230766</v>
      </c>
      <c r="DO6" s="12">
        <f>IF('Données projet'!$A$166&gt;35,DO5+DN6-DW5,IF(A6&lt;'Données projet'!$A$166,$DL$205^A6,IF(A6='Données projet'!$A$166,'Données projet'!$B$166,DO5+DN6-DW5)))</f>
        <v>1.7155861780246975</v>
      </c>
      <c r="DP6" s="17">
        <f>DO6*VLOOKUP('Données projet'!$B$14,Paramètres!$A$1:$I$89,3,0)*VLOOKUP('Données projet'!$B$14,Paramètres!$A$1:$I$89,5,0)</f>
        <v>1.1508152082189671</v>
      </c>
      <c r="DQ6" s="13">
        <f t="shared" si="43"/>
        <v>0.52174297044073104</v>
      </c>
      <c r="DR6" s="20">
        <f t="shared" si="16"/>
        <v>2.9130388278323074</v>
      </c>
      <c r="DS6" s="59">
        <f t="shared" si="17"/>
        <v>181.48675816352409</v>
      </c>
      <c r="DT6" s="59">
        <f ca="1">AVERAGE(OFFSET($DS$3,0,0,'Données projet'!$E$14+1,1))-AVERAGE(OFFSET($H$3,0,0,'Données projet'!$E$14+1,1))</f>
        <v>211.42385430331873</v>
      </c>
      <c r="DU6" s="59">
        <f t="shared" si="44"/>
        <v>146.84623106782686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>
        <f>EXP(-LN(2)/35)*EA5+(1-EXP(-LN(2)/35))/(LN(2)/35)*DW6*DX6*VLOOKUP('Données projet'!$B$14,Paramètres!$A$1:$I$89,3,0)*0.475*44/12</f>
        <v>0</v>
      </c>
      <c r="EB6" s="21">
        <f>EXP(-LN(2)/25)*EB5+(1-EXP(-LN(2)/25))/(LN(2)/25)*Calculateur!DW6*Calculateur!DY6*VLOOKUP('Données projet'!$B$14,Paramètres!$A$1:$I$89,3,0)*0.475*44/12</f>
        <v>0</v>
      </c>
      <c r="EC6" s="21">
        <f>EXP(-LN(2)/2)*EC5+(1-EXP(-LN(2)/2))/(LN(2)/2)*DW6*DZ6*VLOOKUP('Données projet'!$B$14,Paramètres!$A$1:$I$89,3,0)*0.475*44/12</f>
        <v>0</v>
      </c>
      <c r="ED6" s="22">
        <f t="shared" si="18"/>
        <v>0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47.70192345518867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1.153846153846154</v>
      </c>
      <c r="EJ6" s="12">
        <f>IF('Données projet'!$A$192&gt;35,EJ5+EI6-ER5,IF(A6&lt;'Données projet'!$A$192,$EG$205^A6,IF(A6='Données projet'!$A$192,'Données projet'!$B$192,EJ5+EI6-ER5)))</f>
        <v>1.4969612203933091</v>
      </c>
      <c r="EK6" s="17">
        <f>EJ6*VLOOKUP('Données projet'!$B$15,Paramètres!$A$1:$I$89,3,0)*VLOOKUP('Données projet'!$B$15,Paramètres!$A$1:$I$89,5,0)</f>
        <v>1.6113290576313579</v>
      </c>
      <c r="EL6" s="13">
        <f t="shared" si="45"/>
        <v>0.7024575075373517</v>
      </c>
      <c r="EM6" s="20">
        <f t="shared" si="19"/>
        <v>4.0298449343355021</v>
      </c>
      <c r="EN6" s="59">
        <f t="shared" si="20"/>
        <v>182.60356427002728</v>
      </c>
      <c r="EO6" s="59">
        <f ca="1">AVERAGE(OFFSET($EN$3,0,0,'Données projet'!$E$15+1,1))-AVERAGE(OFFSET($H$3,0,0,'Données projet'!$E$15+1,1))</f>
        <v>212.00478362779876</v>
      </c>
      <c r="EP6" s="59">
        <f t="shared" si="46"/>
        <v>133.62262474506707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>
        <f>EXP(-LN(2)/35)*EV5+(1-EXP(-LN(2)/35))/(LN(2)/35)*ER6*ES6*VLOOKUP('Données projet'!$B$15,Paramètres!$A$1:$I$89,3,0)*0.475*44/12</f>
        <v>0</v>
      </c>
      <c r="EW6" s="21">
        <f>EXP(-LN(2)/25)*EW5+(1-EXP(-LN(2)/25))/(LN(2)/25)*Calculateur!ER6*Calculateur!ET6*VLOOKUP('Données projet'!$B$15,Paramètres!$A$1:$I$89,3,0)*0.475*44/12</f>
        <v>0</v>
      </c>
      <c r="EX6" s="21">
        <f>EXP(-LN(2)/2)*EX5+(1-EXP(-LN(2)/2))/(LN(2)/2)*ER6*EU6*VLOOKUP('Données projet'!$B$15,Paramètres!$A$1:$I$89,3,0)*0.475*44/12</f>
        <v>0</v>
      </c>
      <c r="EY6" s="22">
        <f t="shared" si="21"/>
        <v>0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47.70192345518867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1.153846153846154</v>
      </c>
      <c r="FE6" s="12">
        <f>IF('Données projet'!$A$218&gt;35,FE5+FD6-FM5,IF(A6&lt;'Données projet'!$A$218,$FB$205^A6,IF(A6='Données projet'!$A$218,'Données projet'!$B$218,FE5+FD6-FM5)))</f>
        <v>1.4969612203933091</v>
      </c>
      <c r="FF6" s="17">
        <f>FE6*VLOOKUP('Données projet'!$B$16,Paramètres!$A$1:$I$89,3,0)*VLOOKUP('Données projet'!$B$16,Paramètres!$A$1:$I$89,5,0)</f>
        <v>1.4478608923644087</v>
      </c>
      <c r="FG6" s="13">
        <f t="shared" si="47"/>
        <v>0.63910217958691373</v>
      </c>
      <c r="FH6" s="20">
        <f t="shared" si="22"/>
        <v>3.6347940169818869</v>
      </c>
      <c r="FI6" s="59">
        <f t="shared" si="23"/>
        <v>182.20851335267366</v>
      </c>
      <c r="FJ6" s="59">
        <f ca="1">AVERAGE(OFFSET($FI$3,0,0,'Données projet'!$E$16+1,1))-AVERAGE(OFFSET($H$3,0,0,'Données projet'!$E$16+1,1))</f>
        <v>196.65742339093146</v>
      </c>
      <c r="FK6" s="59">
        <f t="shared" si="48"/>
        <v>125.41980634506001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>
        <f>EXP(-LN(2)/35)*FQ5+(1-EXP(-LN(2)/35))/(LN(2)/35)*FM6*FN6*VLOOKUP('Données projet'!$B$16,Paramètres!$A$1:$I$89,3,0)*0.475*44/12</f>
        <v>0</v>
      </c>
      <c r="FR6" s="21">
        <f>EXP(-LN(2)/25)*FR5+(1-EXP(-LN(2)/25))/(LN(2)/25)*Calculateur!FM6*Calculateur!FO6*VLOOKUP('Données projet'!$B$16,Paramètres!$A$1:$I$89,3,0)*0.475*44/12</f>
        <v>0</v>
      </c>
      <c r="FS6" s="21">
        <f>EXP(-LN(2)/2)*FS5+(1-EXP(-LN(2)/2))/(LN(2)/2)*FM6*FP6*VLOOKUP('Données projet'!$B$16,Paramètres!$A$1:$I$89,3,0)*0.475*44/12</f>
        <v>0</v>
      </c>
      <c r="FT6" s="22">
        <f t="shared" si="24"/>
        <v>0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47.70192345518867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47.70192345518867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>
      <c r="A7" s="10">
        <f t="shared" si="31"/>
        <v>4</v>
      </c>
      <c r="B7" s="73">
        <f>'Scénario référence'!$B$16*5+'Scénario référence'!$B$17*0+'Scénario référence'!$B$18*5</f>
        <v>4.6999999999999993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0.21340799999999996</v>
      </c>
      <c r="D7" s="11">
        <f t="shared" si="32"/>
        <v>0.11771793513389536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16.352696924342716</v>
      </c>
      <c r="H7" s="67">
        <f t="shared" si="1"/>
        <v>188.31004433702489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48.088745232210215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5.8890909090909096</v>
      </c>
      <c r="N7" s="13">
        <f>IF('Données projet'!$A$36&gt;35,N6+M7-V6,IF(A7&lt;'Données projet'!$A$36,$K$205^A7,IF(A7='Données projet'!$A$36,'Données projet'!$B$36,N6+M7-V6)))</f>
        <v>2.4215064229566203</v>
      </c>
      <c r="O7" s="13">
        <f>N7*VLOOKUP('Données projet'!$B$9,Paramètres!$A$1:$I$89,3,0)*VLOOKUP('Données projet'!$B$9,Paramètres!$A$1:$I$89,5,0)</f>
        <v>1.4480608409280591</v>
      </c>
      <c r="P7" s="13">
        <f t="shared" si="33"/>
        <v>0.63918016510585218</v>
      </c>
      <c r="Q7" s="20">
        <f t="shared" si="2"/>
        <v>3.6352780855090621</v>
      </c>
      <c r="R7" s="59">
        <f t="shared" si="0"/>
        <v>184.84956615916875</v>
      </c>
      <c r="S7" s="59">
        <f ca="1">AVERAGE(OFFSET($R$3,0,0,'Données projet'!$E$9+1,1))-AVERAGE(OFFSET($H$3,0,0,'Données projet'!$E$9+1,1))</f>
        <v>366.93249569585623</v>
      </c>
      <c r="T7" s="59">
        <f t="shared" si="34"/>
        <v>272.47262353368501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48.088745232210215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10.064285714285713</v>
      </c>
      <c r="AI7" s="13">
        <f>IF('Données projet'!$A$62&gt;35,AI6+AH7-AQ6,IF(A7&lt;'Données projet'!$A$62,$AF$205^A7,IF(A7='Données projet'!$A$62,'Données projet'!$B$62,AI6+AH7-AQ6)))</f>
        <v>40.257142857142853</v>
      </c>
      <c r="AJ7" s="13">
        <f>AI7*VLOOKUP('Données projet'!$B$10,Paramètres!$A$1:$I$89,3,0)*VLOOKUP('Données projet'!$B$10,Paramètres!$A$1:$I$89,5,0)</f>
        <v>18.840342857142854</v>
      </c>
      <c r="AK7" s="13">
        <f t="shared" si="35"/>
        <v>6.1690818182520228</v>
      </c>
      <c r="AL7" s="20">
        <f t="shared" si="4"/>
        <v>43.55808130964607</v>
      </c>
      <c r="AM7" s="59">
        <f t="shared" si="5"/>
        <v>224.77236938330574</v>
      </c>
      <c r="AN7" s="59">
        <f ca="1">AVERAGE(OFFSET($AM$3,0,0,'Données projet'!$E$10+1,1))-AVERAGE(OFFSET($H$3,0,0,'Données projet'!$E$10+1,1))</f>
        <v>382.89338473200229</v>
      </c>
      <c r="AO7" s="59">
        <f t="shared" si="36"/>
        <v>360.46248248971744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48.088745232210215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2.7884615384615379</v>
      </c>
      <c r="BD7" s="12">
        <f>IF('Données projet'!$A$88&gt;35,BD6+BC7-BL6,IF(A7&lt;'Données projet'!$A$88,$BA$205^A7,IF(A7='Données projet'!$A$88,'Données projet'!$B$88,BD6+BC7-BL6)))</f>
        <v>2.2350072222199375</v>
      </c>
      <c r="BE7" s="13">
        <f>BD7*VLOOKUP('Données projet'!$B$11,Paramètres!$A$1:$I$89,3,0)*VLOOKUP('Données projet'!$B$11,Paramètres!$A$1:$I$89,5,0)</f>
        <v>1.9525023093313376</v>
      </c>
      <c r="BF7" s="13">
        <f t="shared" si="37"/>
        <v>0.83237449408910458</v>
      </c>
      <c r="BG7" s="20">
        <f t="shared" si="7"/>
        <v>4.8503270992906033</v>
      </c>
      <c r="BH7" s="59">
        <f t="shared" si="8"/>
        <v>186.06461517295028</v>
      </c>
      <c r="BI7" s="59">
        <f ca="1">AVERAGE(OFFSET($BH$3,0,0,'Données projet'!$E$11+1,1))-AVERAGE(OFFSET($H$3,0,0,'Données projet'!$E$11+1,1))</f>
        <v>225.75484198243581</v>
      </c>
      <c r="BJ7" s="59">
        <f t="shared" si="38"/>
        <v>199.49566488421061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48.088745232210215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2.8</v>
      </c>
      <c r="BY7" s="12">
        <f>IF('Données projet'!$A$114&gt;35,BY6+BX7-CG6,IF(A7&lt;'Données projet'!$A$114,$BV$205^A7,IF(A7='Données projet'!$A$114,'Données projet'!$B$114,BY6+BX7-CG6)))</f>
        <v>1.9734025561209587</v>
      </c>
      <c r="BZ7" s="13">
        <f>BY7*VLOOKUP('Données projet'!$B$12,Paramètres!$A$1:$I$89,3,0)*VLOOKUP('Données projet'!$B$12,Paramètres!$A$1:$I$89,5,0)</f>
        <v>1.8778898724047044</v>
      </c>
      <c r="CA7" s="13">
        <f t="shared" si="39"/>
        <v>0.80420539585430195</v>
      </c>
      <c r="CB7" s="20">
        <f t="shared" si="10"/>
        <v>4.6713159255511032</v>
      </c>
      <c r="CC7" s="59">
        <f t="shared" si="11"/>
        <v>185.88560399921079</v>
      </c>
      <c r="CD7" s="59">
        <f ca="1">AVERAGE(OFFSET($CC$3,0,0,'Données projet'!$E$12+1,1))-AVERAGE(OFFSET($H$3,0,0,'Données projet'!$E$12+1,1))</f>
        <v>413.9352601863377</v>
      </c>
      <c r="CE7" s="59">
        <f t="shared" si="40"/>
        <v>255.13997349799286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48.088745232210215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2.85</v>
      </c>
      <c r="CT7" s="12">
        <f>IF('Données projet'!$A$140&gt;35,CT6+CS7-DB6,IF(A7&lt;'Données projet'!$A$140,$CQ$205^A7,IF(A7='Données projet'!$A$140,'Données projet'!$B$140,CT6+CS7-DB6)))</f>
        <v>2.2447861343640922</v>
      </c>
      <c r="CU7" s="17">
        <f>CT7*VLOOKUP('Données projet'!$B$13,Paramètres!$A$1:$I$89,3,0)*VLOOKUP('Données projet'!$B$13,Paramètres!$A$1:$I$89,5,0)</f>
        <v>1.9610451669804712</v>
      </c>
      <c r="CV7" s="13">
        <f t="shared" si="41"/>
        <v>0.83559167630611453</v>
      </c>
      <c r="CW7" s="20">
        <f t="shared" si="13"/>
        <v>4.8708091687241364</v>
      </c>
      <c r="CX7" s="59">
        <f t="shared" si="14"/>
        <v>186.08509724238382</v>
      </c>
      <c r="CY7" s="59">
        <f ca="1">AVERAGE(OFFSET($CX$3,0,0,'Données projet'!$E$13+1,1))-AVERAGE(OFFSET($H$3,0,0,'Données projet'!$E$13+1,1))</f>
        <v>280.59827778697775</v>
      </c>
      <c r="CZ7" s="59">
        <f t="shared" si="42"/>
        <v>270.86588231964726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48.088745232210215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1.8269230769230766</v>
      </c>
      <c r="DO7" s="12">
        <f>IF('Données projet'!$A$166&gt;35,DO6+DN7-DW6,IF(A7&lt;'Données projet'!$A$166,$DL$205^A7,IF(A7='Données projet'!$A$166,'Données projet'!$B$166,DO6+DN7-DW6)))</f>
        <v>2.0537617042422207</v>
      </c>
      <c r="DP7" s="17">
        <f>DO7*VLOOKUP('Données projet'!$B$14,Paramètres!$A$1:$I$89,3,0)*VLOOKUP('Données projet'!$B$14,Paramètres!$A$1:$I$89,5,0)</f>
        <v>1.3776633512056815</v>
      </c>
      <c r="DQ7" s="13">
        <f t="shared" si="43"/>
        <v>0.61164427177898739</v>
      </c>
      <c r="DR7" s="20">
        <f t="shared" si="16"/>
        <v>3.4647107766982983</v>
      </c>
      <c r="DS7" s="59">
        <f t="shared" si="17"/>
        <v>184.67899885035797</v>
      </c>
      <c r="DT7" s="59">
        <f ca="1">AVERAGE(OFFSET($DS$3,0,0,'Données projet'!$E$14+1,1))-AVERAGE(OFFSET($H$3,0,0,'Données projet'!$E$14+1,1))</f>
        <v>211.42385430331873</v>
      </c>
      <c r="DU7" s="59">
        <f t="shared" si="44"/>
        <v>146.84623106782686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>
        <f>EXP(-LN(2)/35)*EA6+(1-EXP(-LN(2)/35))/(LN(2)/35)*DW7*DX7*VLOOKUP('Données projet'!$B$14,Paramètres!$A$1:$I$89,3,0)*0.475*44/12</f>
        <v>0</v>
      </c>
      <c r="EB7" s="21">
        <f>EXP(-LN(2)/25)*EB6+(1-EXP(-LN(2)/25))/(LN(2)/25)*Calculateur!DW7*Calculateur!DY7*VLOOKUP('Données projet'!$B$14,Paramètres!$A$1:$I$89,3,0)*0.475*44/12</f>
        <v>0</v>
      </c>
      <c r="EC7" s="21">
        <f>EXP(-LN(2)/2)*EC6+(1-EXP(-LN(2)/2))/(LN(2)/2)*DW7*DZ7*VLOOKUP('Données projet'!$B$14,Paramètres!$A$1:$I$89,3,0)*0.475*44/12</f>
        <v>0</v>
      </c>
      <c r="ED7" s="22">
        <f t="shared" si="18"/>
        <v>0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48.088745232210215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1.153846153846154</v>
      </c>
      <c r="EJ7" s="12">
        <f>IF('Données projet'!$A$192&gt;35,EJ6+EI7-ER6,IF(A7&lt;'Données projet'!$A$192,$EG$205^A7,IF(A7='Données projet'!$A$192,'Données projet'!$B$192,EJ6+EI7-ER6)))</f>
        <v>1.7124348848077746</v>
      </c>
      <c r="EK7" s="17">
        <f>EJ7*VLOOKUP('Données projet'!$B$15,Paramètres!$A$1:$I$89,3,0)*VLOOKUP('Données projet'!$B$15,Paramètres!$A$1:$I$89,5,0)</f>
        <v>1.8432649100070886</v>
      </c>
      <c r="EL7" s="13">
        <f t="shared" si="45"/>
        <v>0.79108910918446207</v>
      </c>
      <c r="EM7" s="20">
        <f t="shared" si="19"/>
        <v>4.5881665834252843</v>
      </c>
      <c r="EN7" s="59">
        <f t="shared" si="20"/>
        <v>185.80245465708495</v>
      </c>
      <c r="EO7" s="59">
        <f ca="1">AVERAGE(OFFSET($EN$3,0,0,'Données projet'!$E$15+1,1))-AVERAGE(OFFSET($H$3,0,0,'Données projet'!$E$15+1,1))</f>
        <v>212.00478362779876</v>
      </c>
      <c r="EP7" s="59">
        <f t="shared" si="46"/>
        <v>133.62262474506707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>
        <f>EXP(-LN(2)/35)*EV6+(1-EXP(-LN(2)/35))/(LN(2)/35)*ER7*ES7*VLOOKUP('Données projet'!$B$15,Paramètres!$A$1:$I$89,3,0)*0.475*44/12</f>
        <v>0</v>
      </c>
      <c r="EW7" s="21">
        <f>EXP(-LN(2)/25)*EW6+(1-EXP(-LN(2)/25))/(LN(2)/25)*Calculateur!ER7*Calculateur!ET7*VLOOKUP('Données projet'!$B$15,Paramètres!$A$1:$I$89,3,0)*0.475*44/12</f>
        <v>0</v>
      </c>
      <c r="EX7" s="21">
        <f>EXP(-LN(2)/2)*EX6+(1-EXP(-LN(2)/2))/(LN(2)/2)*ER7*EU7*VLOOKUP('Données projet'!$B$15,Paramètres!$A$1:$I$89,3,0)*0.475*44/12</f>
        <v>0</v>
      </c>
      <c r="EY7" s="22">
        <f t="shared" si="21"/>
        <v>0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48.088745232210215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1.153846153846154</v>
      </c>
      <c r="FE7" s="12">
        <f>IF('Données projet'!$A$218&gt;35,FE6+FD7-FM6,IF(A7&lt;'Données projet'!$A$218,$FB$205^A7,IF(A7='Données projet'!$A$218,'Données projet'!$B$218,FE6+FD7-FM6)))</f>
        <v>1.7124348848077746</v>
      </c>
      <c r="FF7" s="17">
        <f>FE7*VLOOKUP('Données projet'!$B$16,Paramètres!$A$1:$I$89,3,0)*VLOOKUP('Données projet'!$B$16,Paramètres!$A$1:$I$89,5,0)</f>
        <v>1.6562670205860797</v>
      </c>
      <c r="FG7" s="13">
        <f t="shared" si="47"/>
        <v>0.71974001060893522</v>
      </c>
      <c r="FH7" s="20">
        <f t="shared" si="22"/>
        <v>4.138212245997984</v>
      </c>
      <c r="FI7" s="59">
        <f t="shared" si="23"/>
        <v>185.35250031965765</v>
      </c>
      <c r="FJ7" s="59">
        <f ca="1">AVERAGE(OFFSET($FI$3,0,0,'Données projet'!$E$16+1,1))-AVERAGE(OFFSET($H$3,0,0,'Données projet'!$E$16+1,1))</f>
        <v>196.65742339093146</v>
      </c>
      <c r="FK7" s="59">
        <f t="shared" si="48"/>
        <v>125.41980634506001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>
        <f>EXP(-LN(2)/35)*FQ6+(1-EXP(-LN(2)/35))/(LN(2)/35)*FM7*FN7*VLOOKUP('Données projet'!$B$16,Paramètres!$A$1:$I$89,3,0)*0.475*44/12</f>
        <v>0</v>
      </c>
      <c r="FR7" s="21">
        <f>EXP(-LN(2)/25)*FR6+(1-EXP(-LN(2)/25))/(LN(2)/25)*Calculateur!FM7*Calculateur!FO7*VLOOKUP('Données projet'!$B$16,Paramètres!$A$1:$I$89,3,0)*0.475*44/12</f>
        <v>0</v>
      </c>
      <c r="FS7" s="21">
        <f>EXP(-LN(2)/2)*FS6+(1-EXP(-LN(2)/2))/(LN(2)/2)*FM7*FP7*VLOOKUP('Données projet'!$B$16,Paramètres!$A$1:$I$89,3,0)*0.475*44/12</f>
        <v>0</v>
      </c>
      <c r="FT7" s="22">
        <f t="shared" si="24"/>
        <v>0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48.088745232210215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48.088745232210215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>
      <c r="A8" s="10">
        <f t="shared" si="31"/>
        <v>5</v>
      </c>
      <c r="B8" s="73">
        <f>'Scénario référence'!$B$16*5+'Scénario référence'!$B$17*0+'Scénario référence'!$B$18*5</f>
        <v>4.6999999999999993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0.26675999999999994</v>
      </c>
      <c r="D8" s="11">
        <f t="shared" si="32"/>
        <v>0.14337463428186056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16.389290427105983</v>
      </c>
      <c r="H8" s="67">
        <f t="shared" si="1"/>
        <v>188.44765115470759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48.468856516204383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5.8890909090909096</v>
      </c>
      <c r="N8" s="13">
        <f>IF('Données projet'!$A$36&gt;35,N7+M8-V7,IF(A8&lt;'Données projet'!$A$36,$K$205^A8,IF(A8='Données projet'!$A$36,'Données projet'!$B$36,N7+M8-V7)))</f>
        <v>3.0206960777814591</v>
      </c>
      <c r="O8" s="13">
        <f>N8*VLOOKUP('Données projet'!$B$9,Paramètres!$A$1:$I$89,3,0)*VLOOKUP('Données projet'!$B$9,Paramètres!$A$1:$I$89,5,0)</f>
        <v>1.8063762545133126</v>
      </c>
      <c r="P8" s="13">
        <f t="shared" si="33"/>
        <v>0.77708370871120902</v>
      </c>
      <c r="Q8" s="20">
        <f t="shared" si="2"/>
        <v>4.4995261026160422</v>
      </c>
      <c r="R8" s="59">
        <f t="shared" si="0"/>
        <v>188.32977777314323</v>
      </c>
      <c r="S8" s="59">
        <f ca="1">AVERAGE(OFFSET($R$3,0,0,'Données projet'!$E$9+1,1))-AVERAGE(OFFSET($H$3,0,0,'Données projet'!$E$9+1,1))</f>
        <v>366.93249569585623</v>
      </c>
      <c r="T8" s="59">
        <f t="shared" si="34"/>
        <v>272.47262353368501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48.468856516204383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10.064285714285713</v>
      </c>
      <c r="AI8" s="13">
        <f>IF('Données projet'!$A$62&gt;35,AI7+AH8-AQ7,IF(A8&lt;'Données projet'!$A$62,$AF$205^A8,IF(A8='Données projet'!$A$62,'Données projet'!$B$62,AI7+AH8-AQ7)))</f>
        <v>50.321428571428569</v>
      </c>
      <c r="AJ8" s="13">
        <f>AI8*VLOOKUP('Données projet'!$B$10,Paramètres!$A$1:$I$89,3,0)*VLOOKUP('Données projet'!$B$10,Paramètres!$A$1:$I$89,5,0)</f>
        <v>23.550428571428569</v>
      </c>
      <c r="AK8" s="13">
        <f t="shared" si="35"/>
        <v>7.5136371406847839</v>
      </c>
      <c r="AL8" s="20">
        <f t="shared" si="4"/>
        <v>54.103247781930754</v>
      </c>
      <c r="AM8" s="59">
        <f t="shared" si="5"/>
        <v>237.93349945245794</v>
      </c>
      <c r="AN8" s="59">
        <f ca="1">AVERAGE(OFFSET($AM$3,0,0,'Données projet'!$E$10+1,1))-AVERAGE(OFFSET($H$3,0,0,'Données projet'!$E$10+1,1))</f>
        <v>382.89338473200229</v>
      </c>
      <c r="AO8" s="59">
        <f t="shared" si="36"/>
        <v>360.46248248971744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48.468856516204383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2.7884615384615379</v>
      </c>
      <c r="BD8" s="12">
        <f>IF('Données projet'!$A$88&gt;35,BD7+BC8-BL7,IF(A8&lt;'Données projet'!$A$88,$BA$205^A8,IF(A8='Données projet'!$A$88,'Données projet'!$B$88,BD7+BC8-BL7)))</f>
        <v>2.7327422011702405</v>
      </c>
      <c r="BE8" s="13">
        <f>BD8*VLOOKUP('Données projet'!$B$11,Paramètres!$A$1:$I$89,3,0)*VLOOKUP('Données projet'!$B$11,Paramètres!$A$1:$I$89,5,0)</f>
        <v>2.3873235869423222</v>
      </c>
      <c r="BF8" s="13">
        <f t="shared" si="37"/>
        <v>0.9942016504497474</v>
      </c>
      <c r="BG8" s="20">
        <f t="shared" si="7"/>
        <v>5.8894897884578539</v>
      </c>
      <c r="BH8" s="59">
        <f t="shared" si="8"/>
        <v>189.71974145898506</v>
      </c>
      <c r="BI8" s="59">
        <f ca="1">AVERAGE(OFFSET($BH$3,0,0,'Données projet'!$E$11+1,1))-AVERAGE(OFFSET($H$3,0,0,'Données projet'!$E$11+1,1))</f>
        <v>225.75484198243581</v>
      </c>
      <c r="BJ8" s="59">
        <f t="shared" si="38"/>
        <v>199.49566488421061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48.468856516204383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2.8</v>
      </c>
      <c r="BY8" s="12">
        <f>IF('Données projet'!$A$114&gt;35,BY7+BX8-CG7,IF(A8&lt;'Données projet'!$A$114,$BV$205^A8,IF(A8='Données projet'!$A$114,'Données projet'!$B$114,BY7+BX8-CG7)))</f>
        <v>2.3389428374280206</v>
      </c>
      <c r="BZ8" s="13">
        <f>BY8*VLOOKUP('Données projet'!$B$12,Paramètres!$A$1:$I$89,3,0)*VLOOKUP('Données projet'!$B$12,Paramètres!$A$1:$I$89,5,0)</f>
        <v>2.2257380040965042</v>
      </c>
      <c r="CA8" s="13">
        <f t="shared" si="39"/>
        <v>0.93450176898452786</v>
      </c>
      <c r="CB8" s="20">
        <f t="shared" si="10"/>
        <v>5.5040842714494636</v>
      </c>
      <c r="CC8" s="59">
        <f t="shared" si="11"/>
        <v>189.33433594197666</v>
      </c>
      <c r="CD8" s="59">
        <f ca="1">AVERAGE(OFFSET($CC$3,0,0,'Données projet'!$E$12+1,1))-AVERAGE(OFFSET($H$3,0,0,'Données projet'!$E$12+1,1))</f>
        <v>413.9352601863377</v>
      </c>
      <c r="CE8" s="59">
        <f t="shared" si="40"/>
        <v>255.13997349799286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48.468856516204383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2.85</v>
      </c>
      <c r="CT8" s="12">
        <f>IF('Données projet'!$A$140&gt;35,CT7+CS8-DB7,IF(A8&lt;'Données projet'!$A$140,$CQ$205^A8,IF(A8='Données projet'!$A$140,'Données projet'!$B$140,CT7+CS8-DB7)))</f>
        <v>2.7476962050544729</v>
      </c>
      <c r="CU8" s="17">
        <f>CT8*VLOOKUP('Données projet'!$B$13,Paramètres!$A$1:$I$89,3,0)*VLOOKUP('Données projet'!$B$13,Paramètres!$A$1:$I$89,5,0)</f>
        <v>2.400387404735588</v>
      </c>
      <c r="CV8" s="13">
        <f t="shared" si="41"/>
        <v>0.99900728739126998</v>
      </c>
      <c r="CW8" s="20">
        <f t="shared" si="13"/>
        <v>5.9206124221209437</v>
      </c>
      <c r="CX8" s="59">
        <f t="shared" si="14"/>
        <v>189.75086409264813</v>
      </c>
      <c r="CY8" s="59">
        <f ca="1">AVERAGE(OFFSET($CX$3,0,0,'Données projet'!$E$13+1,1))-AVERAGE(OFFSET($H$3,0,0,'Données projet'!$E$13+1,1))</f>
        <v>280.59827778697775</v>
      </c>
      <c r="CZ8" s="59">
        <f t="shared" si="42"/>
        <v>270.86588231964726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48.468856516204383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1.8269230769230766</v>
      </c>
      <c r="DO8" s="12">
        <f>IF('Données projet'!$A$166&gt;35,DO7+DN8-DW7,IF(A8&lt;'Données projet'!$A$166,$DL$205^A8,IF(A8='Données projet'!$A$166,'Données projet'!$B$166,DO7+DN8-DW7)))</f>
        <v>2.4585982283142349</v>
      </c>
      <c r="DP8" s="17">
        <f>DO8*VLOOKUP('Données projet'!$B$14,Paramètres!$A$1:$I$89,3,0)*VLOOKUP('Données projet'!$B$14,Paramètres!$A$1:$I$89,5,0)</f>
        <v>1.6492276915531887</v>
      </c>
      <c r="DQ8" s="13">
        <f t="shared" si="43"/>
        <v>0.71703642673714896</v>
      </c>
      <c r="DR8" s="20">
        <f t="shared" si="16"/>
        <v>4.1212433393556713</v>
      </c>
      <c r="DS8" s="59">
        <f t="shared" si="17"/>
        <v>187.95149500988285</v>
      </c>
      <c r="DT8" s="59">
        <f ca="1">AVERAGE(OFFSET($DS$3,0,0,'Données projet'!$E$14+1,1))-AVERAGE(OFFSET($H$3,0,0,'Données projet'!$E$14+1,1))</f>
        <v>211.42385430331873</v>
      </c>
      <c r="DU8" s="59">
        <f t="shared" si="44"/>
        <v>146.84623106782686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>
        <f>EXP(-LN(2)/35)*EA7+(1-EXP(-LN(2)/35))/(LN(2)/35)*DW8*DX8*VLOOKUP('Données projet'!$B$14,Paramètres!$A$1:$I$89,3,0)*0.475*44/12</f>
        <v>0</v>
      </c>
      <c r="EB8" s="21">
        <f>EXP(-LN(2)/25)*EB7+(1-EXP(-LN(2)/25))/(LN(2)/25)*Calculateur!DW8*Calculateur!DY8*VLOOKUP('Données projet'!$B$14,Paramètres!$A$1:$I$89,3,0)*0.475*44/12</f>
        <v>0</v>
      </c>
      <c r="EC8" s="21">
        <f>EXP(-LN(2)/2)*EC7+(1-EXP(-LN(2)/2))/(LN(2)/2)*DW8*DZ8*VLOOKUP('Données projet'!$B$14,Paramètres!$A$1:$I$89,3,0)*0.475*44/12</f>
        <v>0</v>
      </c>
      <c r="ED8" s="22">
        <f t="shared" si="18"/>
        <v>0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48.468856516204383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1.153846153846154</v>
      </c>
      <c r="EJ8" s="12">
        <f>IF('Données projet'!$A$192&gt;35,EJ7+EI8-ER7,IF(A8&lt;'Données projet'!$A$192,$EG$205^A8,IF(A8='Données projet'!$A$192,'Données projet'!$B$192,EJ7+EI8-ER7)))</f>
        <v>1.9589239819693882</v>
      </c>
      <c r="EK8" s="17">
        <f>EJ8*VLOOKUP('Données projet'!$B$15,Paramètres!$A$1:$I$89,3,0)*VLOOKUP('Données projet'!$B$15,Paramètres!$A$1:$I$89,5,0)</f>
        <v>2.1085857741918494</v>
      </c>
      <c r="EL8" s="13">
        <f t="shared" si="45"/>
        <v>0.89090368023006572</v>
      </c>
      <c r="EM8" s="20">
        <f t="shared" si="19"/>
        <v>5.2241107997848353</v>
      </c>
      <c r="EN8" s="59">
        <f t="shared" si="20"/>
        <v>189.05436247031201</v>
      </c>
      <c r="EO8" s="59">
        <f ca="1">AVERAGE(OFFSET($EN$3,0,0,'Données projet'!$E$15+1,1))-AVERAGE(OFFSET($H$3,0,0,'Données projet'!$E$15+1,1))</f>
        <v>212.00478362779876</v>
      </c>
      <c r="EP8" s="59">
        <f t="shared" si="46"/>
        <v>133.62262474506707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>
        <f>EXP(-LN(2)/35)*EV7+(1-EXP(-LN(2)/35))/(LN(2)/35)*ER8*ES8*VLOOKUP('Données projet'!$B$15,Paramètres!$A$1:$I$89,3,0)*0.475*44/12</f>
        <v>0</v>
      </c>
      <c r="EW8" s="21">
        <f>EXP(-LN(2)/25)*EW7+(1-EXP(-LN(2)/25))/(LN(2)/25)*Calculateur!ER8*Calculateur!ET8*VLOOKUP('Données projet'!$B$15,Paramètres!$A$1:$I$89,3,0)*0.475*44/12</f>
        <v>0</v>
      </c>
      <c r="EX8" s="21">
        <f>EXP(-LN(2)/2)*EX7+(1-EXP(-LN(2)/2))/(LN(2)/2)*ER8*EU8*VLOOKUP('Données projet'!$B$15,Paramètres!$A$1:$I$89,3,0)*0.475*44/12</f>
        <v>0</v>
      </c>
      <c r="EY8" s="22">
        <f t="shared" si="21"/>
        <v>0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48.468856516204383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1.153846153846154</v>
      </c>
      <c r="FE8" s="12">
        <f>IF('Données projet'!$A$218&gt;35,FE7+FD8-FM7,IF(A8&lt;'Données projet'!$A$218,$FB$205^A8,IF(A8='Données projet'!$A$218,'Données projet'!$B$218,FE7+FD8-FM7)))</f>
        <v>1.9589239819693882</v>
      </c>
      <c r="FF8" s="17">
        <f>FE8*VLOOKUP('Données projet'!$B$16,Paramètres!$A$1:$I$89,3,0)*VLOOKUP('Données projet'!$B$16,Paramètres!$A$1:$I$89,5,0)</f>
        <v>1.8946712753607922</v>
      </c>
      <c r="FG8" s="13">
        <f t="shared" si="47"/>
        <v>0.81055220810884754</v>
      </c>
      <c r="FH8" s="20">
        <f t="shared" si="22"/>
        <v>4.7115975670429551</v>
      </c>
      <c r="FI8" s="59">
        <f t="shared" si="23"/>
        <v>188.54184923757015</v>
      </c>
      <c r="FJ8" s="59">
        <f ca="1">AVERAGE(OFFSET($FI$3,0,0,'Données projet'!$E$16+1,1))-AVERAGE(OFFSET($H$3,0,0,'Données projet'!$E$16+1,1))</f>
        <v>196.65742339093146</v>
      </c>
      <c r="FK8" s="59">
        <f t="shared" si="48"/>
        <v>125.41980634506001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>
        <f>EXP(-LN(2)/35)*FQ7+(1-EXP(-LN(2)/35))/(LN(2)/35)*FM8*FN8*VLOOKUP('Données projet'!$B$16,Paramètres!$A$1:$I$89,3,0)*0.475*44/12</f>
        <v>0</v>
      </c>
      <c r="FR8" s="21">
        <f>EXP(-LN(2)/25)*FR7+(1-EXP(-LN(2)/25))/(LN(2)/25)*Calculateur!FM8*Calculateur!FO8*VLOOKUP('Données projet'!$B$16,Paramètres!$A$1:$I$89,3,0)*0.475*44/12</f>
        <v>0</v>
      </c>
      <c r="FS8" s="21">
        <f>EXP(-LN(2)/2)*FS7+(1-EXP(-LN(2)/2))/(LN(2)/2)*FM8*FP8*VLOOKUP('Données projet'!$B$16,Paramètres!$A$1:$I$89,3,0)*0.475*44/12</f>
        <v>0</v>
      </c>
      <c r="FT8" s="22">
        <f t="shared" si="24"/>
        <v>0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48.468856516204383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48.468856516204383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>
      <c r="A9" s="10">
        <f t="shared" si="31"/>
        <v>6</v>
      </c>
      <c r="B9" s="73">
        <f>'Scénario référence'!$B$16*5+'Scénario référence'!$B$17*0+'Scénario référence'!$B$18*5</f>
        <v>4.6999999999999993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0.32011199999999995</v>
      </c>
      <c r="D9" s="11">
        <f t="shared" si="32"/>
        <v>0.168436757385242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16.425608547280181</v>
      </c>
      <c r="H9" s="67">
        <f t="shared" si="1"/>
        <v>188.58422241911265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48.842373719222756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5.8890909090909096</v>
      </c>
      <c r="N9" s="13">
        <f>IF('Données projet'!$A$36&gt;35,N8+M9-V8,IF(A9&lt;'Données projet'!$A$36,$K$205^A9,IF(A9='Données projet'!$A$36,'Données projet'!$B$36,N8+M9-V8)))</f>
        <v>3.7681522162486343</v>
      </c>
      <c r="O9" s="13">
        <f>N9*VLOOKUP('Données projet'!$B$9,Paramètres!$A$1:$I$89,3,0)*VLOOKUP('Données projet'!$B$9,Paramètres!$A$1:$I$89,5,0)</f>
        <v>2.2533550253166834</v>
      </c>
      <c r="P9" s="13">
        <f t="shared" si="33"/>
        <v>0.94474003310844989</v>
      </c>
      <c r="Q9" s="20">
        <f t="shared" si="2"/>
        <v>5.5700155600904404</v>
      </c>
      <c r="R9" s="59">
        <f t="shared" si="0"/>
        <v>191.99205253057389</v>
      </c>
      <c r="S9" s="59">
        <f ca="1">AVERAGE(OFFSET($R$3,0,0,'Données projet'!$E$9+1,1))-AVERAGE(OFFSET($H$3,0,0,'Données projet'!$E$9+1,1))</f>
        <v>366.93249569585623</v>
      </c>
      <c r="T9" s="59">
        <f t="shared" si="34"/>
        <v>272.47262353368501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48.842373719222756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10.064285714285713</v>
      </c>
      <c r="AI9" s="13">
        <f>IF('Données projet'!$A$62&gt;35,AI8+AH9-AQ8,IF(A9&lt;'Données projet'!$A$62,$AF$205^A9,IF(A9='Données projet'!$A$62,'Données projet'!$B$62,AI8+AH9-AQ8)))</f>
        <v>60.385714285714286</v>
      </c>
      <c r="AJ9" s="13">
        <f>AI9*VLOOKUP('Données projet'!$B$10,Paramètres!$A$1:$I$89,3,0)*VLOOKUP('Données projet'!$B$10,Paramètres!$A$1:$I$89,5,0)</f>
        <v>28.260514285714287</v>
      </c>
      <c r="AK9" s="13">
        <f t="shared" si="35"/>
        <v>8.827033334629288</v>
      </c>
      <c r="AL9" s="20">
        <f t="shared" si="4"/>
        <v>64.594145438765054</v>
      </c>
      <c r="AM9" s="59">
        <f t="shared" si="5"/>
        <v>251.0161824092485</v>
      </c>
      <c r="AN9" s="59">
        <f ca="1">AVERAGE(OFFSET($AM$3,0,0,'Données projet'!$E$10+1,1))-AVERAGE(OFFSET($H$3,0,0,'Données projet'!$E$10+1,1))</f>
        <v>382.89338473200229</v>
      </c>
      <c r="AO9" s="59">
        <f t="shared" si="36"/>
        <v>360.46248248971744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48.842373719222756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2.7884615384615379</v>
      </c>
      <c r="BD9" s="12">
        <f>IF('Données projet'!$A$88&gt;35,BD8+BC9-BL8,IF(A9&lt;'Données projet'!$A$88,$BA$205^A9,IF(A9='Données projet'!$A$88,'Données projet'!$B$88,BD8+BC9-BL8)))</f>
        <v>3.3413225084074867</v>
      </c>
      <c r="BE9" s="13">
        <f>BD9*VLOOKUP('Données projet'!$B$11,Paramètres!$A$1:$I$89,3,0)*VLOOKUP('Données projet'!$B$11,Paramètres!$A$1:$I$89,5,0)</f>
        <v>2.9189793433447808</v>
      </c>
      <c r="BF9" s="13">
        <f t="shared" si="37"/>
        <v>1.1874906412631991</v>
      </c>
      <c r="BG9" s="20">
        <f t="shared" si="7"/>
        <v>7.1521018898588977</v>
      </c>
      <c r="BH9" s="59">
        <f t="shared" si="8"/>
        <v>193.57413886034234</v>
      </c>
      <c r="BI9" s="59">
        <f ca="1">AVERAGE(OFFSET($BH$3,0,0,'Données projet'!$E$11+1,1))-AVERAGE(OFFSET($H$3,0,0,'Données projet'!$E$11+1,1))</f>
        <v>225.75484198243581</v>
      </c>
      <c r="BJ9" s="59">
        <f t="shared" si="38"/>
        <v>199.49566488421061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48.842373719222756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2.8</v>
      </c>
      <c r="BY9" s="12">
        <f>IF('Données projet'!$A$114&gt;35,BY8+BX9-CG8,IF(A9&lt;'Données projet'!$A$114,$BV$205^A9,IF(A9='Données projet'!$A$114,'Données projet'!$B$114,BY8+BX9-CG8)))</f>
        <v>2.7721934279386429</v>
      </c>
      <c r="BZ9" s="13">
        <f>BY9*VLOOKUP('Données projet'!$B$12,Paramètres!$A$1:$I$89,3,0)*VLOOKUP('Données projet'!$B$12,Paramètres!$A$1:$I$89,5,0)</f>
        <v>2.6380192660264128</v>
      </c>
      <c r="CA9" s="13">
        <f t="shared" si="39"/>
        <v>1.0859086008836318</v>
      </c>
      <c r="CB9" s="20">
        <f t="shared" si="10"/>
        <v>6.4858410348683284</v>
      </c>
      <c r="CC9" s="59">
        <f t="shared" si="11"/>
        <v>192.90787800535176</v>
      </c>
      <c r="CD9" s="59">
        <f ca="1">AVERAGE(OFFSET($CC$3,0,0,'Données projet'!$E$12+1,1))-AVERAGE(OFFSET($H$3,0,0,'Données projet'!$E$12+1,1))</f>
        <v>413.9352601863377</v>
      </c>
      <c r="CE9" s="59">
        <f t="shared" si="40"/>
        <v>255.13997349799286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48.842373719222756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2.85</v>
      </c>
      <c r="CT9" s="12">
        <f>IF('Données projet'!$A$140&gt;35,CT8+CS9-DB8,IF(A9&lt;'Données projet'!$A$140,$CQ$205^A9,IF(A9='Données projet'!$A$140,'Données projet'!$B$140,CT8+CS9-DB8)))</f>
        <v>3.3632756010449452</v>
      </c>
      <c r="CU9" s="17">
        <f>CT9*VLOOKUP('Données projet'!$B$13,Paramètres!$A$1:$I$89,3,0)*VLOOKUP('Données projet'!$B$13,Paramètres!$A$1:$I$89,5,0)</f>
        <v>2.9381575650728644</v>
      </c>
      <c r="CV9" s="13">
        <f t="shared" si="41"/>
        <v>1.1943818835926812</v>
      </c>
      <c r="CW9" s="20">
        <f t="shared" si="13"/>
        <v>7.1975062064258246</v>
      </c>
      <c r="CX9" s="59">
        <f t="shared" si="14"/>
        <v>193.61954317690927</v>
      </c>
      <c r="CY9" s="59">
        <f ca="1">AVERAGE(OFFSET($CX$3,0,0,'Données projet'!$E$13+1,1))-AVERAGE(OFFSET($H$3,0,0,'Données projet'!$E$13+1,1))</f>
        <v>280.59827778697775</v>
      </c>
      <c r="CZ9" s="59">
        <f t="shared" si="42"/>
        <v>270.86588231964726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48.842373719222756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1.8269230769230766</v>
      </c>
      <c r="DO9" s="12">
        <f>IF('Données projet'!$A$166&gt;35,DO8+DN9-DW8,IF(A9&lt;'Données projet'!$A$166,$DL$205^A9,IF(A9='Données projet'!$A$166,'Données projet'!$B$166,DO8+DN9-DW8)))</f>
        <v>2.943235934229389</v>
      </c>
      <c r="DP9" s="17">
        <f>DO9*VLOOKUP('Données projet'!$B$14,Paramètres!$A$1:$I$89,3,0)*VLOOKUP('Données projet'!$B$14,Paramètres!$A$1:$I$89,5,0)</f>
        <v>1.9743226646810743</v>
      </c>
      <c r="DQ9" s="13">
        <f t="shared" si="43"/>
        <v>0.84058865747664457</v>
      </c>
      <c r="DR9" s="20">
        <f t="shared" si="16"/>
        <v>4.902637219424693</v>
      </c>
      <c r="DS9" s="59">
        <f t="shared" si="17"/>
        <v>191.32467418990814</v>
      </c>
      <c r="DT9" s="59">
        <f ca="1">AVERAGE(OFFSET($DS$3,0,0,'Données projet'!$E$14+1,1))-AVERAGE(OFFSET($H$3,0,0,'Données projet'!$E$14+1,1))</f>
        <v>211.42385430331873</v>
      </c>
      <c r="DU9" s="59">
        <f t="shared" si="44"/>
        <v>146.84623106782686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>
        <f>EXP(-LN(2)/35)*EA8+(1-EXP(-LN(2)/35))/(LN(2)/35)*DW9*DX9*VLOOKUP('Données projet'!$B$14,Paramètres!$A$1:$I$89,3,0)*0.475*44/12</f>
        <v>0</v>
      </c>
      <c r="EB9" s="21">
        <f>EXP(-LN(2)/25)*EB8+(1-EXP(-LN(2)/25))/(LN(2)/25)*Calculateur!DW9*Calculateur!DY9*VLOOKUP('Données projet'!$B$14,Paramètres!$A$1:$I$89,3,0)*0.475*44/12</f>
        <v>0</v>
      </c>
      <c r="EC9" s="21">
        <f>EXP(-LN(2)/2)*EC8+(1-EXP(-LN(2)/2))/(LN(2)/2)*DW9*DZ9*VLOOKUP('Données projet'!$B$14,Paramètres!$A$1:$I$89,3,0)*0.475*44/12</f>
        <v>0</v>
      </c>
      <c r="ED9" s="22">
        <f t="shared" si="18"/>
        <v>0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48.842373719222756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1.153846153846154</v>
      </c>
      <c r="EJ9" s="12">
        <f>IF('Données projet'!$A$192&gt;35,EJ8+EI9-ER8,IF(A9&lt;'Données projet'!$A$192,$EG$205^A9,IF(A9='Données projet'!$A$192,'Données projet'!$B$192,EJ8+EI9-ER8)))</f>
        <v>2.240892895361426</v>
      </c>
      <c r="EK9" s="17">
        <f>EJ9*VLOOKUP('Données projet'!$B$15,Paramètres!$A$1:$I$89,3,0)*VLOOKUP('Données projet'!$B$15,Paramètres!$A$1:$I$89,5,0)</f>
        <v>2.4120971125670385</v>
      </c>
      <c r="EL9" s="13">
        <f t="shared" si="45"/>
        <v>1.0033122163263177</v>
      </c>
      <c r="EM9" s="20">
        <f t="shared" si="19"/>
        <v>5.9485045811559294</v>
      </c>
      <c r="EN9" s="59">
        <f t="shared" si="20"/>
        <v>192.37054155163938</v>
      </c>
      <c r="EO9" s="59">
        <f ca="1">AVERAGE(OFFSET($EN$3,0,0,'Données projet'!$E$15+1,1))-AVERAGE(OFFSET($H$3,0,0,'Données projet'!$E$15+1,1))</f>
        <v>212.00478362779876</v>
      </c>
      <c r="EP9" s="59">
        <f t="shared" si="46"/>
        <v>133.62262474506707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>
        <f>EXP(-LN(2)/35)*EV8+(1-EXP(-LN(2)/35))/(LN(2)/35)*ER9*ES9*VLOOKUP('Données projet'!$B$15,Paramètres!$A$1:$I$89,3,0)*0.475*44/12</f>
        <v>0</v>
      </c>
      <c r="EW9" s="21">
        <f>EXP(-LN(2)/25)*EW8+(1-EXP(-LN(2)/25))/(LN(2)/25)*Calculateur!ER9*Calculateur!ET9*VLOOKUP('Données projet'!$B$15,Paramètres!$A$1:$I$89,3,0)*0.475*44/12</f>
        <v>0</v>
      </c>
      <c r="EX9" s="21">
        <f>EXP(-LN(2)/2)*EX8+(1-EXP(-LN(2)/2))/(LN(2)/2)*ER9*EU9*VLOOKUP('Données projet'!$B$15,Paramètres!$A$1:$I$89,3,0)*0.475*44/12</f>
        <v>0</v>
      </c>
      <c r="EY9" s="22">
        <f t="shared" si="21"/>
        <v>0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48.842373719222756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1.153846153846154</v>
      </c>
      <c r="FE9" s="12">
        <f>IF('Données projet'!$A$218&gt;35,FE8+FD9-FM8,IF(A9&lt;'Données projet'!$A$218,$FB$205^A9,IF(A9='Données projet'!$A$218,'Données projet'!$B$218,FE8+FD9-FM8)))</f>
        <v>2.240892895361426</v>
      </c>
      <c r="FF9" s="17">
        <f>FE9*VLOOKUP('Données projet'!$B$16,Paramètres!$A$1:$I$89,3,0)*VLOOKUP('Données projet'!$B$16,Paramètres!$A$1:$I$89,5,0)</f>
        <v>2.1673916083935714</v>
      </c>
      <c r="FG9" s="13">
        <f t="shared" si="47"/>
        <v>0.91282250866431436</v>
      </c>
      <c r="FH9" s="20">
        <f t="shared" si="22"/>
        <v>5.3647062538758172</v>
      </c>
      <c r="FI9" s="59">
        <f t="shared" si="23"/>
        <v>191.78674322435927</v>
      </c>
      <c r="FJ9" s="59">
        <f ca="1">AVERAGE(OFFSET($FI$3,0,0,'Données projet'!$E$16+1,1))-AVERAGE(OFFSET($H$3,0,0,'Données projet'!$E$16+1,1))</f>
        <v>196.65742339093146</v>
      </c>
      <c r="FK9" s="59">
        <f t="shared" si="48"/>
        <v>125.41980634506001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>
        <f>EXP(-LN(2)/35)*FQ8+(1-EXP(-LN(2)/35))/(LN(2)/35)*FM9*FN9*VLOOKUP('Données projet'!$B$16,Paramètres!$A$1:$I$89,3,0)*0.475*44/12</f>
        <v>0</v>
      </c>
      <c r="FR9" s="21">
        <f>EXP(-LN(2)/25)*FR8+(1-EXP(-LN(2)/25))/(LN(2)/25)*Calculateur!FM9*Calculateur!FO9*VLOOKUP('Données projet'!$B$16,Paramètres!$A$1:$I$89,3,0)*0.475*44/12</f>
        <v>0</v>
      </c>
      <c r="FS9" s="21">
        <f>EXP(-LN(2)/2)*FS8+(1-EXP(-LN(2)/2))/(LN(2)/2)*FM9*FP9*VLOOKUP('Données projet'!$B$16,Paramètres!$A$1:$I$89,3,0)*0.475*44/12</f>
        <v>0</v>
      </c>
      <c r="FT9" s="22">
        <f t="shared" si="24"/>
        <v>0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48.842373719222756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48.842373719222756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>
      <c r="A10" s="10">
        <f t="shared" si="31"/>
        <v>7</v>
      </c>
      <c r="B10" s="73">
        <f>'Scénario référence'!$B$16*5+'Scénario référence'!$B$17*0+'Scénario référence'!$B$18*5</f>
        <v>4.6999999999999993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0.37346399999999996</v>
      </c>
      <c r="D10" s="11">
        <f t="shared" si="32"/>
        <v>0.19301499746229811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16.461702553210607</v>
      </c>
      <c r="H10" s="67">
        <f t="shared" si="1"/>
        <v>188.71995092058017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49.209411233828135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5.8890909090909096</v>
      </c>
      <c r="N10" s="13">
        <f>IF('Données projet'!$A$36&gt;35,N9+M10-V9,IF(A10&lt;'Données projet'!$A$36,$K$205^A10,IF(A10='Données projet'!$A$36,'Données projet'!$B$36,N9+M10-V9)))</f>
        <v>4.7005626382803412</v>
      </c>
      <c r="O10" s="13">
        <f>N10*VLOOKUP('Données projet'!$B$9,Paramètres!$A$1:$I$89,3,0)*VLOOKUP('Données projet'!$B$9,Paramètres!$A$1:$I$89,5,0)</f>
        <v>2.8109364576916445</v>
      </c>
      <c r="P10" s="13">
        <f t="shared" si="33"/>
        <v>1.1485683204426194</v>
      </c>
      <c r="Q10" s="20">
        <f t="shared" si="2"/>
        <v>6.8961374885838422</v>
      </c>
      <c r="R10" s="59">
        <f t="shared" si="0"/>
        <v>195.8862009015092</v>
      </c>
      <c r="S10" s="59">
        <f ca="1">AVERAGE(OFFSET($R$3,0,0,'Données projet'!$E$9+1,1))-AVERAGE(OFFSET($H$3,0,0,'Données projet'!$E$9+1,1))</f>
        <v>366.93249569585623</v>
      </c>
      <c r="T10" s="59">
        <f t="shared" si="34"/>
        <v>272.47262353368501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49.209411233828135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10.064285714285713</v>
      </c>
      <c r="AI10" s="13">
        <f>IF('Données projet'!$A$62&gt;35,AI9+AH10-AQ9,IF(A10&lt;'Données projet'!$A$62,$AF$205^A10,IF(A10='Données projet'!$A$62,'Données projet'!$B$62,AI9+AH10-AQ9)))</f>
        <v>70.45</v>
      </c>
      <c r="AJ10" s="13">
        <f>AI10*VLOOKUP('Données projet'!$B$10,Paramètres!$A$1:$I$89,3,0)*VLOOKUP('Données projet'!$B$10,Paramètres!$A$1:$I$89,5,0)</f>
        <v>32.970599999999997</v>
      </c>
      <c r="AK10" s="13">
        <f t="shared" si="35"/>
        <v>10.115071336753079</v>
      </c>
      <c r="AL10" s="20">
        <f t="shared" si="4"/>
        <v>75.040877578178282</v>
      </c>
      <c r="AM10" s="59">
        <f t="shared" si="5"/>
        <v>264.03094099110365</v>
      </c>
      <c r="AN10" s="59">
        <f ca="1">AVERAGE(OFFSET($AM$3,0,0,'Données projet'!$E$10+1,1))-AVERAGE(OFFSET($H$3,0,0,'Données projet'!$E$10+1,1))</f>
        <v>382.89338473200229</v>
      </c>
      <c r="AO10" s="59">
        <f t="shared" si="36"/>
        <v>360.46248248971744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49.209411233828135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2.7884615384615379</v>
      </c>
      <c r="BD10" s="12">
        <f>IF('Données projet'!$A$88&gt;35,BD9+BC10-BL9,IF(A10&lt;'Données projet'!$A$88,$BA$205^A10,IF(A10='Données projet'!$A$88,'Données projet'!$B$88,BD9+BC10-BL9)))</f>
        <v>4.085433342526624</v>
      </c>
      <c r="BE10" s="13">
        <f>BD10*VLOOKUP('Données projet'!$B$11,Paramètres!$A$1:$I$89,3,0)*VLOOKUP('Données projet'!$B$11,Paramètres!$A$1:$I$89,5,0)</f>
        <v>3.5690345680312596</v>
      </c>
      <c r="BF10" s="13">
        <f t="shared" si="37"/>
        <v>1.4183581594838242</v>
      </c>
      <c r="BG10" s="20">
        <f t="shared" si="7"/>
        <v>8.68637566708877</v>
      </c>
      <c r="BH10" s="59">
        <f t="shared" si="8"/>
        <v>197.67643908001415</v>
      </c>
      <c r="BI10" s="59">
        <f ca="1">AVERAGE(OFFSET($BH$3,0,0,'Données projet'!$E$11+1,1))-AVERAGE(OFFSET($H$3,0,0,'Données projet'!$E$11+1,1))</f>
        <v>225.75484198243581</v>
      </c>
      <c r="BJ10" s="59">
        <f t="shared" si="38"/>
        <v>199.49566488421061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49.209411233828135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2.8</v>
      </c>
      <c r="BY10" s="12">
        <f>IF('Données projet'!$A$114&gt;35,BY9+BX10-CG9,IF(A10&lt;'Données projet'!$A$114,$BV$205^A10,IF(A10='Données projet'!$A$114,'Données projet'!$B$114,BY9+BX10-CG9)))</f>
        <v>3.2856965458621241</v>
      </c>
      <c r="BZ10" s="13">
        <f>BY10*VLOOKUP('Données projet'!$B$12,Paramètres!$A$1:$I$89,3,0)*VLOOKUP('Données projet'!$B$12,Paramètres!$A$1:$I$89,5,0)</f>
        <v>3.1266688330423973</v>
      </c>
      <c r="CA10" s="13">
        <f t="shared" si="39"/>
        <v>1.2618461822222296</v>
      </c>
      <c r="CB10" s="20">
        <f t="shared" si="10"/>
        <v>7.6433303182525583</v>
      </c>
      <c r="CC10" s="59">
        <f t="shared" si="11"/>
        <v>196.63339373117793</v>
      </c>
      <c r="CD10" s="59">
        <f ca="1">AVERAGE(OFFSET($CC$3,0,0,'Données projet'!$E$12+1,1))-AVERAGE(OFFSET($H$3,0,0,'Données projet'!$E$12+1,1))</f>
        <v>413.9352601863377</v>
      </c>
      <c r="CE10" s="59">
        <f t="shared" si="40"/>
        <v>255.13997349799286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49.209411233828135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2.85</v>
      </c>
      <c r="CT10" s="12">
        <f>IF('Données projet'!$A$140&gt;35,CT9+CS10-DB9,IF(A10&lt;'Données projet'!$A$140,$CQ$205^A10,IF(A10='Données projet'!$A$140,'Données projet'!$B$140,CT9+CS10-DB9)))</f>
        <v>4.116766164969822</v>
      </c>
      <c r="CU10" s="17">
        <f>CT10*VLOOKUP('Données projet'!$B$13,Paramètres!$A$1:$I$89,3,0)*VLOOKUP('Données projet'!$B$13,Paramètres!$A$1:$I$89,5,0)</f>
        <v>3.5964069217176369</v>
      </c>
      <c r="CV10" s="13">
        <f t="shared" si="41"/>
        <v>1.4279656433533914</v>
      </c>
      <c r="CW10" s="20">
        <f t="shared" si="13"/>
        <v>8.7507822174987044</v>
      </c>
      <c r="CX10" s="59">
        <f t="shared" si="14"/>
        <v>197.74084563042408</v>
      </c>
      <c r="CY10" s="59">
        <f ca="1">AVERAGE(OFFSET($CX$3,0,0,'Données projet'!$E$13+1,1))-AVERAGE(OFFSET($H$3,0,0,'Données projet'!$E$13+1,1))</f>
        <v>280.59827778697775</v>
      </c>
      <c r="CZ10" s="59">
        <f t="shared" si="42"/>
        <v>270.86588231964726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49.209411233828135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1.8269230769230766</v>
      </c>
      <c r="DO10" s="12">
        <f>IF('Données projet'!$A$166&gt;35,DO9+DN10-DW9,IF(A10&lt;'Données projet'!$A$166,$DL$205^A10,IF(A10='Données projet'!$A$166,'Données projet'!$B$166,DO9+DN10-DW9)))</f>
        <v>3.5234051927544003</v>
      </c>
      <c r="DP10" s="17">
        <f>DO10*VLOOKUP('Données projet'!$B$14,Paramètres!$A$1:$I$89,3,0)*VLOOKUP('Données projet'!$B$14,Paramètres!$A$1:$I$89,5,0)</f>
        <v>2.3635002032996519</v>
      </c>
      <c r="DQ10" s="13">
        <f t="shared" si="43"/>
        <v>0.98543011865338426</v>
      </c>
      <c r="DR10" s="20">
        <f t="shared" si="16"/>
        <v>5.8327203107348708</v>
      </c>
      <c r="DS10" s="59">
        <f t="shared" si="17"/>
        <v>194.82278372366022</v>
      </c>
      <c r="DT10" s="59">
        <f ca="1">AVERAGE(OFFSET($DS$3,0,0,'Données projet'!$E$14+1,1))-AVERAGE(OFFSET($H$3,0,0,'Données projet'!$E$14+1,1))</f>
        <v>211.42385430331873</v>
      </c>
      <c r="DU10" s="59">
        <f t="shared" si="44"/>
        <v>146.84623106782686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>
        <f>EXP(-LN(2)/35)*EA9+(1-EXP(-LN(2)/35))/(LN(2)/35)*DW10*DX10*VLOOKUP('Données projet'!$B$14,Paramètres!$A$1:$I$89,3,0)*0.475*44/12</f>
        <v>0</v>
      </c>
      <c r="EB10" s="21">
        <f>EXP(-LN(2)/25)*EB9+(1-EXP(-LN(2)/25))/(LN(2)/25)*Calculateur!DW10*Calculateur!DY10*VLOOKUP('Données projet'!$B$14,Paramètres!$A$1:$I$89,3,0)*0.475*44/12</f>
        <v>0</v>
      </c>
      <c r="EC10" s="21">
        <f>EXP(-LN(2)/2)*EC9+(1-EXP(-LN(2)/2))/(LN(2)/2)*DW10*DZ10*VLOOKUP('Données projet'!$B$14,Paramètres!$A$1:$I$89,3,0)*0.475*44/12</f>
        <v>0</v>
      </c>
      <c r="ED10" s="22">
        <f t="shared" si="18"/>
        <v>0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49.209411233828135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1.153846153846154</v>
      </c>
      <c r="EJ10" s="12">
        <f>IF('Données projet'!$A$192&gt;35,EJ9+EI10-ER9,IF(A10&lt;'Données projet'!$A$192,$EG$205^A10,IF(A10='Données projet'!$A$192,'Données projet'!$B$192,EJ9+EI10-ER9)))</f>
        <v>2.5634486150059219</v>
      </c>
      <c r="EK10" s="17">
        <f>EJ10*VLOOKUP('Données projet'!$B$15,Paramètres!$A$1:$I$89,3,0)*VLOOKUP('Données projet'!$B$15,Paramètres!$A$1:$I$89,5,0)</f>
        <v>2.7592960891923739</v>
      </c>
      <c r="EL10" s="13">
        <f t="shared" si="45"/>
        <v>1.1299037435446173</v>
      </c>
      <c r="EM10" s="20">
        <f t="shared" si="19"/>
        <v>6.7736897086835919</v>
      </c>
      <c r="EN10" s="59">
        <f t="shared" si="20"/>
        <v>195.76375312160897</v>
      </c>
      <c r="EO10" s="59">
        <f ca="1">AVERAGE(OFFSET($EN$3,0,0,'Données projet'!$E$15+1,1))-AVERAGE(OFFSET($H$3,0,0,'Données projet'!$E$15+1,1))</f>
        <v>212.00478362779876</v>
      </c>
      <c r="EP10" s="59">
        <f t="shared" si="46"/>
        <v>133.62262474506707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>
        <f>EXP(-LN(2)/35)*EV9+(1-EXP(-LN(2)/35))/(LN(2)/35)*ER10*ES10*VLOOKUP('Données projet'!$B$15,Paramètres!$A$1:$I$89,3,0)*0.475*44/12</f>
        <v>0</v>
      </c>
      <c r="EW10" s="21">
        <f>EXP(-LN(2)/25)*EW9+(1-EXP(-LN(2)/25))/(LN(2)/25)*Calculateur!ER10*Calculateur!ET10*VLOOKUP('Données projet'!$B$15,Paramètres!$A$1:$I$89,3,0)*0.475*44/12</f>
        <v>0</v>
      </c>
      <c r="EX10" s="21">
        <f>EXP(-LN(2)/2)*EX9+(1-EXP(-LN(2)/2))/(LN(2)/2)*ER10*EU10*VLOOKUP('Données projet'!$B$15,Paramètres!$A$1:$I$89,3,0)*0.475*44/12</f>
        <v>0</v>
      </c>
      <c r="EY10" s="22">
        <f t="shared" si="21"/>
        <v>0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49.209411233828135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1.153846153846154</v>
      </c>
      <c r="FE10" s="12">
        <f>IF('Données projet'!$A$218&gt;35,FE9+FD10-FM9,IF(A10&lt;'Données projet'!$A$218,$FB$205^A10,IF(A10='Données projet'!$A$218,'Données projet'!$B$218,FE9+FD10-FM9)))</f>
        <v>2.5634486150059219</v>
      </c>
      <c r="FF10" s="17">
        <f>FE10*VLOOKUP('Données projet'!$B$16,Paramètres!$A$1:$I$89,3,0)*VLOOKUP('Données projet'!$B$16,Paramètres!$A$1:$I$89,5,0)</f>
        <v>2.4793675004337277</v>
      </c>
      <c r="FG10" s="13">
        <f t="shared" si="47"/>
        <v>1.0279966225350374</v>
      </c>
      <c r="FH10" s="20">
        <f t="shared" si="22"/>
        <v>6.1086591808372646</v>
      </c>
      <c r="FI10" s="59">
        <f t="shared" si="23"/>
        <v>195.09872259376263</v>
      </c>
      <c r="FJ10" s="59">
        <f ca="1">AVERAGE(OFFSET($FI$3,0,0,'Données projet'!$E$16+1,1))-AVERAGE(OFFSET($H$3,0,0,'Données projet'!$E$16+1,1))</f>
        <v>196.65742339093146</v>
      </c>
      <c r="FK10" s="59">
        <f t="shared" si="48"/>
        <v>125.41980634506001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>
        <f>EXP(-LN(2)/35)*FQ9+(1-EXP(-LN(2)/35))/(LN(2)/35)*FM10*FN10*VLOOKUP('Données projet'!$B$16,Paramètres!$A$1:$I$89,3,0)*0.475*44/12</f>
        <v>0</v>
      </c>
      <c r="FR10" s="21">
        <f>EXP(-LN(2)/25)*FR9+(1-EXP(-LN(2)/25))/(LN(2)/25)*Calculateur!FM10*Calculateur!FO10*VLOOKUP('Données projet'!$B$16,Paramètres!$A$1:$I$89,3,0)*0.475*44/12</f>
        <v>0</v>
      </c>
      <c r="FS10" s="21">
        <f>EXP(-LN(2)/2)*FS9+(1-EXP(-LN(2)/2))/(LN(2)/2)*FM10*FP10*VLOOKUP('Données projet'!$B$16,Paramètres!$A$1:$I$89,3,0)*0.475*44/12</f>
        <v>0</v>
      </c>
      <c r="FT10" s="22">
        <f t="shared" si="24"/>
        <v>0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49.209411233828135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49.209411233828135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>
      <c r="A11" s="10">
        <f t="shared" si="31"/>
        <v>8</v>
      </c>
      <c r="B11" s="73">
        <f>'Scénario référence'!$B$16*5+'Scénario référence'!$B$17*0+'Scénario référence'!$B$18*5</f>
        <v>4.6999999999999993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0.42681599999999997</v>
      </c>
      <c r="D11" s="11">
        <f t="shared" si="32"/>
        <v>0.21718645657040395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16.497608155323835</v>
      </c>
      <c r="H11" s="67">
        <f t="shared" si="1"/>
        <v>188.85497094519346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49.570081468128066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5.8890909090909096</v>
      </c>
      <c r="N11" s="13">
        <f>IF('Données projet'!$A$36&gt;35,N10+M11-V10,IF(A11&lt;'Données projet'!$A$36,$K$205^A11,IF(A11='Données projet'!$A$36,'Données projet'!$B$36,N10+M11-V10)))</f>
        <v>5.8636933564201668</v>
      </c>
      <c r="O11" s="13">
        <f>N11*VLOOKUP('Données projet'!$B$9,Paramètres!$A$1:$I$89,3,0)*VLOOKUP('Données projet'!$B$9,Paramètres!$A$1:$I$89,5,0)</f>
        <v>3.5064886271392601</v>
      </c>
      <c r="P11" s="13">
        <f t="shared" si="33"/>
        <v>1.3963726956545126</v>
      </c>
      <c r="Q11" s="20">
        <f t="shared" si="2"/>
        <v>8.5391501371991527</v>
      </c>
      <c r="R11" s="59">
        <f t="shared" si="0"/>
        <v>200.07389329811318</v>
      </c>
      <c r="S11" s="59">
        <f ca="1">AVERAGE(OFFSET($R$3,0,0,'Données projet'!$E$9+1,1))-AVERAGE(OFFSET($H$3,0,0,'Données projet'!$E$9+1,1))</f>
        <v>366.93249569585623</v>
      </c>
      <c r="T11" s="59">
        <f t="shared" si="34"/>
        <v>272.47262353368501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49.570081468128066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10.064285714285713</v>
      </c>
      <c r="AI11" s="13">
        <f>IF('Données projet'!$A$62&gt;35,AI10+AH11-AQ10,IF(A11&lt;'Données projet'!$A$62,$AF$205^A11,IF(A11='Données projet'!$A$62,'Données projet'!$B$62,AI10+AH11-AQ10)))</f>
        <v>80.51428571428572</v>
      </c>
      <c r="AJ11" s="13">
        <f>AI11*VLOOKUP('Données projet'!$B$10,Paramètres!$A$1:$I$89,3,0)*VLOOKUP('Données projet'!$B$10,Paramètres!$A$1:$I$89,5,0)</f>
        <v>37.680685714285715</v>
      </c>
      <c r="AK11" s="13">
        <f t="shared" si="35"/>
        <v>11.381791728465947</v>
      </c>
      <c r="AL11" s="20">
        <f t="shared" si="4"/>
        <v>85.4504815461258</v>
      </c>
      <c r="AM11" s="59">
        <f t="shared" si="5"/>
        <v>276.98522470703983</v>
      </c>
      <c r="AN11" s="59">
        <f ca="1">AVERAGE(OFFSET($AM$3,0,0,'Données projet'!$E$10+1,1))-AVERAGE(OFFSET($H$3,0,0,'Données projet'!$E$10+1,1))</f>
        <v>382.89338473200229</v>
      </c>
      <c r="AO11" s="59">
        <f t="shared" si="36"/>
        <v>360.46248248971744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49.570081468128066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2.7884615384615379</v>
      </c>
      <c r="BD11" s="12">
        <f>IF('Données projet'!$A$88&gt;35,BD10+BC11-BL10,IF(A11&lt;'Données projet'!$A$88,$BA$205^A11,IF(A11='Données projet'!$A$88,'Données projet'!$B$88,BD10+BC11-BL10)))</f>
        <v>4.9952572833752811</v>
      </c>
      <c r="BE11" s="13">
        <f>BD11*VLOOKUP('Données projet'!$B$11,Paramètres!$A$1:$I$89,3,0)*VLOOKUP('Données projet'!$B$11,Paramètres!$A$1:$I$89,5,0)</f>
        <v>4.3638567627566465</v>
      </c>
      <c r="BF11" s="13">
        <f t="shared" si="37"/>
        <v>1.6941100827829194</v>
      </c>
      <c r="BG11" s="20">
        <f t="shared" si="7"/>
        <v>10.550958922648077</v>
      </c>
      <c r="BH11" s="59">
        <f t="shared" si="8"/>
        <v>202.0857020835621</v>
      </c>
      <c r="BI11" s="59">
        <f ca="1">AVERAGE(OFFSET($BH$3,0,0,'Données projet'!$E$11+1,1))-AVERAGE(OFFSET($H$3,0,0,'Données projet'!$E$11+1,1))</f>
        <v>225.75484198243581</v>
      </c>
      <c r="BJ11" s="59">
        <f t="shared" si="38"/>
        <v>199.49566488421061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49.570081468128066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2.8</v>
      </c>
      <c r="BY11" s="12">
        <f>IF('Données projet'!$A$114&gt;35,BY10+BX11-CG10,IF(A11&lt;'Données projet'!$A$114,$BV$205^A11,IF(A11='Données projet'!$A$114,'Données projet'!$B$114,BY10+BX11-CG10)))</f>
        <v>3.8943176485047335</v>
      </c>
      <c r="BZ11" s="13">
        <f>BY11*VLOOKUP('Données projet'!$B$12,Paramètres!$A$1:$I$89,3,0)*VLOOKUP('Données projet'!$B$12,Paramètres!$A$1:$I$89,5,0)</f>
        <v>3.7058326743171039</v>
      </c>
      <c r="CA11" s="13">
        <f t="shared" si="39"/>
        <v>1.4662889549757283</v>
      </c>
      <c r="CB11" s="20">
        <f t="shared" si="10"/>
        <v>9.008111837685016</v>
      </c>
      <c r="CC11" s="59">
        <f t="shared" si="11"/>
        <v>200.54285499859904</v>
      </c>
      <c r="CD11" s="59">
        <f ca="1">AVERAGE(OFFSET($CC$3,0,0,'Données projet'!$E$12+1,1))-AVERAGE(OFFSET($H$3,0,0,'Données projet'!$E$12+1,1))</f>
        <v>413.9352601863377</v>
      </c>
      <c r="CE11" s="59">
        <f t="shared" si="40"/>
        <v>255.13997349799286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49.570081468128066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2.85</v>
      </c>
      <c r="CT11" s="12">
        <f>IF('Données projet'!$A$140&gt;35,CT10+CS11-DB10,IF(A11&lt;'Données projet'!$A$140,$CQ$205^A11,IF(A11='Données projet'!$A$140,'Données projet'!$B$140,CT10+CS11-DB10)))</f>
        <v>5.0390647890332847</v>
      </c>
      <c r="CU11" s="17">
        <f>CT11*VLOOKUP('Données projet'!$B$13,Paramètres!$A$1:$I$89,3,0)*VLOOKUP('Données projet'!$B$13,Paramètres!$A$1:$I$89,5,0)</f>
        <v>4.4021269996994778</v>
      </c>
      <c r="CV11" s="13">
        <f t="shared" si="41"/>
        <v>1.7072310846377947</v>
      </c>
      <c r="CW11" s="20">
        <f t="shared" si="13"/>
        <v>10.640465330220749</v>
      </c>
      <c r="CX11" s="59">
        <f t="shared" si="14"/>
        <v>202.17520849113475</v>
      </c>
      <c r="CY11" s="59">
        <f ca="1">AVERAGE(OFFSET($CX$3,0,0,'Données projet'!$E$13+1,1))-AVERAGE(OFFSET($H$3,0,0,'Données projet'!$E$13+1,1))</f>
        <v>280.59827778697775</v>
      </c>
      <c r="CZ11" s="59">
        <f t="shared" si="42"/>
        <v>270.86588231964726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49.570081468128066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1.8269230769230766</v>
      </c>
      <c r="DO11" s="12">
        <f>IF('Données projet'!$A$166&gt;35,DO10+DN11-DW10,IF(A11&lt;'Données projet'!$A$166,$DL$205^A11,IF(A11='Données projet'!$A$166,'Données projet'!$B$166,DO10+DN11-DW10)))</f>
        <v>4.2179371378119113</v>
      </c>
      <c r="DP11" s="17">
        <f>DO11*VLOOKUP('Données projet'!$B$14,Paramètres!$A$1:$I$89,3,0)*VLOOKUP('Données projet'!$B$14,Paramètres!$A$1:$I$89,5,0)</f>
        <v>2.82939223204423</v>
      </c>
      <c r="DQ11" s="13">
        <f t="shared" si="43"/>
        <v>1.1552291481832231</v>
      </c>
      <c r="DR11" s="20">
        <f t="shared" si="16"/>
        <v>6.9398822372294804</v>
      </c>
      <c r="DS11" s="59">
        <f t="shared" si="17"/>
        <v>198.4746253981435</v>
      </c>
      <c r="DT11" s="59">
        <f ca="1">AVERAGE(OFFSET($DS$3,0,0,'Données projet'!$E$14+1,1))-AVERAGE(OFFSET($H$3,0,0,'Données projet'!$E$14+1,1))</f>
        <v>211.42385430331873</v>
      </c>
      <c r="DU11" s="59">
        <f t="shared" si="44"/>
        <v>146.84623106782686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>
        <f>EXP(-LN(2)/35)*EA10+(1-EXP(-LN(2)/35))/(LN(2)/35)*DW11*DX11*VLOOKUP('Données projet'!$B$14,Paramètres!$A$1:$I$89,3,0)*0.475*44/12</f>
        <v>0</v>
      </c>
      <c r="EB11" s="21">
        <f>EXP(-LN(2)/25)*EB10+(1-EXP(-LN(2)/25))/(LN(2)/25)*Calculateur!DW11*Calculateur!DY11*VLOOKUP('Données projet'!$B$14,Paramètres!$A$1:$I$89,3,0)*0.475*44/12</f>
        <v>0</v>
      </c>
      <c r="EC11" s="21">
        <f>EXP(-LN(2)/2)*EC10+(1-EXP(-LN(2)/2))/(LN(2)/2)*DW11*DZ11*VLOOKUP('Données projet'!$B$14,Paramètres!$A$1:$I$89,3,0)*0.475*44/12</f>
        <v>0</v>
      </c>
      <c r="ED11" s="22">
        <f t="shared" si="18"/>
        <v>0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49.570081468128066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1.153846153846154</v>
      </c>
      <c r="EJ11" s="12">
        <f>IF('Données projet'!$A$192&gt;35,EJ10+EI11-ER10,IF(A11&lt;'Données projet'!$A$192,$EG$205^A11,IF(A11='Données projet'!$A$192,'Données projet'!$B$192,EJ10+EI11-ER10)))</f>
        <v>2.9324332347066164</v>
      </c>
      <c r="EK11" s="17">
        <f>EJ11*VLOOKUP('Données projet'!$B$15,Paramètres!$A$1:$I$89,3,0)*VLOOKUP('Données projet'!$B$15,Paramètres!$A$1:$I$89,5,0)</f>
        <v>3.1564711338382017</v>
      </c>
      <c r="EL11" s="13">
        <f t="shared" si="45"/>
        <v>1.2724677811168124</v>
      </c>
      <c r="EM11" s="20">
        <f t="shared" si="19"/>
        <v>7.7137352768799827</v>
      </c>
      <c r="EN11" s="59">
        <f t="shared" si="20"/>
        <v>199.24847843779401</v>
      </c>
      <c r="EO11" s="59">
        <f ca="1">AVERAGE(OFFSET($EN$3,0,0,'Données projet'!$E$15+1,1))-AVERAGE(OFFSET($H$3,0,0,'Données projet'!$E$15+1,1))</f>
        <v>212.00478362779876</v>
      </c>
      <c r="EP11" s="59">
        <f t="shared" si="46"/>
        <v>133.62262474506707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>
        <f>EXP(-LN(2)/35)*EV10+(1-EXP(-LN(2)/35))/(LN(2)/35)*ER11*ES11*VLOOKUP('Données projet'!$B$15,Paramètres!$A$1:$I$89,3,0)*0.475*44/12</f>
        <v>0</v>
      </c>
      <c r="EW11" s="21">
        <f>EXP(-LN(2)/25)*EW10+(1-EXP(-LN(2)/25))/(LN(2)/25)*Calculateur!ER11*Calculateur!ET11*VLOOKUP('Données projet'!$B$15,Paramètres!$A$1:$I$89,3,0)*0.475*44/12</f>
        <v>0</v>
      </c>
      <c r="EX11" s="21">
        <f>EXP(-LN(2)/2)*EX10+(1-EXP(-LN(2)/2))/(LN(2)/2)*ER11*EU11*VLOOKUP('Données projet'!$B$15,Paramètres!$A$1:$I$89,3,0)*0.475*44/12</f>
        <v>0</v>
      </c>
      <c r="EY11" s="22">
        <f t="shared" si="21"/>
        <v>0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49.570081468128066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1.153846153846154</v>
      </c>
      <c r="FE11" s="12">
        <f>IF('Données projet'!$A$218&gt;35,FE10+FD11-FM10,IF(A11&lt;'Données projet'!$A$218,$FB$205^A11,IF(A11='Données projet'!$A$218,'Données projet'!$B$218,FE10+FD11-FM10)))</f>
        <v>2.9324332347066164</v>
      </c>
      <c r="FF11" s="17">
        <f>FE11*VLOOKUP('Données projet'!$B$16,Paramètres!$A$1:$I$89,3,0)*VLOOKUP('Données projet'!$B$16,Paramètres!$A$1:$I$89,5,0)</f>
        <v>2.8362494246082393</v>
      </c>
      <c r="FG11" s="13">
        <f t="shared" si="47"/>
        <v>1.1577026704674183</v>
      </c>
      <c r="FH11" s="20">
        <f t="shared" si="22"/>
        <v>6.9561332322567706</v>
      </c>
      <c r="FI11" s="59">
        <f t="shared" si="23"/>
        <v>198.49087639317079</v>
      </c>
      <c r="FJ11" s="59">
        <f ca="1">AVERAGE(OFFSET($FI$3,0,0,'Données projet'!$E$16+1,1))-AVERAGE(OFFSET($H$3,0,0,'Données projet'!$E$16+1,1))</f>
        <v>196.65742339093146</v>
      </c>
      <c r="FK11" s="59">
        <f t="shared" si="48"/>
        <v>125.41980634506001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>
        <f>EXP(-LN(2)/35)*FQ10+(1-EXP(-LN(2)/35))/(LN(2)/35)*FM11*FN11*VLOOKUP('Données projet'!$B$16,Paramètres!$A$1:$I$89,3,0)*0.475*44/12</f>
        <v>0</v>
      </c>
      <c r="FR11" s="21">
        <f>EXP(-LN(2)/25)*FR10+(1-EXP(-LN(2)/25))/(LN(2)/25)*Calculateur!FM11*Calculateur!FO11*VLOOKUP('Données projet'!$B$16,Paramètres!$A$1:$I$89,3,0)*0.475*44/12</f>
        <v>0</v>
      </c>
      <c r="FS11" s="21">
        <f>EXP(-LN(2)/2)*FS10+(1-EXP(-LN(2)/2))/(LN(2)/2)*FM11*FP11*VLOOKUP('Données projet'!$B$16,Paramètres!$A$1:$I$89,3,0)*0.475*44/12</f>
        <v>0</v>
      </c>
      <c r="FT11" s="22">
        <f t="shared" si="24"/>
        <v>0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49.570081468128066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49.570081468128066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>
      <c r="A12" s="10">
        <f t="shared" si="31"/>
        <v>9</v>
      </c>
      <c r="B12" s="73">
        <f>'Scénario référence'!$B$16*5+'Scénario référence'!$B$17*0+'Scénario référence'!$B$18*5</f>
        <v>4.6999999999999993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0.48016799999999998</v>
      </c>
      <c r="D12" s="11">
        <f t="shared" si="32"/>
        <v>0.24100780570254673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16.533351601237669</v>
      </c>
      <c r="H12" s="67">
        <f t="shared" si="1"/>
        <v>188.98938119493195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49.924494880200733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5.8890909090909096</v>
      </c>
      <c r="N12" s="13">
        <f>IF('Données projet'!$A$36&gt;35,N11+M12-V11,IF(A12&lt;'Données projet'!$A$36,$K$205^A12,IF(A12='Données projet'!$A$36,'Données projet'!$B$36,N11+M12-V11)))</f>
        <v>7.3146349541476745</v>
      </c>
      <c r="O12" s="13">
        <f>N12*VLOOKUP('Données projet'!$B$9,Paramètres!$A$1:$I$89,3,0)*VLOOKUP('Données projet'!$B$9,Paramètres!$A$1:$I$89,5,0)</f>
        <v>4.3741517025803098</v>
      </c>
      <c r="P12" s="13">
        <f t="shared" si="33"/>
        <v>1.6976410288053578</v>
      </c>
      <c r="Q12" s="20">
        <f t="shared" si="2"/>
        <v>10.575039007163371</v>
      </c>
      <c r="R12" s="59">
        <f t="shared" si="0"/>
        <v>204.6315202345661</v>
      </c>
      <c r="S12" s="59">
        <f ca="1">AVERAGE(OFFSET($R$3,0,0,'Données projet'!$E$9+1,1))-AVERAGE(OFFSET($H$3,0,0,'Données projet'!$E$9+1,1))</f>
        <v>366.93249569585623</v>
      </c>
      <c r="T12" s="59">
        <f t="shared" si="34"/>
        <v>272.47262353368501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49.924494880200733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10.064285714285713</v>
      </c>
      <c r="AI12" s="13">
        <f>IF('Données projet'!$A$62&gt;35,AI11+AH12-AQ11,IF(A12&lt;'Données projet'!$A$62,$AF$205^A12,IF(A12='Données projet'!$A$62,'Données projet'!$B$62,AI11+AH12-AQ11)))</f>
        <v>90.578571428571436</v>
      </c>
      <c r="AJ12" s="13">
        <f>AI12*VLOOKUP('Données projet'!$B$10,Paramètres!$A$1:$I$89,3,0)*VLOOKUP('Données projet'!$B$10,Paramètres!$A$1:$I$89,5,0)</f>
        <v>42.390771428571426</v>
      </c>
      <c r="AK12" s="13">
        <f t="shared" si="35"/>
        <v>12.630164388504399</v>
      </c>
      <c r="AL12" s="20">
        <f t="shared" si="4"/>
        <v>95.828129881407051</v>
      </c>
      <c r="AM12" s="59">
        <f t="shared" si="5"/>
        <v>289.88461110880974</v>
      </c>
      <c r="AN12" s="59">
        <f ca="1">AVERAGE(OFFSET($AM$3,0,0,'Données projet'!$E$10+1,1))-AVERAGE(OFFSET($H$3,0,0,'Données projet'!$E$10+1,1))</f>
        <v>382.89338473200229</v>
      </c>
      <c r="AO12" s="59">
        <f t="shared" si="36"/>
        <v>360.46248248971744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49.924494880200733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2.7884615384615379</v>
      </c>
      <c r="BD12" s="12">
        <f>IF('Données projet'!$A$88&gt;35,BD11+BC12-BL11,IF(A12&lt;'Données projet'!$A$88,$BA$205^A12,IF(A12='Données projet'!$A$88,'Données projet'!$B$88,BD11+BC12-BL11)))</f>
        <v>6.1076985560806971</v>
      </c>
      <c r="BE12" s="13">
        <f>BD12*VLOOKUP('Données projet'!$B$11,Paramètres!$A$1:$I$89,3,0)*VLOOKUP('Données projet'!$B$11,Paramètres!$A$1:$I$89,5,0)</f>
        <v>5.3356854585920974</v>
      </c>
      <c r="BF12" s="13">
        <f t="shared" si="37"/>
        <v>2.023472670422835</v>
      </c>
      <c r="BG12" s="20">
        <f t="shared" si="7"/>
        <v>12.81720040803434</v>
      </c>
      <c r="BH12" s="59">
        <f t="shared" si="8"/>
        <v>206.87368163543707</v>
      </c>
      <c r="BI12" s="59">
        <f ca="1">AVERAGE(OFFSET($BH$3,0,0,'Données projet'!$E$11+1,1))-AVERAGE(OFFSET($H$3,0,0,'Données projet'!$E$11+1,1))</f>
        <v>225.75484198243581</v>
      </c>
      <c r="BJ12" s="59">
        <f t="shared" si="38"/>
        <v>199.49566488421061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49.924494880200733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2.8</v>
      </c>
      <c r="BY12" s="12">
        <f>IF('Données projet'!$A$114&gt;35,BY11+BX12-CG11,IF(A12&lt;'Données projet'!$A$114,$BV$205^A12,IF(A12='Données projet'!$A$114,'Données projet'!$B$114,BY11+BX12-CG11)))</f>
        <v>4.6156757740012635</v>
      </c>
      <c r="BZ12" s="13">
        <f>BY12*VLOOKUP('Données projet'!$B$12,Paramètres!$A$1:$I$89,3,0)*VLOOKUP('Données projet'!$B$12,Paramètres!$A$1:$I$89,5,0)</f>
        <v>4.3922770665396023</v>
      </c>
      <c r="CA12" s="13">
        <f t="shared" si="39"/>
        <v>1.7038552953399257</v>
      </c>
      <c r="CB12" s="20">
        <f t="shared" si="10"/>
        <v>10.617430530273511</v>
      </c>
      <c r="CC12" s="59">
        <f t="shared" si="11"/>
        <v>204.67391175767622</v>
      </c>
      <c r="CD12" s="59">
        <f ca="1">AVERAGE(OFFSET($CC$3,0,0,'Données projet'!$E$12+1,1))-AVERAGE(OFFSET($H$3,0,0,'Données projet'!$E$12+1,1))</f>
        <v>413.9352601863377</v>
      </c>
      <c r="CE12" s="59">
        <f t="shared" si="40"/>
        <v>255.13997349799286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49.924494880200733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2.85</v>
      </c>
      <c r="CT12" s="12">
        <f>IF('Données projet'!$A$140&gt;35,CT11+CS12-DB11,IF(A12&lt;'Données projet'!$A$140,$CQ$205^A12,IF(A12='Données projet'!$A$140,'Données projet'!$B$140,CT11+CS12-DB11)))</f>
        <v>6.167990342551116</v>
      </c>
      <c r="CU12" s="17">
        <f>CT12*VLOOKUP('Données projet'!$B$13,Paramètres!$A$1:$I$89,3,0)*VLOOKUP('Données projet'!$B$13,Paramètres!$A$1:$I$89,5,0)</f>
        <v>5.3883563632526554</v>
      </c>
      <c r="CV12" s="13">
        <f t="shared" si="41"/>
        <v>2.0411121163313792</v>
      </c>
      <c r="CW12" s="20">
        <f t="shared" si="13"/>
        <v>12.939657601942194</v>
      </c>
      <c r="CX12" s="59">
        <f t="shared" si="14"/>
        <v>206.99613882934491</v>
      </c>
      <c r="CY12" s="59">
        <f ca="1">AVERAGE(OFFSET($CX$3,0,0,'Données projet'!$E$13+1,1))-AVERAGE(OFFSET($H$3,0,0,'Données projet'!$E$13+1,1))</f>
        <v>280.59827778697775</v>
      </c>
      <c r="CZ12" s="59">
        <f t="shared" si="42"/>
        <v>270.86588231964726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49.924494880200733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1.8269230769230766</v>
      </c>
      <c r="DO12" s="12">
        <f>IF('Données projet'!$A$166&gt;35,DO11+DN12-DW11,IF(A12&lt;'Données projet'!$A$166,$DL$205^A12,IF(A12='Données projet'!$A$166,'Données projet'!$B$166,DO11+DN12-DW11)))</f>
        <v>5.0493748874295479</v>
      </c>
      <c r="DP12" s="17">
        <f>DO12*VLOOKUP('Données projet'!$B$14,Paramètres!$A$1:$I$89,3,0)*VLOOKUP('Données projet'!$B$14,Paramètres!$A$1:$I$89,5,0)</f>
        <v>3.3871206744877407</v>
      </c>
      <c r="DQ12" s="13">
        <f t="shared" si="43"/>
        <v>1.3542861736718972</v>
      </c>
      <c r="DR12" s="20">
        <f t="shared" si="16"/>
        <v>8.2579502605447033</v>
      </c>
      <c r="DS12" s="59">
        <f t="shared" si="17"/>
        <v>202.31443148794742</v>
      </c>
      <c r="DT12" s="59">
        <f ca="1">AVERAGE(OFFSET($DS$3,0,0,'Données projet'!$E$14+1,1))-AVERAGE(OFFSET($H$3,0,0,'Données projet'!$E$14+1,1))</f>
        <v>211.42385430331873</v>
      </c>
      <c r="DU12" s="59">
        <f t="shared" si="44"/>
        <v>146.84623106782686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>
        <f>EXP(-LN(2)/35)*EA11+(1-EXP(-LN(2)/35))/(LN(2)/35)*DW12*DX12*VLOOKUP('Données projet'!$B$14,Paramètres!$A$1:$I$89,3,0)*0.475*44/12</f>
        <v>0</v>
      </c>
      <c r="EB12" s="21">
        <f>EXP(-LN(2)/25)*EB11+(1-EXP(-LN(2)/25))/(LN(2)/25)*Calculateur!DW12*Calculateur!DY12*VLOOKUP('Données projet'!$B$14,Paramètres!$A$1:$I$89,3,0)*0.475*44/12</f>
        <v>0</v>
      </c>
      <c r="EC12" s="21">
        <f>EXP(-LN(2)/2)*EC11+(1-EXP(-LN(2)/2))/(LN(2)/2)*DW12*DZ12*VLOOKUP('Données projet'!$B$14,Paramètres!$A$1:$I$89,3,0)*0.475*44/12</f>
        <v>0</v>
      </c>
      <c r="ED12" s="22">
        <f t="shared" si="18"/>
        <v>0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49.924494880200733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1.153846153846154</v>
      </c>
      <c r="EJ12" s="12">
        <f>IF('Données projet'!$A$192&gt;35,EJ11+EI12-ER11,IF(A12&lt;'Données projet'!$A$192,$EG$205^A12,IF(A12='Données projet'!$A$192,'Données projet'!$B$192,EJ11+EI12-ER11)))</f>
        <v>3.3545297634109366</v>
      </c>
      <c r="EK12" s="17">
        <f>EJ12*VLOOKUP('Données projet'!$B$15,Paramètres!$A$1:$I$89,3,0)*VLOOKUP('Données projet'!$B$15,Paramètres!$A$1:$I$89,5,0)</f>
        <v>3.6108158373355317</v>
      </c>
      <c r="EL12" s="13">
        <f t="shared" si="45"/>
        <v>1.4330196383816174</v>
      </c>
      <c r="EM12" s="20">
        <f t="shared" si="19"/>
        <v>8.7846801202073674</v>
      </c>
      <c r="EN12" s="59">
        <f t="shared" si="20"/>
        <v>202.84116134761007</v>
      </c>
      <c r="EO12" s="59">
        <f ca="1">AVERAGE(OFFSET($EN$3,0,0,'Données projet'!$E$15+1,1))-AVERAGE(OFFSET($H$3,0,0,'Données projet'!$E$15+1,1))</f>
        <v>212.00478362779876</v>
      </c>
      <c r="EP12" s="59">
        <f t="shared" si="46"/>
        <v>133.62262474506707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>
        <f>EXP(-LN(2)/35)*EV11+(1-EXP(-LN(2)/35))/(LN(2)/35)*ER12*ES12*VLOOKUP('Données projet'!$B$15,Paramètres!$A$1:$I$89,3,0)*0.475*44/12</f>
        <v>0</v>
      </c>
      <c r="EW12" s="21">
        <f>EXP(-LN(2)/25)*EW11+(1-EXP(-LN(2)/25))/(LN(2)/25)*Calculateur!ER12*Calculateur!ET12*VLOOKUP('Données projet'!$B$15,Paramètres!$A$1:$I$89,3,0)*0.475*44/12</f>
        <v>0</v>
      </c>
      <c r="EX12" s="21">
        <f>EXP(-LN(2)/2)*EX11+(1-EXP(-LN(2)/2))/(LN(2)/2)*ER12*EU12*VLOOKUP('Données projet'!$B$15,Paramètres!$A$1:$I$89,3,0)*0.475*44/12</f>
        <v>0</v>
      </c>
      <c r="EY12" s="22">
        <f t="shared" si="21"/>
        <v>0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49.924494880200733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1.153846153846154</v>
      </c>
      <c r="FE12" s="12">
        <f>IF('Données projet'!$A$218&gt;35,FE11+FD12-FM11,IF(A12&lt;'Données projet'!$A$218,$FB$205^A12,IF(A12='Données projet'!$A$218,'Données projet'!$B$218,FE11+FD12-FM11)))</f>
        <v>3.3545297634109366</v>
      </c>
      <c r="FF12" s="17">
        <f>FE12*VLOOKUP('Données projet'!$B$16,Paramètres!$A$1:$I$89,3,0)*VLOOKUP('Données projet'!$B$16,Paramètres!$A$1:$I$89,5,0)</f>
        <v>3.2445011871710578</v>
      </c>
      <c r="FG12" s="13">
        <f t="shared" si="47"/>
        <v>1.3037741990846961</v>
      </c>
      <c r="FH12" s="20">
        <f t="shared" si="22"/>
        <v>7.9215796310621043</v>
      </c>
      <c r="FI12" s="59">
        <f t="shared" si="23"/>
        <v>201.97806085846483</v>
      </c>
      <c r="FJ12" s="59">
        <f ca="1">AVERAGE(OFFSET($FI$3,0,0,'Données projet'!$E$16+1,1))-AVERAGE(OFFSET($H$3,0,0,'Données projet'!$E$16+1,1))</f>
        <v>196.65742339093146</v>
      </c>
      <c r="FK12" s="59">
        <f t="shared" si="48"/>
        <v>125.41980634506001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>
        <f>EXP(-LN(2)/35)*FQ11+(1-EXP(-LN(2)/35))/(LN(2)/35)*FM12*FN12*VLOOKUP('Données projet'!$B$16,Paramètres!$A$1:$I$89,3,0)*0.475*44/12</f>
        <v>0</v>
      </c>
      <c r="FR12" s="21">
        <f>EXP(-LN(2)/25)*FR11+(1-EXP(-LN(2)/25))/(LN(2)/25)*Calculateur!FM12*Calculateur!FO12*VLOOKUP('Données projet'!$B$16,Paramètres!$A$1:$I$89,3,0)*0.475*44/12</f>
        <v>0</v>
      </c>
      <c r="FS12" s="21">
        <f>EXP(-LN(2)/2)*FS11+(1-EXP(-LN(2)/2))/(LN(2)/2)*FM12*FP12*VLOOKUP('Données projet'!$B$16,Paramètres!$A$1:$I$89,3,0)*0.475*44/12</f>
        <v>0</v>
      </c>
      <c r="FT12" s="22">
        <f t="shared" si="24"/>
        <v>0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49.924494880200733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49.924494880200733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>
      <c r="A13" s="10">
        <f t="shared" si="31"/>
        <v>10</v>
      </c>
      <c r="B13" s="73">
        <f>'Scénario référence'!$B$16*5+'Scénario référence'!$B$17*0+'Scénario référence'!$B$18*5</f>
        <v>4.6999999999999993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0.53351999999999999</v>
      </c>
      <c r="D13" s="11">
        <f t="shared" si="32"/>
        <v>0.26452238349522977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16.568952963583754</v>
      </c>
      <c r="H13" s="67">
        <f t="shared" si="1"/>
        <v>189.12325715125419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50.27276001192363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5.8890909090909096</v>
      </c>
      <c r="N13" s="13">
        <f>IF('Données projet'!$A$36&gt;35,N12+M13-V12,IF(A13&lt;'Données projet'!$A$36,$K$205^A13,IF(A13='Données projet'!$A$36,'Données projet'!$B$36,N12+M13-V12)))</f>
        <v>9.1246047943242932</v>
      </c>
      <c r="O13" s="13">
        <f>N13*VLOOKUP('Données projet'!$B$9,Paramètres!$A$1:$I$89,3,0)*VLOOKUP('Données projet'!$B$9,Paramètres!$A$1:$I$89,5,0)</f>
        <v>5.456513667005928</v>
      </c>
      <c r="P13" s="13">
        <f t="shared" si="33"/>
        <v>2.0639082042007839</v>
      </c>
      <c r="Q13" s="20">
        <f t="shared" si="2"/>
        <v>13.098068092351689</v>
      </c>
      <c r="R13" s="59">
        <f t="shared" si="0"/>
        <v>209.65374369162723</v>
      </c>
      <c r="S13" s="59">
        <f ca="1">AVERAGE(OFFSET($R$3,0,0,'Données projet'!$E$9+1,1))-AVERAGE(OFFSET($H$3,0,0,'Données projet'!$E$9+1,1))</f>
        <v>366.93249569585623</v>
      </c>
      <c r="T13" s="59">
        <f t="shared" si="34"/>
        <v>272.47262353368501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50.27276001192363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10.064285714285713</v>
      </c>
      <c r="AI13" s="13">
        <f>IF('Données projet'!$A$62&gt;35,AI12+AH13-AQ12,IF(A13&lt;'Données projet'!$A$62,$AF$205^A13,IF(A13='Données projet'!$A$62,'Données projet'!$B$62,AI12+AH13-AQ12)))</f>
        <v>100.64285714285715</v>
      </c>
      <c r="AJ13" s="13">
        <f>AI13*VLOOKUP('Données projet'!$B$10,Paramètres!$A$1:$I$89,3,0)*VLOOKUP('Données projet'!$B$10,Paramètres!$A$1:$I$89,5,0)</f>
        <v>47.100857142857144</v>
      </c>
      <c r="AK13" s="13">
        <f t="shared" si="35"/>
        <v>13.862460505147244</v>
      </c>
      <c r="AL13" s="20">
        <f t="shared" si="4"/>
        <v>106.17777823694098</v>
      </c>
      <c r="AM13" s="59">
        <f t="shared" si="5"/>
        <v>302.73345383621654</v>
      </c>
      <c r="AN13" s="59">
        <f ca="1">AVERAGE(OFFSET($AM$3,0,0,'Données projet'!$E$10+1,1))-AVERAGE(OFFSET($H$3,0,0,'Données projet'!$E$10+1,1))</f>
        <v>382.89338473200229</v>
      </c>
      <c r="AO13" s="59">
        <f t="shared" si="36"/>
        <v>360.46248248971744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50.27276001192363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2.7884615384615379</v>
      </c>
      <c r="BD13" s="12">
        <f>IF('Données projet'!$A$88&gt;35,BD12+BC13-BL12,IF(A13&lt;'Données projet'!$A$88,$BA$205^A13,IF(A13='Données projet'!$A$88,'Données projet'!$B$88,BD12+BC13-BL12)))</f>
        <v>7.4678799380567709</v>
      </c>
      <c r="BE13" s="13">
        <f>BD13*VLOOKUP('Données projet'!$B$11,Paramètres!$A$1:$I$89,3,0)*VLOOKUP('Données projet'!$B$11,Paramètres!$A$1:$I$89,5,0)</f>
        <v>6.5239399138863954</v>
      </c>
      <c r="BF13" s="13">
        <f t="shared" si="37"/>
        <v>2.4168687085683169</v>
      </c>
      <c r="BG13" s="20">
        <f t="shared" si="7"/>
        <v>15.57190835077529</v>
      </c>
      <c r="BH13" s="59">
        <f t="shared" si="8"/>
        <v>212.12758395005082</v>
      </c>
      <c r="BI13" s="59">
        <f ca="1">AVERAGE(OFFSET($BH$3,0,0,'Données projet'!$E$11+1,1))-AVERAGE(OFFSET($H$3,0,0,'Données projet'!$E$11+1,1))</f>
        <v>225.75484198243581</v>
      </c>
      <c r="BJ13" s="59">
        <f t="shared" si="38"/>
        <v>199.49566488421061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50.27276001192363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2.8</v>
      </c>
      <c r="BY13" s="12">
        <f>IF('Données projet'!$A$114&gt;35,BY12+BX13-CG12,IF(A13&lt;'Données projet'!$A$114,$BV$205^A13,IF(A13='Données projet'!$A$114,'Données projet'!$B$114,BY12+BX13-CG12)))</f>
        <v>5.4706535967558398</v>
      </c>
      <c r="BZ13" s="13">
        <f>BY13*VLOOKUP('Données projet'!$B$12,Paramètres!$A$1:$I$89,3,0)*VLOOKUP('Données projet'!$B$12,Paramètres!$A$1:$I$89,5,0)</f>
        <v>5.2058739626728574</v>
      </c>
      <c r="CA13" s="13">
        <f t="shared" si="39"/>
        <v>1.9799118431646106</v>
      </c>
      <c r="CB13" s="20">
        <f t="shared" si="10"/>
        <v>12.51524361183359</v>
      </c>
      <c r="CC13" s="59">
        <f t="shared" si="11"/>
        <v>209.07091921110913</v>
      </c>
      <c r="CD13" s="59">
        <f ca="1">AVERAGE(OFFSET($CC$3,0,0,'Données projet'!$E$12+1,1))-AVERAGE(OFFSET($H$3,0,0,'Données projet'!$E$12+1,1))</f>
        <v>413.9352601863377</v>
      </c>
      <c r="CE13" s="59">
        <f t="shared" si="40"/>
        <v>255.13997349799286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50.27276001192363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2.85</v>
      </c>
      <c r="CT13" s="12">
        <f>IF('Données projet'!$A$140&gt;35,CT12+CS13-DB12,IF(A13&lt;'Données projet'!$A$140,$CQ$205^A13,IF(A13='Données projet'!$A$140,'Données projet'!$B$140,CT12+CS13-DB12)))</f>
        <v>7.5498344352707516</v>
      </c>
      <c r="CU13" s="17">
        <f>CT13*VLOOKUP('Données projet'!$B$13,Paramètres!$A$1:$I$89,3,0)*VLOOKUP('Données projet'!$B$13,Paramètres!$A$1:$I$89,5,0)</f>
        <v>6.5955353626525293</v>
      </c>
      <c r="CV13" s="13">
        <f t="shared" si="41"/>
        <v>2.4402898406214573</v>
      </c>
      <c r="CW13" s="20">
        <f t="shared" si="13"/>
        <v>15.737395562368858</v>
      </c>
      <c r="CX13" s="59">
        <f t="shared" si="14"/>
        <v>212.29307116164438</v>
      </c>
      <c r="CY13" s="59">
        <f ca="1">AVERAGE(OFFSET($CX$3,0,0,'Données projet'!$E$13+1,1))-AVERAGE(OFFSET($H$3,0,0,'Données projet'!$E$13+1,1))</f>
        <v>280.59827778697775</v>
      </c>
      <c r="CZ13" s="59">
        <f t="shared" si="42"/>
        <v>270.86588231964726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>
        <f>EXP(-LN(2)/35)*DF12+(1-EXP(-LN(2)/35))/(LN(2)/35)*DB13*DC13*VLOOKUP('Données projet'!$B$13,Paramètres!$A$1:$I$89,3,0)*0.475*44/12</f>
        <v>0</v>
      </c>
      <c r="DG13" s="21">
        <f>EXP(-LN(2)/25)*DG12+(1-EXP(-LN(2)/25))/(LN(2)/25)*Calculateur!DB13*Calculateur!DD13*VLOOKUP('Données projet'!$B$13,Paramètres!$A$1:$I$89,3,0)*0.475*44/12</f>
        <v>0</v>
      </c>
      <c r="DH13" s="21">
        <f>EXP(-LN(2)/2)*DH12+(1-EXP(-LN(2)/2))/(LN(2)/2)*DB13*DE13*VLOOKUP('Données projet'!$B$13,Paramètres!$A$1:$I$89,3,0)*0.475*44/12</f>
        <v>0</v>
      </c>
      <c r="DI13" s="22">
        <f t="shared" si="15"/>
        <v>0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50.27276001192363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1.8269230769230766</v>
      </c>
      <c r="DO13" s="12">
        <f>IF('Données projet'!$A$166&gt;35,DO12+DN13-DW12,IF(A13&lt;'Données projet'!$A$166,$DL$205^A13,IF(A13='Données projet'!$A$166,'Données projet'!$B$166,DO12+DN13-DW12)))</f>
        <v>6.0447052482698957</v>
      </c>
      <c r="DP13" s="17">
        <f>DO13*VLOOKUP('Données projet'!$B$14,Paramètres!$A$1:$I$89,3,0)*VLOOKUP('Données projet'!$B$14,Paramètres!$A$1:$I$89,5,0)</f>
        <v>4.0547882805394462</v>
      </c>
      <c r="DQ13" s="13">
        <f t="shared" si="43"/>
        <v>1.5876426275109665</v>
      </c>
      <c r="DR13" s="20">
        <f t="shared" si="16"/>
        <v>9.8272338315211361</v>
      </c>
      <c r="DS13" s="59">
        <f t="shared" si="17"/>
        <v>206.38290943079667</v>
      </c>
      <c r="DT13" s="59">
        <f ca="1">AVERAGE(OFFSET($DS$3,0,0,'Données projet'!$E$14+1,1))-AVERAGE(OFFSET($H$3,0,0,'Données projet'!$E$14+1,1))</f>
        <v>211.42385430331873</v>
      </c>
      <c r="DU13" s="59">
        <f t="shared" si="44"/>
        <v>146.84623106782686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>
        <f>EXP(-LN(2)/35)*EA12+(1-EXP(-LN(2)/35))/(LN(2)/35)*DW13*DX13*VLOOKUP('Données projet'!$B$14,Paramètres!$A$1:$I$89,3,0)*0.475*44/12</f>
        <v>0</v>
      </c>
      <c r="EB13" s="21">
        <f>EXP(-LN(2)/25)*EB12+(1-EXP(-LN(2)/25))/(LN(2)/25)*Calculateur!DW13*Calculateur!DY13*VLOOKUP('Données projet'!$B$14,Paramètres!$A$1:$I$89,3,0)*0.475*44/12</f>
        <v>0</v>
      </c>
      <c r="EC13" s="21">
        <f>EXP(-LN(2)/2)*EC12+(1-EXP(-LN(2)/2))/(LN(2)/2)*DW13*DZ13*VLOOKUP('Données projet'!$B$14,Paramètres!$A$1:$I$89,3,0)*0.475*44/12</f>
        <v>0</v>
      </c>
      <c r="ED13" s="22">
        <f t="shared" si="18"/>
        <v>0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50.27276001192363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1.153846153846154</v>
      </c>
      <c r="EJ13" s="12">
        <f>IF('Données projet'!$A$192&gt;35,EJ12+EI13-ER12,IF(A13&lt;'Données projet'!$A$192,$EG$205^A13,IF(A13='Données projet'!$A$192,'Données projet'!$B$192,EJ12+EI13-ER12)))</f>
        <v>3.8373831671348042</v>
      </c>
      <c r="EK13" s="17">
        <f>EJ13*VLOOKUP('Données projet'!$B$15,Paramètres!$A$1:$I$89,3,0)*VLOOKUP('Données projet'!$B$15,Paramètres!$A$1:$I$89,5,0)</f>
        <v>4.1305592411039029</v>
      </c>
      <c r="EL13" s="13">
        <f t="shared" si="45"/>
        <v>1.6138289035381608</v>
      </c>
      <c r="EM13" s="20">
        <f t="shared" si="19"/>
        <v>10.00480935191826</v>
      </c>
      <c r="EN13" s="59">
        <f t="shared" si="20"/>
        <v>206.56048495119379</v>
      </c>
      <c r="EO13" s="59">
        <f ca="1">AVERAGE(OFFSET($EN$3,0,0,'Données projet'!$E$15+1,1))-AVERAGE(OFFSET($H$3,0,0,'Données projet'!$E$15+1,1))</f>
        <v>212.00478362779876</v>
      </c>
      <c r="EP13" s="59">
        <f t="shared" si="46"/>
        <v>133.62262474506707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>
        <f>EXP(-LN(2)/35)*EV12+(1-EXP(-LN(2)/35))/(LN(2)/35)*ER13*ES13*VLOOKUP('Données projet'!$B$15,Paramètres!$A$1:$I$89,3,0)*0.475*44/12</f>
        <v>0</v>
      </c>
      <c r="EW13" s="21">
        <f>EXP(-LN(2)/25)*EW12+(1-EXP(-LN(2)/25))/(LN(2)/25)*Calculateur!ER13*Calculateur!ET13*VLOOKUP('Données projet'!$B$15,Paramètres!$A$1:$I$89,3,0)*0.475*44/12</f>
        <v>0</v>
      </c>
      <c r="EX13" s="21">
        <f>EXP(-LN(2)/2)*EX12+(1-EXP(-LN(2)/2))/(LN(2)/2)*ER13*EU13*VLOOKUP('Données projet'!$B$15,Paramètres!$A$1:$I$89,3,0)*0.475*44/12</f>
        <v>0</v>
      </c>
      <c r="EY13" s="22">
        <f t="shared" si="21"/>
        <v>0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50.27276001192363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1.153846153846154</v>
      </c>
      <c r="FE13" s="12">
        <f>IF('Données projet'!$A$218&gt;35,FE12+FD13-FM12,IF(A13&lt;'Données projet'!$A$218,$FB$205^A13,IF(A13='Données projet'!$A$218,'Données projet'!$B$218,FE12+FD13-FM12)))</f>
        <v>3.8373831671348042</v>
      </c>
      <c r="FF13" s="17">
        <f>FE13*VLOOKUP('Données projet'!$B$16,Paramètres!$A$1:$I$89,3,0)*VLOOKUP('Données projet'!$B$16,Paramètres!$A$1:$I$89,5,0)</f>
        <v>3.7115169992527832</v>
      </c>
      <c r="FG13" s="13">
        <f t="shared" si="47"/>
        <v>1.4682761002120193</v>
      </c>
      <c r="FH13" s="20">
        <f t="shared" si="22"/>
        <v>9.0214729815678627</v>
      </c>
      <c r="FI13" s="59">
        <f t="shared" si="23"/>
        <v>205.57714858084339</v>
      </c>
      <c r="FJ13" s="59">
        <f ca="1">AVERAGE(OFFSET($FI$3,0,0,'Données projet'!$E$16+1,1))-AVERAGE(OFFSET($H$3,0,0,'Données projet'!$E$16+1,1))</f>
        <v>196.65742339093146</v>
      </c>
      <c r="FK13" s="59">
        <f t="shared" si="48"/>
        <v>125.41980634506001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>
        <f>EXP(-LN(2)/35)*FQ12+(1-EXP(-LN(2)/35))/(LN(2)/35)*FM13*FN13*VLOOKUP('Données projet'!$B$16,Paramètres!$A$1:$I$89,3,0)*0.475*44/12</f>
        <v>0</v>
      </c>
      <c r="FR13" s="21">
        <f>EXP(-LN(2)/25)*FR12+(1-EXP(-LN(2)/25))/(LN(2)/25)*Calculateur!FM13*Calculateur!FO13*VLOOKUP('Données projet'!$B$16,Paramètres!$A$1:$I$89,3,0)*0.475*44/12</f>
        <v>0</v>
      </c>
      <c r="FS13" s="21">
        <f>EXP(-LN(2)/2)*FS12+(1-EXP(-LN(2)/2))/(LN(2)/2)*FM13*FP13*VLOOKUP('Données projet'!$B$16,Paramètres!$A$1:$I$89,3,0)*0.475*44/12</f>
        <v>0</v>
      </c>
      <c r="FT13" s="22">
        <f t="shared" si="24"/>
        <v>0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50.27276001192363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50.27276001192363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>
      <c r="A14" s="10">
        <f t="shared" si="31"/>
        <v>11</v>
      </c>
      <c r="B14" s="73">
        <f>'Scénario référence'!$B$16*5+'Scénario référence'!$B$17*0+'Scénario référence'!$B$18*5</f>
        <v>4.6999999999999993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0.58687199999999995</v>
      </c>
      <c r="D14" s="11">
        <f t="shared" si="32"/>
        <v>0.28776435927944277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16.604428068157496</v>
      </c>
      <c r="H14" s="67">
        <f t="shared" si="1"/>
        <v>189.25665832574504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50.614983522215326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5.8890909090909096</v>
      </c>
      <c r="N14" s="13">
        <f>IF('Données projet'!$A$36&gt;35,N13+M14-V13,IF(A14&lt;'Données projet'!$A$36,$K$205^A14,IF(A14='Données projet'!$A$36,'Données projet'!$B$36,N13+M14-V13)))</f>
        <v>11.382442620105763</v>
      </c>
      <c r="O14" s="13">
        <f>N14*VLOOKUP('Données projet'!$B$9,Paramètres!$A$1:$I$89,3,0)*VLOOKUP('Données projet'!$B$9,Paramètres!$A$1:$I$89,5,0)</f>
        <v>6.8067006868232474</v>
      </c>
      <c r="P14" s="13">
        <f t="shared" si="33"/>
        <v>2.5091977650686839</v>
      </c>
      <c r="Q14" s="20">
        <f t="shared" si="2"/>
        <v>16.225189803711778</v>
      </c>
      <c r="R14" s="59">
        <f t="shared" si="0"/>
        <v>215.25790716294574</v>
      </c>
      <c r="S14" s="59">
        <f ca="1">AVERAGE(OFFSET($R$3,0,0,'Données projet'!$E$9+1,1))-AVERAGE(OFFSET($H$3,0,0,'Données projet'!$E$9+1,1))</f>
        <v>366.93249569585623</v>
      </c>
      <c r="T14" s="59">
        <f t="shared" si="34"/>
        <v>272.47262353368501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50.614983522215326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10.064285714285713</v>
      </c>
      <c r="AI14" s="13">
        <f>IF('Données projet'!$A$62&gt;35,AI13+AH14-AQ13,IF(A14&lt;'Données projet'!$A$62,$AF$205^A14,IF(A14='Données projet'!$A$62,'Données projet'!$B$62,AI13+AH14-AQ13)))</f>
        <v>110.70714285714287</v>
      </c>
      <c r="AJ14" s="13">
        <f>AI14*VLOOKUP('Données projet'!$B$10,Paramètres!$A$1:$I$89,3,0)*VLOOKUP('Données projet'!$B$10,Paramètres!$A$1:$I$89,5,0)</f>
        <v>51.810942857142862</v>
      </c>
      <c r="AK14" s="13">
        <f t="shared" si="35"/>
        <v>15.080470743498402</v>
      </c>
      <c r="AL14" s="20">
        <f t="shared" si="4"/>
        <v>116.50254535445022</v>
      </c>
      <c r="AM14" s="59">
        <f t="shared" si="5"/>
        <v>315.53526271368418</v>
      </c>
      <c r="AN14" s="59">
        <f ca="1">AVERAGE(OFFSET($AM$3,0,0,'Données projet'!$E$10+1,1))-AVERAGE(OFFSET($H$3,0,0,'Données projet'!$E$10+1,1))</f>
        <v>382.89338473200229</v>
      </c>
      <c r="AO14" s="59">
        <f t="shared" si="36"/>
        <v>360.46248248971744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50.614983522215326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2.7884615384615379</v>
      </c>
      <c r="BD14" s="12">
        <f>IF('Données projet'!$A$88&gt;35,BD13+BC14-BL13,IF(A14&lt;'Données projet'!$A$88,$BA$205^A14,IF(A14='Données projet'!$A$88,'Données projet'!$B$88,BD13+BC14-BL13)))</f>
        <v>9.1309730264451439</v>
      </c>
      <c r="BE14" s="13">
        <f>BD14*VLOOKUP('Données projet'!$B$11,Paramètres!$A$1:$I$89,3,0)*VLOOKUP('Données projet'!$B$11,Paramètres!$A$1:$I$89,5,0)</f>
        <v>7.976818035902479</v>
      </c>
      <c r="BF14" s="13">
        <f t="shared" si="37"/>
        <v>2.8867473427432389</v>
      </c>
      <c r="BG14" s="20">
        <f t="shared" si="7"/>
        <v>18.920709701141291</v>
      </c>
      <c r="BH14" s="59">
        <f t="shared" si="8"/>
        <v>217.95342706037525</v>
      </c>
      <c r="BI14" s="59">
        <f ca="1">AVERAGE(OFFSET($BH$3,0,0,'Données projet'!$E$11+1,1))-AVERAGE(OFFSET($H$3,0,0,'Données projet'!$E$11+1,1))</f>
        <v>225.75484198243581</v>
      </c>
      <c r="BJ14" s="59">
        <f t="shared" si="38"/>
        <v>199.49566488421061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50.614983522215326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2.8</v>
      </c>
      <c r="BY14" s="12">
        <f>IF('Données projet'!$A$114&gt;35,BY13+BX14-CG13,IF(A14&lt;'Données projet'!$A$114,$BV$205^A14,IF(A14='Données projet'!$A$114,'Données projet'!$B$114,BY13+BX14-CG13)))</f>
        <v>6.4840019622421199</v>
      </c>
      <c r="BZ14" s="13">
        <f>BY14*VLOOKUP('Données projet'!$B$12,Paramètres!$A$1:$I$89,3,0)*VLOOKUP('Données projet'!$B$12,Paramètres!$A$1:$I$89,5,0)</f>
        <v>6.1701762672696008</v>
      </c>
      <c r="CA14" s="13">
        <f t="shared" si="39"/>
        <v>2.3006947347142055</v>
      </c>
      <c r="CB14" s="20">
        <f t="shared" si="10"/>
        <v>14.753433661788458</v>
      </c>
      <c r="CC14" s="59">
        <f t="shared" si="11"/>
        <v>213.78615102102242</v>
      </c>
      <c r="CD14" s="59">
        <f ca="1">AVERAGE(OFFSET($CC$3,0,0,'Données projet'!$E$12+1,1))-AVERAGE(OFFSET($H$3,0,0,'Données projet'!$E$12+1,1))</f>
        <v>413.9352601863377</v>
      </c>
      <c r="CE14" s="59">
        <f t="shared" si="40"/>
        <v>255.13997349799286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50.614983522215326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2.85</v>
      </c>
      <c r="CT14" s="12">
        <f>IF('Données projet'!$A$140&gt;35,CT13+CS14-DB13,IF(A14&lt;'Données projet'!$A$140,$CQ$205^A14,IF(A14='Données projet'!$A$140,'Données projet'!$B$140,CT13+CS14-DB13)))</f>
        <v>9.2412596055434975</v>
      </c>
      <c r="CU14" s="17">
        <f>CT14*VLOOKUP('Données projet'!$B$13,Paramètres!$A$1:$I$89,3,0)*VLOOKUP('Données projet'!$B$13,Paramètres!$A$1:$I$89,5,0)</f>
        <v>8.0731643914028002</v>
      </c>
      <c r="CV14" s="13">
        <f t="shared" si="41"/>
        <v>2.9175342493893108</v>
      </c>
      <c r="CW14" s="20">
        <f t="shared" si="13"/>
        <v>19.142133466046261</v>
      </c>
      <c r="CX14" s="59">
        <f t="shared" si="14"/>
        <v>218.17485082528023</v>
      </c>
      <c r="CY14" s="59">
        <f ca="1">AVERAGE(OFFSET($CX$3,0,0,'Données projet'!$E$13+1,1))-AVERAGE(OFFSET($H$3,0,0,'Données projet'!$E$13+1,1))</f>
        <v>280.59827778697775</v>
      </c>
      <c r="CZ14" s="59">
        <f t="shared" si="42"/>
        <v>270.86588231964726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>
        <f>EXP(-LN(2)/35)*DF13+(1-EXP(-LN(2)/35))/(LN(2)/35)*DB14*DC14*VLOOKUP('Données projet'!$B$13,Paramètres!$A$1:$I$89,3,0)*0.475*44/12</f>
        <v>0</v>
      </c>
      <c r="DG14" s="21">
        <f>EXP(-LN(2)/25)*DG13+(1-EXP(-LN(2)/25))/(LN(2)/25)*Calculateur!DB14*Calculateur!DD14*VLOOKUP('Données projet'!$B$13,Paramètres!$A$1:$I$89,3,0)*0.475*44/12</f>
        <v>0</v>
      </c>
      <c r="DH14" s="21">
        <f>EXP(-LN(2)/2)*DH13+(1-EXP(-LN(2)/2))/(LN(2)/2)*DB14*DE14*VLOOKUP('Données projet'!$B$13,Paramètres!$A$1:$I$89,3,0)*0.475*44/12</f>
        <v>0</v>
      </c>
      <c r="DI14" s="22">
        <f t="shared" si="15"/>
        <v>0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50.614983522215326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1.8269230769230766</v>
      </c>
      <c r="DO14" s="12">
        <f>IF('Données projet'!$A$166&gt;35,DO13+DN14-DW13,IF(A14&lt;'Données projet'!$A$166,$DL$205^A14,IF(A14='Données projet'!$A$166,'Données projet'!$B$166,DO13+DN14-DW13)))</f>
        <v>7.2362346534071689</v>
      </c>
      <c r="DP14" s="17">
        <f>DO14*VLOOKUP('Données projet'!$B$14,Paramètres!$A$1:$I$89,3,0)*VLOOKUP('Données projet'!$B$14,Paramètres!$A$1:$I$89,5,0)</f>
        <v>4.8540662055055286</v>
      </c>
      <c r="DQ14" s="13">
        <f t="shared" si="43"/>
        <v>1.8612086290859473</v>
      </c>
      <c r="DR14" s="20">
        <f t="shared" si="16"/>
        <v>11.695770336913489</v>
      </c>
      <c r="DS14" s="59">
        <f t="shared" si="17"/>
        <v>210.72848769614745</v>
      </c>
      <c r="DT14" s="59">
        <f ca="1">AVERAGE(OFFSET($DS$3,0,0,'Données projet'!$E$14+1,1))-AVERAGE(OFFSET($H$3,0,0,'Données projet'!$E$14+1,1))</f>
        <v>211.42385430331873</v>
      </c>
      <c r="DU14" s="59">
        <f t="shared" si="44"/>
        <v>146.84623106782686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>
        <f>EXP(-LN(2)/35)*EA13+(1-EXP(-LN(2)/35))/(LN(2)/35)*DW14*DX14*VLOOKUP('Données projet'!$B$14,Paramètres!$A$1:$I$89,3,0)*0.475*44/12</f>
        <v>0</v>
      </c>
      <c r="EB14" s="21">
        <f>EXP(-LN(2)/25)*EB13+(1-EXP(-LN(2)/25))/(LN(2)/25)*Calculateur!DW14*Calculateur!DY14*VLOOKUP('Données projet'!$B$14,Paramètres!$A$1:$I$89,3,0)*0.475*44/12</f>
        <v>0</v>
      </c>
      <c r="EC14" s="21">
        <f>EXP(-LN(2)/2)*EC13+(1-EXP(-LN(2)/2))/(LN(2)/2)*DW14*DZ14*VLOOKUP('Données projet'!$B$14,Paramètres!$A$1:$I$89,3,0)*0.475*44/12</f>
        <v>0</v>
      </c>
      <c r="ED14" s="22">
        <f t="shared" si="18"/>
        <v>0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50.614983522215326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1.153846153846154</v>
      </c>
      <c r="EJ14" s="12">
        <f>IF('Données projet'!$A$192&gt;35,EJ13+EI14-ER13,IF(A14&lt;'Données projet'!$A$192,$EG$205^A14,IF(A14='Données projet'!$A$192,'Données projet'!$B$192,EJ13+EI14-ER13)))</f>
        <v>4.3897388337483161</v>
      </c>
      <c r="EK14" s="17">
        <f>EJ14*VLOOKUP('Données projet'!$B$15,Paramètres!$A$1:$I$89,3,0)*VLOOKUP('Données projet'!$B$15,Paramètres!$A$1:$I$89,5,0)</f>
        <v>4.7251148806466867</v>
      </c>
      <c r="EL14" s="13">
        <f t="shared" si="45"/>
        <v>1.8174515269284899</v>
      </c>
      <c r="EM14" s="20">
        <f t="shared" si="19"/>
        <v>11.394969826526763</v>
      </c>
      <c r="EN14" s="59">
        <f t="shared" si="20"/>
        <v>210.42768718576073</v>
      </c>
      <c r="EO14" s="59">
        <f ca="1">AVERAGE(OFFSET($EN$3,0,0,'Données projet'!$E$15+1,1))-AVERAGE(OFFSET($H$3,0,0,'Données projet'!$E$15+1,1))</f>
        <v>212.00478362779876</v>
      </c>
      <c r="EP14" s="59">
        <f t="shared" si="46"/>
        <v>133.62262474506707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>
        <f>EXP(-LN(2)/35)*EV13+(1-EXP(-LN(2)/35))/(LN(2)/35)*ER14*ES14*VLOOKUP('Données projet'!$B$15,Paramètres!$A$1:$I$89,3,0)*0.475*44/12</f>
        <v>0</v>
      </c>
      <c r="EW14" s="21">
        <f>EXP(-LN(2)/25)*EW13+(1-EXP(-LN(2)/25))/(LN(2)/25)*Calculateur!ER14*Calculateur!ET14*VLOOKUP('Données projet'!$B$15,Paramètres!$A$1:$I$89,3,0)*0.475*44/12</f>
        <v>0</v>
      </c>
      <c r="EX14" s="21">
        <f>EXP(-LN(2)/2)*EX13+(1-EXP(-LN(2)/2))/(LN(2)/2)*ER14*EU14*VLOOKUP('Données projet'!$B$15,Paramètres!$A$1:$I$89,3,0)*0.475*44/12</f>
        <v>0</v>
      </c>
      <c r="EY14" s="22">
        <f t="shared" si="21"/>
        <v>0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50.614983522215326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1.153846153846154</v>
      </c>
      <c r="FE14" s="12">
        <f>IF('Données projet'!$A$218&gt;35,FE13+FD14-FM13,IF(A14&lt;'Données projet'!$A$218,$FB$205^A14,IF(A14='Données projet'!$A$218,'Données projet'!$B$218,FE13+FD14-FM13)))</f>
        <v>4.3897388337483161</v>
      </c>
      <c r="FF14" s="17">
        <f>FE14*VLOOKUP('Données projet'!$B$16,Paramètres!$A$1:$I$89,3,0)*VLOOKUP('Données projet'!$B$16,Paramètres!$A$1:$I$89,5,0)</f>
        <v>4.2457554000013715</v>
      </c>
      <c r="FG14" s="13">
        <f t="shared" si="47"/>
        <v>1.6535338005363975</v>
      </c>
      <c r="FH14" s="20">
        <f t="shared" si="22"/>
        <v>10.27459535760328</v>
      </c>
      <c r="FI14" s="59">
        <f t="shared" si="23"/>
        <v>209.30731271683726</v>
      </c>
      <c r="FJ14" s="59">
        <f ca="1">AVERAGE(OFFSET($FI$3,0,0,'Données projet'!$E$16+1,1))-AVERAGE(OFFSET($H$3,0,0,'Données projet'!$E$16+1,1))</f>
        <v>196.65742339093146</v>
      </c>
      <c r="FK14" s="59">
        <f t="shared" si="48"/>
        <v>125.41980634506001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>
        <f>EXP(-LN(2)/35)*FQ13+(1-EXP(-LN(2)/35))/(LN(2)/35)*FM14*FN14*VLOOKUP('Données projet'!$B$16,Paramètres!$A$1:$I$89,3,0)*0.475*44/12</f>
        <v>0</v>
      </c>
      <c r="FR14" s="21">
        <f>EXP(-LN(2)/25)*FR13+(1-EXP(-LN(2)/25))/(LN(2)/25)*Calculateur!FM14*Calculateur!FO14*VLOOKUP('Données projet'!$B$16,Paramètres!$A$1:$I$89,3,0)*0.475*44/12</f>
        <v>0</v>
      </c>
      <c r="FS14" s="21">
        <f>EXP(-LN(2)/2)*FS13+(1-EXP(-LN(2)/2))/(LN(2)/2)*FM14*FP14*VLOOKUP('Données projet'!$B$16,Paramètres!$A$1:$I$89,3,0)*0.475*44/12</f>
        <v>0</v>
      </c>
      <c r="FT14" s="22">
        <f t="shared" si="24"/>
        <v>0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50.614983522215326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50.614983522215326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>
      <c r="A15" s="10">
        <f t="shared" si="31"/>
        <v>12</v>
      </c>
      <c r="B15" s="73">
        <f>'Scénario référence'!$B$16*5+'Scénario référence'!$B$17*0+'Scénario référence'!$B$18*5</f>
        <v>4.6999999999999993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0.6402239999999999</v>
      </c>
      <c r="D15" s="11">
        <f t="shared" si="32"/>
        <v>0.31076133344591889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16.639789698297758</v>
      </c>
      <c r="H15" s="67">
        <f t="shared" si="1"/>
        <v>189.389632789085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50.951270219700604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5.8890909090909096</v>
      </c>
      <c r="N15" s="13">
        <f>IF('Données projet'!$A$36&gt;35,N14+M15-V14,IF(A15&lt;'Données projet'!$A$36,$K$205^A15,IF(A15='Données projet'!$A$36,'Données projet'!$B$36,N14+M15-V14)))</f>
        <v>14.198971124819497</v>
      </c>
      <c r="O15" s="13">
        <f>N15*VLOOKUP('Données projet'!$B$9,Paramètres!$A$1:$I$89,3,0)*VLOOKUP('Données projet'!$B$9,Paramètres!$A$1:$I$89,5,0)</f>
        <v>8.49098473264206</v>
      </c>
      <c r="P15" s="13">
        <f t="shared" si="33"/>
        <v>3.0505588433685857</v>
      </c>
      <c r="Q15" s="20">
        <f t="shared" si="2"/>
        <v>20.10152172821854</v>
      </c>
      <c r="R15" s="59">
        <f t="shared" si="0"/>
        <v>221.5895125337874</v>
      </c>
      <c r="S15" s="59">
        <f ca="1">AVERAGE(OFFSET($R$3,0,0,'Données projet'!$E$9+1,1))-AVERAGE(OFFSET($H$3,0,0,'Données projet'!$E$9+1,1))</f>
        <v>366.93249569585623</v>
      </c>
      <c r="T15" s="59">
        <f t="shared" si="34"/>
        <v>272.47262353368501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50.951270219700604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10.064285714285713</v>
      </c>
      <c r="AI15" s="13">
        <f>IF('Données projet'!$A$62&gt;35,AI14+AH15-AQ14,IF(A15&lt;'Données projet'!$A$62,$AF$205^A15,IF(A15='Données projet'!$A$62,'Données projet'!$B$62,AI14+AH15-AQ14)))</f>
        <v>120.77142857142859</v>
      </c>
      <c r="AJ15" s="13">
        <f>AI15*VLOOKUP('Données projet'!$B$10,Paramètres!$A$1:$I$89,3,0)*VLOOKUP('Données projet'!$B$10,Paramètres!$A$1:$I$89,5,0)</f>
        <v>56.52102857142858</v>
      </c>
      <c r="AK15" s="13">
        <f t="shared" si="35"/>
        <v>16.28564151925023</v>
      </c>
      <c r="AL15" s="20">
        <f t="shared" si="4"/>
        <v>126.80495040793225</v>
      </c>
      <c r="AM15" s="59">
        <f t="shared" si="5"/>
        <v>328.29294121350114</v>
      </c>
      <c r="AN15" s="59">
        <f ca="1">AVERAGE(OFFSET($AM$3,0,0,'Données projet'!$E$10+1,1))-AVERAGE(OFFSET($H$3,0,0,'Données projet'!$E$10+1,1))</f>
        <v>382.89338473200229</v>
      </c>
      <c r="AO15" s="59">
        <f t="shared" si="36"/>
        <v>360.46248248971744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50.951270219700604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2.7884615384615379</v>
      </c>
      <c r="BD15" s="12">
        <f>IF('Données projet'!$A$88&gt;35,BD14+BC15-BL14,IF(A15&lt;'Données projet'!$A$88,$BA$205^A15,IF(A15='Données projet'!$A$88,'Données projet'!$B$88,BD14+BC15-BL14)))</f>
        <v>11.164436105190498</v>
      </c>
      <c r="BE15" s="13">
        <f>BD15*VLOOKUP('Données projet'!$B$11,Paramètres!$A$1:$I$89,3,0)*VLOOKUP('Données projet'!$B$11,Paramètres!$A$1:$I$89,5,0)</f>
        <v>9.7532513814944206</v>
      </c>
      <c r="BF15" s="13">
        <f t="shared" si="37"/>
        <v>3.4479780350880382</v>
      </c>
      <c r="BG15" s="20">
        <f t="shared" si="7"/>
        <v>22.992141233881114</v>
      </c>
      <c r="BH15" s="59">
        <f t="shared" si="8"/>
        <v>224.48013203944998</v>
      </c>
      <c r="BI15" s="59">
        <f ca="1">AVERAGE(OFFSET($BH$3,0,0,'Données projet'!$E$11+1,1))-AVERAGE(OFFSET($H$3,0,0,'Données projet'!$E$11+1,1))</f>
        <v>225.75484198243581</v>
      </c>
      <c r="BJ15" s="59">
        <f t="shared" si="38"/>
        <v>199.49566488421061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50.951270219700604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2.8</v>
      </c>
      <c r="BY15" s="12">
        <f>IF('Données projet'!$A$114&gt;35,BY14+BX15-CG14,IF(A15&lt;'Données projet'!$A$114,$BV$205^A15,IF(A15='Données projet'!$A$114,'Données projet'!$B$114,BY14+BX15-CG14)))</f>
        <v>7.685056401906202</v>
      </c>
      <c r="BZ15" s="13">
        <f>BY15*VLOOKUP('Données projet'!$B$12,Paramètres!$A$1:$I$89,3,0)*VLOOKUP('Données projet'!$B$12,Paramètres!$A$1:$I$89,5,0)</f>
        <v>7.3130996720539416</v>
      </c>
      <c r="CA15" s="13">
        <f t="shared" si="39"/>
        <v>2.6734504774117824</v>
      </c>
      <c r="CB15" s="20">
        <f t="shared" si="10"/>
        <v>17.393241510319466</v>
      </c>
      <c r="CC15" s="59">
        <f t="shared" si="11"/>
        <v>218.88123231588833</v>
      </c>
      <c r="CD15" s="59">
        <f ca="1">AVERAGE(OFFSET($CC$3,0,0,'Données projet'!$E$12+1,1))-AVERAGE(OFFSET($H$3,0,0,'Données projet'!$E$12+1,1))</f>
        <v>413.9352601863377</v>
      </c>
      <c r="CE15" s="59">
        <f t="shared" si="40"/>
        <v>255.13997349799286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50.951270219700604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2.85</v>
      </c>
      <c r="CT15" s="12">
        <f>IF('Données projet'!$A$140&gt;35,CT14+CS15-DB14,IF(A15&lt;'Données projet'!$A$140,$CQ$205^A15,IF(A15='Données projet'!$A$140,'Données projet'!$B$140,CT14+CS15-DB14)))</f>
        <v>11.311622768584238</v>
      </c>
      <c r="CU15" s="17">
        <f>CT15*VLOOKUP('Données projet'!$B$13,Paramètres!$A$1:$I$89,3,0)*VLOOKUP('Données projet'!$B$13,Paramètres!$A$1:$I$89,5,0)</f>
        <v>9.8818336506351923</v>
      </c>
      <c r="CV15" s="13">
        <f t="shared" si="41"/>
        <v>3.4881127457351293</v>
      </c>
      <c r="CW15" s="20">
        <f t="shared" si="13"/>
        <v>23.285989973678308</v>
      </c>
      <c r="CX15" s="59">
        <f t="shared" si="14"/>
        <v>224.77398077924718</v>
      </c>
      <c r="CY15" s="59">
        <f ca="1">AVERAGE(OFFSET($CX$3,0,0,'Données projet'!$E$13+1,1))-AVERAGE(OFFSET($H$3,0,0,'Données projet'!$E$13+1,1))</f>
        <v>280.59827778697775</v>
      </c>
      <c r="CZ15" s="59">
        <f t="shared" si="42"/>
        <v>270.86588231964726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>
        <f>EXP(-LN(2)/35)*DF14+(1-EXP(-LN(2)/35))/(LN(2)/35)*DB15*DC15*VLOOKUP('Données projet'!$B$13,Paramètres!$A$1:$I$89,3,0)*0.475*44/12</f>
        <v>0</v>
      </c>
      <c r="DG15" s="21">
        <f>EXP(-LN(2)/25)*DG14+(1-EXP(-LN(2)/25))/(LN(2)/25)*Calculateur!DB15*Calculateur!DD15*VLOOKUP('Données projet'!$B$13,Paramètres!$A$1:$I$89,3,0)*0.475*44/12</f>
        <v>0</v>
      </c>
      <c r="DH15" s="21">
        <f>EXP(-LN(2)/2)*DH14+(1-EXP(-LN(2)/2))/(LN(2)/2)*DB15*DE15*VLOOKUP('Données projet'!$B$13,Paramètres!$A$1:$I$89,3,0)*0.475*44/12</f>
        <v>0</v>
      </c>
      <c r="DI15" s="22">
        <f t="shared" si="15"/>
        <v>0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50.951270219700604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1.8269230769230766</v>
      </c>
      <c r="DO15" s="12">
        <f>IF('Données projet'!$A$166&gt;35,DO14+DN15-DW14,IF(A15&lt;'Données projet'!$A$166,$DL$205^A15,IF(A15='Données projet'!$A$166,'Données projet'!$B$166,DO14+DN15-DW14)))</f>
        <v>8.662637764539145</v>
      </c>
      <c r="DP15" s="17">
        <f>DO15*VLOOKUP('Données projet'!$B$14,Paramètres!$A$1:$I$89,3,0)*VLOOKUP('Données projet'!$B$14,Paramètres!$A$1:$I$89,5,0)</f>
        <v>5.8108974124528583</v>
      </c>
      <c r="DQ15" s="13">
        <f t="shared" si="43"/>
        <v>2.1819126678494678</v>
      </c>
      <c r="DR15" s="20">
        <f t="shared" si="16"/>
        <v>13.920810889859885</v>
      </c>
      <c r="DS15" s="59">
        <f t="shared" si="17"/>
        <v>215.40880169542876</v>
      </c>
      <c r="DT15" s="59">
        <f ca="1">AVERAGE(OFFSET($DS$3,0,0,'Données projet'!$E$14+1,1))-AVERAGE(OFFSET($H$3,0,0,'Données projet'!$E$14+1,1))</f>
        <v>211.42385430331873</v>
      </c>
      <c r="DU15" s="59">
        <f t="shared" si="44"/>
        <v>146.84623106782686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>
        <f>EXP(-LN(2)/35)*EA14+(1-EXP(-LN(2)/35))/(LN(2)/35)*DW15*DX15*VLOOKUP('Données projet'!$B$14,Paramètres!$A$1:$I$89,3,0)*0.475*44/12</f>
        <v>0</v>
      </c>
      <c r="EB15" s="21">
        <f>EXP(-LN(2)/25)*EB14+(1-EXP(-LN(2)/25))/(LN(2)/25)*Calculateur!DW15*Calculateur!DY15*VLOOKUP('Données projet'!$B$14,Paramètres!$A$1:$I$89,3,0)*0.475*44/12</f>
        <v>0</v>
      </c>
      <c r="EC15" s="21">
        <f>EXP(-LN(2)/2)*EC14+(1-EXP(-LN(2)/2))/(LN(2)/2)*DW15*DZ15*VLOOKUP('Données projet'!$B$14,Paramètres!$A$1:$I$89,3,0)*0.475*44/12</f>
        <v>0</v>
      </c>
      <c r="ED15" s="22">
        <f t="shared" si="18"/>
        <v>0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50.951270219700604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1.153846153846154</v>
      </c>
      <c r="EJ15" s="12">
        <f>IF('Données projet'!$A$192&gt;35,EJ14+EI15-ER14,IF(A15&lt;'Données projet'!$A$192,$EG$205^A15,IF(A15='Données projet'!$A$192,'Données projet'!$B$192,EJ14+EI15-ER14)))</f>
        <v>5.021600968481315</v>
      </c>
      <c r="EK15" s="17">
        <f>EJ15*VLOOKUP('Données projet'!$B$15,Paramètres!$A$1:$I$89,3,0)*VLOOKUP('Données projet'!$B$15,Paramètres!$A$1:$I$89,5,0)</f>
        <v>5.4052512824732872</v>
      </c>
      <c r="EL15" s="13">
        <f t="shared" si="45"/>
        <v>2.0467659523837454</v>
      </c>
      <c r="EM15" s="20">
        <f t="shared" si="19"/>
        <v>12.978930017375999</v>
      </c>
      <c r="EN15" s="59">
        <f t="shared" si="20"/>
        <v>214.46692082294487</v>
      </c>
      <c r="EO15" s="59">
        <f ca="1">AVERAGE(OFFSET($EN$3,0,0,'Données projet'!$E$15+1,1))-AVERAGE(OFFSET($H$3,0,0,'Données projet'!$E$15+1,1))</f>
        <v>212.00478362779876</v>
      </c>
      <c r="EP15" s="59">
        <f t="shared" si="46"/>
        <v>133.62262474506707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>
        <f>EXP(-LN(2)/35)*EV14+(1-EXP(-LN(2)/35))/(LN(2)/35)*ER15*ES15*VLOOKUP('Données projet'!$B$15,Paramètres!$A$1:$I$89,3,0)*0.475*44/12</f>
        <v>0</v>
      </c>
      <c r="EW15" s="21">
        <f>EXP(-LN(2)/25)*EW14+(1-EXP(-LN(2)/25))/(LN(2)/25)*Calculateur!ER15*Calculateur!ET15*VLOOKUP('Données projet'!$B$15,Paramètres!$A$1:$I$89,3,0)*0.475*44/12</f>
        <v>0</v>
      </c>
      <c r="EX15" s="21">
        <f>EXP(-LN(2)/2)*EX14+(1-EXP(-LN(2)/2))/(LN(2)/2)*ER15*EU15*VLOOKUP('Données projet'!$B$15,Paramètres!$A$1:$I$89,3,0)*0.475*44/12</f>
        <v>0</v>
      </c>
      <c r="EY15" s="22">
        <f t="shared" si="21"/>
        <v>0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50.951270219700604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1.153846153846154</v>
      </c>
      <c r="FE15" s="12">
        <f>IF('Données projet'!$A$218&gt;35,FE14+FD15-FM14,IF(A15&lt;'Données projet'!$A$218,$FB$205^A15,IF(A15='Données projet'!$A$218,'Données projet'!$B$218,FE14+FD15-FM14)))</f>
        <v>5.021600968481315</v>
      </c>
      <c r="FF15" s="17">
        <f>FE15*VLOOKUP('Données projet'!$B$16,Paramètres!$A$1:$I$89,3,0)*VLOOKUP('Données projet'!$B$16,Paramètres!$A$1:$I$89,5,0)</f>
        <v>4.8568924567151281</v>
      </c>
      <c r="FG15" s="13">
        <f t="shared" si="47"/>
        <v>1.862166134231517</v>
      </c>
      <c r="FH15" s="20">
        <f t="shared" si="22"/>
        <v>11.702360379232074</v>
      </c>
      <c r="FI15" s="59">
        <f t="shared" si="23"/>
        <v>213.19035118480093</v>
      </c>
      <c r="FJ15" s="59">
        <f ca="1">AVERAGE(OFFSET($FI$3,0,0,'Données projet'!$E$16+1,1))-AVERAGE(OFFSET($H$3,0,0,'Données projet'!$E$16+1,1))</f>
        <v>196.65742339093146</v>
      </c>
      <c r="FK15" s="59">
        <f t="shared" si="48"/>
        <v>125.41980634506001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>
        <f>EXP(-LN(2)/35)*FQ14+(1-EXP(-LN(2)/35))/(LN(2)/35)*FM15*FN15*VLOOKUP('Données projet'!$B$16,Paramètres!$A$1:$I$89,3,0)*0.475*44/12</f>
        <v>0</v>
      </c>
      <c r="FR15" s="21">
        <f>EXP(-LN(2)/25)*FR14+(1-EXP(-LN(2)/25))/(LN(2)/25)*Calculateur!FM15*Calculateur!FO15*VLOOKUP('Données projet'!$B$16,Paramètres!$A$1:$I$89,3,0)*0.475*44/12</f>
        <v>0</v>
      </c>
      <c r="FS15" s="21">
        <f>EXP(-LN(2)/2)*FS14+(1-EXP(-LN(2)/2))/(LN(2)/2)*FM15*FP15*VLOOKUP('Données projet'!$B$16,Paramètres!$A$1:$I$89,3,0)*0.475*44/12</f>
        <v>0</v>
      </c>
      <c r="FT15" s="22">
        <f t="shared" si="24"/>
        <v>0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50.951270219700604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50.951270219700604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>
      <c r="A16" s="10">
        <f t="shared" si="31"/>
        <v>13</v>
      </c>
      <c r="B16" s="73">
        <f>'Scénario référence'!$B$16*5+'Scénario référence'!$B$17*0+'Scénario référence'!$B$18*5</f>
        <v>4.6999999999999993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0.69357599999999986</v>
      </c>
      <c r="D16" s="11">
        <f t="shared" si="32"/>
        <v>0.33353604400514686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16.675048385293611</v>
      </c>
      <c r="H16" s="67">
        <f t="shared" si="1"/>
        <v>189.52222014330897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51.281723094808939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5.8890909090909096</v>
      </c>
      <c r="N16" s="13">
        <f>IF('Données projet'!$A$36&gt;35,N15+M16-V15,IF(A16&lt;'Données projet'!$A$36,$K$205^A16,IF(A16='Données projet'!$A$36,'Données projet'!$B$36,N15+M16-V15)))</f>
        <v>17.712435523051596</v>
      </c>
      <c r="O16" s="13">
        <f>N16*VLOOKUP('Données projet'!$B$9,Paramètres!$A$1:$I$89,3,0)*VLOOKUP('Données projet'!$B$9,Paramètres!$A$1:$I$89,5,0)</f>
        <v>10.592036442784856</v>
      </c>
      <c r="P16" s="13">
        <f t="shared" si="33"/>
        <v>3.708718932562717</v>
      </c>
      <c r="Q16" s="20">
        <f t="shared" si="2"/>
        <v>24.907148945397026</v>
      </c>
      <c r="R16" s="59">
        <f t="shared" si="0"/>
        <v>228.82902251525206</v>
      </c>
      <c r="S16" s="59">
        <f ca="1">AVERAGE(OFFSET($R$3,0,0,'Données projet'!$E$9+1,1))-AVERAGE(OFFSET($H$3,0,0,'Données projet'!$E$9+1,1))</f>
        <v>366.93249569585623</v>
      </c>
      <c r="T16" s="59">
        <f t="shared" si="34"/>
        <v>272.47262353368501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51.281723094808939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10.064285714285713</v>
      </c>
      <c r="AI16" s="13">
        <f>IF('Données projet'!$A$62&gt;35,AI15+AH16-AQ15,IF(A16&lt;'Données projet'!$A$62,$AF$205^A16,IF(A16='Données projet'!$A$62,'Données projet'!$B$62,AI15+AH16-AQ15)))</f>
        <v>130.83571428571429</v>
      </c>
      <c r="AJ16" s="13">
        <f>AI16*VLOOKUP('Données projet'!$B$10,Paramètres!$A$1:$I$89,3,0)*VLOOKUP('Données projet'!$B$10,Paramètres!$A$1:$I$89,5,0)</f>
        <v>61.231114285714291</v>
      </c>
      <c r="AK16" s="13">
        <f t="shared" si="35"/>
        <v>17.479164432025406</v>
      </c>
      <c r="AL16" s="20">
        <f t="shared" si="4"/>
        <v>137.08706876672997</v>
      </c>
      <c r="AM16" s="59">
        <f t="shared" si="5"/>
        <v>341.00894233658499</v>
      </c>
      <c r="AN16" s="59">
        <f ca="1">AVERAGE(OFFSET($AM$3,0,0,'Données projet'!$E$10+1,1))-AVERAGE(OFFSET($H$3,0,0,'Données projet'!$E$10+1,1))</f>
        <v>382.89338473200229</v>
      </c>
      <c r="AO16" s="59">
        <f t="shared" si="36"/>
        <v>360.46248248971744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51.281723094808939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2.7884615384615379</v>
      </c>
      <c r="BD16" s="12">
        <f>IF('Données projet'!$A$88&gt;35,BD15+BC16-BL15,IF(A16&lt;'Données projet'!$A$88,$BA$205^A16,IF(A16='Données projet'!$A$88,'Données projet'!$B$88,BD15+BC16-BL15)))</f>
        <v>13.650750383982642</v>
      </c>
      <c r="BE16" s="13">
        <f>BD16*VLOOKUP('Données projet'!$B$11,Paramètres!$A$1:$I$89,3,0)*VLOOKUP('Données projet'!$B$11,Paramètres!$A$1:$I$89,5,0)</f>
        <v>11.925295535447237</v>
      </c>
      <c r="BF16" s="13">
        <f t="shared" si="37"/>
        <v>4.1183211133233542</v>
      </c>
      <c r="BG16" s="20">
        <f t="shared" si="7"/>
        <v>27.942632329942111</v>
      </c>
      <c r="BH16" s="59">
        <f t="shared" si="8"/>
        <v>231.86450589979714</v>
      </c>
      <c r="BI16" s="59">
        <f ca="1">AVERAGE(OFFSET($BH$3,0,0,'Données projet'!$E$11+1,1))-AVERAGE(OFFSET($H$3,0,0,'Données projet'!$E$11+1,1))</f>
        <v>225.75484198243581</v>
      </c>
      <c r="BJ16" s="59">
        <f t="shared" si="38"/>
        <v>199.49566488421061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51.281723094808939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2.8</v>
      </c>
      <c r="BY16" s="12">
        <f>IF('Données projet'!$A$114&gt;35,BY15+BX16-CG15,IF(A16&lt;'Données projet'!$A$114,$BV$205^A16,IF(A16='Données projet'!$A$114,'Données projet'!$B$114,BY15+BX16-CG15)))</f>
        <v>9.1085863706396779</v>
      </c>
      <c r="BZ16" s="13">
        <f>BY16*VLOOKUP('Données projet'!$B$12,Paramètres!$A$1:$I$89,3,0)*VLOOKUP('Données projet'!$B$12,Paramètres!$A$1:$I$89,5,0)</f>
        <v>8.6677307903007179</v>
      </c>
      <c r="CA16" s="13">
        <f t="shared" si="39"/>
        <v>3.1065996489365348</v>
      </c>
      <c r="CB16" s="20">
        <f t="shared" si="10"/>
        <v>20.506958848338215</v>
      </c>
      <c r="CC16" s="59">
        <f t="shared" si="11"/>
        <v>224.42883241819322</v>
      </c>
      <c r="CD16" s="59">
        <f ca="1">AVERAGE(OFFSET($CC$3,0,0,'Données projet'!$E$12+1,1))-AVERAGE(OFFSET($H$3,0,0,'Données projet'!$E$12+1,1))</f>
        <v>413.9352601863377</v>
      </c>
      <c r="CE16" s="59">
        <f t="shared" si="40"/>
        <v>255.13997349799286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51.281723094808939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2.85</v>
      </c>
      <c r="CT16" s="12">
        <f>IF('Données projet'!$A$140&gt;35,CT15+CS16-DB15,IF(A16&lt;'Données projet'!$A$140,$CQ$205^A16,IF(A16='Données projet'!$A$140,'Données projet'!$B$140,CT15+CS16-DB15)))</f>
        <v>13.845819197850375</v>
      </c>
      <c r="CU16" s="17">
        <f>CT16*VLOOKUP('Données projet'!$B$13,Paramètres!$A$1:$I$89,3,0)*VLOOKUP('Données projet'!$B$13,Paramètres!$A$1:$I$89,5,0)</f>
        <v>12.095707651242089</v>
      </c>
      <c r="CV16" s="13">
        <f t="shared" si="41"/>
        <v>4.1702785595427372</v>
      </c>
      <c r="CW16" s="20">
        <f t="shared" si="13"/>
        <v>28.329925983783568</v>
      </c>
      <c r="CX16" s="59">
        <f t="shared" si="14"/>
        <v>232.25179955363859</v>
      </c>
      <c r="CY16" s="59">
        <f ca="1">AVERAGE(OFFSET($CX$3,0,0,'Données projet'!$E$13+1,1))-AVERAGE(OFFSET($H$3,0,0,'Données projet'!$E$13+1,1))</f>
        <v>280.59827778697775</v>
      </c>
      <c r="CZ16" s="59">
        <f t="shared" si="42"/>
        <v>270.86588231964726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>
        <f>EXP(-LN(2)/35)*DF15+(1-EXP(-LN(2)/35))/(LN(2)/35)*DB16*DC16*VLOOKUP('Données projet'!$B$13,Paramètres!$A$1:$I$89,3,0)*0.475*44/12</f>
        <v>0</v>
      </c>
      <c r="DG16" s="21">
        <f>EXP(-LN(2)/25)*DG15+(1-EXP(-LN(2)/25))/(LN(2)/25)*Calculateur!DB16*Calculateur!DD16*VLOOKUP('Données projet'!$B$13,Paramètres!$A$1:$I$89,3,0)*0.475*44/12</f>
        <v>0</v>
      </c>
      <c r="DH16" s="21">
        <f>EXP(-LN(2)/2)*DH15+(1-EXP(-LN(2)/2))/(LN(2)/2)*DB16*DE16*VLOOKUP('Données projet'!$B$13,Paramètres!$A$1:$I$89,3,0)*0.475*44/12</f>
        <v>0</v>
      </c>
      <c r="DI16" s="22">
        <f t="shared" si="15"/>
        <v>0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51.281723094808939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1.8269230769230766</v>
      </c>
      <c r="DO16" s="12">
        <f>IF('Données projet'!$A$166&gt;35,DO15+DN16-DW15,IF(A16&lt;'Données projet'!$A$166,$DL$205^A16,IF(A16='Données projet'!$A$166,'Données projet'!$B$166,DO15+DN16-DW15)))</f>
        <v>10.37021277416518</v>
      </c>
      <c r="DP16" s="17">
        <f>DO16*VLOOKUP('Données projet'!$B$14,Paramètres!$A$1:$I$89,3,0)*VLOOKUP('Données projet'!$B$14,Paramètres!$A$1:$I$89,5,0)</f>
        <v>6.9563387289100032</v>
      </c>
      <c r="DQ16" s="13">
        <f t="shared" si="43"/>
        <v>2.5578770782188007</v>
      </c>
      <c r="DR16" s="20">
        <f t="shared" si="16"/>
        <v>16.57059253074933</v>
      </c>
      <c r="DS16" s="59">
        <f t="shared" si="17"/>
        <v>220.49246610060436</v>
      </c>
      <c r="DT16" s="59">
        <f ca="1">AVERAGE(OFFSET($DS$3,0,0,'Données projet'!$E$14+1,1))-AVERAGE(OFFSET($H$3,0,0,'Données projet'!$E$14+1,1))</f>
        <v>211.42385430331873</v>
      </c>
      <c r="DU16" s="59">
        <f t="shared" si="44"/>
        <v>146.84623106782686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>
        <f>EXP(-LN(2)/35)*EA15+(1-EXP(-LN(2)/35))/(LN(2)/35)*DW16*DX16*VLOOKUP('Données projet'!$B$14,Paramètres!$A$1:$I$89,3,0)*0.475*44/12</f>
        <v>0</v>
      </c>
      <c r="EB16" s="21">
        <f>EXP(-LN(2)/25)*EB15+(1-EXP(-LN(2)/25))/(LN(2)/25)*Calculateur!DW16*Calculateur!DY16*VLOOKUP('Données projet'!$B$14,Paramètres!$A$1:$I$89,3,0)*0.475*44/12</f>
        <v>0</v>
      </c>
      <c r="EC16" s="21">
        <f>EXP(-LN(2)/2)*EC15+(1-EXP(-LN(2)/2))/(LN(2)/2)*DW16*DZ16*VLOOKUP('Données projet'!$B$14,Paramètres!$A$1:$I$89,3,0)*0.475*44/12</f>
        <v>0</v>
      </c>
      <c r="ED16" s="22">
        <f t="shared" si="18"/>
        <v>0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51.281723094808939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1.153846153846154</v>
      </c>
      <c r="EJ16" s="12">
        <f>IF('Données projet'!$A$192&gt;35,EJ15+EI16-ER15,IF(A16&lt;'Données projet'!$A$192,$EG$205^A16,IF(A16='Données projet'!$A$192,'Données projet'!$B$192,EJ15+EI16-ER15)))</f>
        <v>5.7444137889908591</v>
      </c>
      <c r="EK16" s="17">
        <f>EJ16*VLOOKUP('Données projet'!$B$15,Paramètres!$A$1:$I$89,3,0)*VLOOKUP('Données projet'!$B$15,Paramètres!$A$1:$I$89,5,0)</f>
        <v>6.1832870024697604</v>
      </c>
      <c r="EL16" s="13">
        <f t="shared" si="45"/>
        <v>2.3050138073928235</v>
      </c>
      <c r="EM16" s="20">
        <f t="shared" si="19"/>
        <v>14.78379057717733</v>
      </c>
      <c r="EN16" s="59">
        <f t="shared" si="20"/>
        <v>218.70566414703237</v>
      </c>
      <c r="EO16" s="59">
        <f ca="1">AVERAGE(OFFSET($EN$3,0,0,'Données projet'!$E$15+1,1))-AVERAGE(OFFSET($H$3,0,0,'Données projet'!$E$15+1,1))</f>
        <v>212.00478362779876</v>
      </c>
      <c r="EP16" s="59">
        <f t="shared" si="46"/>
        <v>133.62262474506707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>
        <f>EXP(-LN(2)/35)*EV15+(1-EXP(-LN(2)/35))/(LN(2)/35)*ER16*ES16*VLOOKUP('Données projet'!$B$15,Paramètres!$A$1:$I$89,3,0)*0.475*44/12</f>
        <v>0</v>
      </c>
      <c r="EW16" s="21">
        <f>EXP(-LN(2)/25)*EW15+(1-EXP(-LN(2)/25))/(LN(2)/25)*Calculateur!ER16*Calculateur!ET16*VLOOKUP('Données projet'!$B$15,Paramètres!$A$1:$I$89,3,0)*0.475*44/12</f>
        <v>0</v>
      </c>
      <c r="EX16" s="21">
        <f>EXP(-LN(2)/2)*EX15+(1-EXP(-LN(2)/2))/(LN(2)/2)*ER16*EU16*VLOOKUP('Données projet'!$B$15,Paramètres!$A$1:$I$89,3,0)*0.475*44/12</f>
        <v>0</v>
      </c>
      <c r="EY16" s="22">
        <f t="shared" si="21"/>
        <v>0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51.281723094808939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1.153846153846154</v>
      </c>
      <c r="FE16" s="12">
        <f>IF('Données projet'!$A$218&gt;35,FE15+FD16-FM15,IF(A16&lt;'Données projet'!$A$218,$FB$205^A16,IF(A16='Données projet'!$A$218,'Données projet'!$B$218,FE15+FD16-FM15)))</f>
        <v>5.7444137889908591</v>
      </c>
      <c r="FF16" s="17">
        <f>FE16*VLOOKUP('Données projet'!$B$16,Paramètres!$A$1:$I$89,3,0)*VLOOKUP('Données projet'!$B$16,Paramètres!$A$1:$I$89,5,0)</f>
        <v>5.5559970167119586</v>
      </c>
      <c r="FG16" s="13">
        <f t="shared" si="47"/>
        <v>2.0971223632403886</v>
      </c>
      <c r="FH16" s="20">
        <f t="shared" si="22"/>
        <v>13.329182920083669</v>
      </c>
      <c r="FI16" s="59">
        <f t="shared" si="23"/>
        <v>217.25105648993869</v>
      </c>
      <c r="FJ16" s="59">
        <f ca="1">AVERAGE(OFFSET($FI$3,0,0,'Données projet'!$E$16+1,1))-AVERAGE(OFFSET($H$3,0,0,'Données projet'!$E$16+1,1))</f>
        <v>196.65742339093146</v>
      </c>
      <c r="FK16" s="59">
        <f t="shared" si="48"/>
        <v>125.41980634506001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>
        <f>EXP(-LN(2)/35)*FQ15+(1-EXP(-LN(2)/35))/(LN(2)/35)*FM16*FN16*VLOOKUP('Données projet'!$B$16,Paramètres!$A$1:$I$89,3,0)*0.475*44/12</f>
        <v>0</v>
      </c>
      <c r="FR16" s="21">
        <f>EXP(-LN(2)/25)*FR15+(1-EXP(-LN(2)/25))/(LN(2)/25)*Calculateur!FM16*Calculateur!FO16*VLOOKUP('Données projet'!$B$16,Paramètres!$A$1:$I$89,3,0)*0.475*44/12</f>
        <v>0</v>
      </c>
      <c r="FS16" s="21">
        <f>EXP(-LN(2)/2)*FS15+(1-EXP(-LN(2)/2))/(LN(2)/2)*FM16*FP16*VLOOKUP('Données projet'!$B$16,Paramètres!$A$1:$I$89,3,0)*0.475*44/12</f>
        <v>0</v>
      </c>
      <c r="FT16" s="22">
        <f t="shared" si="24"/>
        <v>0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51.281723094808939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51.281723094808939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>
      <c r="A17" s="10">
        <f t="shared" si="31"/>
        <v>14</v>
      </c>
      <c r="B17" s="73">
        <f>'Scénario référence'!$B$16*5+'Scénario référence'!$B$17*0+'Scénario référence'!$B$18*5</f>
        <v>4.6999999999999993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0.74692799999999981</v>
      </c>
      <c r="D17" s="11">
        <f t="shared" si="32"/>
        <v>0.35610753209441609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16.710212948198112</v>
      </c>
      <c r="H17" s="67">
        <f t="shared" si="1"/>
        <v>189.65445355173111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51.606443351316102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5.8890909090909096</v>
      </c>
      <c r="N17" s="13">
        <f>IF('Données projet'!$A$36&gt;35,N16+M17-V16,IF(A17&lt;'Données projet'!$A$36,$K$205^A17,IF(A17='Données projet'!$A$36,'Données projet'!$B$36,N16+M17-V16)))</f>
        <v>22.095289116397044</v>
      </c>
      <c r="O17" s="13">
        <f>N17*VLOOKUP('Données projet'!$B$9,Paramètres!$A$1:$I$89,3,0)*VLOOKUP('Données projet'!$B$9,Paramètres!$A$1:$I$89,5,0)</f>
        <v>13.212982891605433</v>
      </c>
      <c r="P17" s="13">
        <f t="shared" si="33"/>
        <v>4.508877496544403</v>
      </c>
      <c r="Q17" s="20">
        <f t="shared" si="2"/>
        <v>30.86557350936096</v>
      </c>
      <c r="R17" s="59">
        <f t="shared" si="0"/>
        <v>237.20031024196442</v>
      </c>
      <c r="S17" s="59">
        <f ca="1">AVERAGE(OFFSET($R$3,0,0,'Données projet'!$E$9+1,1))-AVERAGE(OFFSET($H$3,0,0,'Données projet'!$E$9+1,1))</f>
        <v>366.93249569585623</v>
      </c>
      <c r="T17" s="59">
        <f t="shared" si="34"/>
        <v>272.47262353368501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51.606443351316102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10.064285714285713</v>
      </c>
      <c r="AI17" s="13">
        <f>IF('Données projet'!$A$62&gt;35,AI16+AH17-AQ16,IF(A17&lt;'Données projet'!$A$62,$AF$205^A17,IF(A17='Données projet'!$A$62,'Données projet'!$B$62,AI16+AH17-AQ16)))</f>
        <v>140.9</v>
      </c>
      <c r="AJ17" s="13">
        <f>AI17*VLOOKUP('Données projet'!$B$10,Paramètres!$A$1:$I$89,3,0)*VLOOKUP('Données projet'!$B$10,Paramètres!$A$1:$I$89,5,0)</f>
        <v>65.941199999999995</v>
      </c>
      <c r="AK17" s="13">
        <f t="shared" si="35"/>
        <v>18.662037344500646</v>
      </c>
      <c r="AL17" s="20">
        <f t="shared" si="4"/>
        <v>147.35063837500527</v>
      </c>
      <c r="AM17" s="59">
        <f t="shared" si="5"/>
        <v>353.68537510760871</v>
      </c>
      <c r="AN17" s="59">
        <f ca="1">AVERAGE(OFFSET($AM$3,0,0,'Données projet'!$E$10+1,1))-AVERAGE(OFFSET($H$3,0,0,'Données projet'!$E$10+1,1))</f>
        <v>382.89338473200229</v>
      </c>
      <c r="AO17" s="59">
        <f t="shared" si="36"/>
        <v>360.46248248971744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51.606443351316102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2.7884615384615379</v>
      </c>
      <c r="BD17" s="12">
        <f>IF('Données projet'!$A$88&gt;35,BD16+BC17-BL16,IF(A17&lt;'Données projet'!$A$88,$BA$205^A17,IF(A17='Données projet'!$A$88,'Données projet'!$B$88,BD16+BC17-BL16)))</f>
        <v>16.69076559622826</v>
      </c>
      <c r="BE17" s="13">
        <f>BD17*VLOOKUP('Données projet'!$B$11,Paramètres!$A$1:$I$89,3,0)*VLOOKUP('Données projet'!$B$11,Paramètres!$A$1:$I$89,5,0)</f>
        <v>14.581052824865012</v>
      </c>
      <c r="BF17" s="13">
        <f t="shared" si="37"/>
        <v>4.9189898020947949</v>
      </c>
      <c r="BG17" s="20">
        <f t="shared" si="7"/>
        <v>33.962574241954997</v>
      </c>
      <c r="BH17" s="59">
        <f t="shared" si="8"/>
        <v>240.29731097455846</v>
      </c>
      <c r="BI17" s="59">
        <f ca="1">AVERAGE(OFFSET($BH$3,0,0,'Données projet'!$E$11+1,1))-AVERAGE(OFFSET($H$3,0,0,'Données projet'!$E$11+1,1))</f>
        <v>225.75484198243581</v>
      </c>
      <c r="BJ17" s="59">
        <f t="shared" si="38"/>
        <v>199.49566488421061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51.606443351316102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2.8</v>
      </c>
      <c r="BY17" s="12">
        <f>IF('Données projet'!$A$114&gt;35,BY16+BX17-CG16,IF(A17&lt;'Données projet'!$A$114,$BV$205^A17,IF(A17='Données projet'!$A$114,'Données projet'!$B$114,BY16+BX17-CG16)))</f>
        <v>10.795801791490293</v>
      </c>
      <c r="BZ17" s="13">
        <f>BY17*VLOOKUP('Données projet'!$B$12,Paramètres!$A$1:$I$89,3,0)*VLOOKUP('Données projet'!$B$12,Paramètres!$A$1:$I$89,5,0)</f>
        <v>10.273284984782164</v>
      </c>
      <c r="CA17" s="13">
        <f t="shared" si="39"/>
        <v>3.6099271186485127</v>
      </c>
      <c r="CB17" s="20">
        <f t="shared" si="10"/>
        <v>24.179927746808428</v>
      </c>
      <c r="CC17" s="59">
        <f t="shared" si="11"/>
        <v>230.51466447941189</v>
      </c>
      <c r="CD17" s="59">
        <f ca="1">AVERAGE(OFFSET($CC$3,0,0,'Données projet'!$E$12+1,1))-AVERAGE(OFFSET($H$3,0,0,'Données projet'!$E$12+1,1))</f>
        <v>413.9352601863377</v>
      </c>
      <c r="CE17" s="59">
        <f t="shared" si="40"/>
        <v>255.13997349799286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51.606443351316102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2.85</v>
      </c>
      <c r="CT17" s="12">
        <f>IF('Données projet'!$A$140&gt;35,CT16+CS17-DB16,IF(A17&lt;'Données projet'!$A$140,$CQ$205^A17,IF(A17='Données projet'!$A$140,'Données projet'!$B$140,CT16+CS17-DB16)))</f>
        <v>16.94776365704034</v>
      </c>
      <c r="CU17" s="17">
        <f>CT17*VLOOKUP('Données projet'!$B$13,Paramètres!$A$1:$I$89,3,0)*VLOOKUP('Données projet'!$B$13,Paramètres!$A$1:$I$89,5,0)</f>
        <v>14.805566330790443</v>
      </c>
      <c r="CV17" s="13">
        <f t="shared" si="41"/>
        <v>4.9858546818608076</v>
      </c>
      <c r="CW17" s="20">
        <f t="shared" si="13"/>
        <v>34.470058263700928</v>
      </c>
      <c r="CX17" s="59">
        <f t="shared" si="14"/>
        <v>240.80479499630439</v>
      </c>
      <c r="CY17" s="59">
        <f ca="1">AVERAGE(OFFSET($CX$3,0,0,'Données projet'!$E$13+1,1))-AVERAGE(OFFSET($H$3,0,0,'Données projet'!$E$13+1,1))</f>
        <v>280.59827778697775</v>
      </c>
      <c r="CZ17" s="59">
        <f t="shared" si="42"/>
        <v>270.86588231964726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>
        <f>EXP(-LN(2)/35)*DF16+(1-EXP(-LN(2)/35))/(LN(2)/35)*DB17*DC17*VLOOKUP('Données projet'!$B$13,Paramètres!$A$1:$I$89,3,0)*0.475*44/12</f>
        <v>0</v>
      </c>
      <c r="DG17" s="21">
        <f>EXP(-LN(2)/25)*DG16+(1-EXP(-LN(2)/25))/(LN(2)/25)*Calculateur!DB17*Calculateur!DD17*VLOOKUP('Données projet'!$B$13,Paramètres!$A$1:$I$89,3,0)*0.475*44/12</f>
        <v>0</v>
      </c>
      <c r="DH17" s="21">
        <f>EXP(-LN(2)/2)*DH16+(1-EXP(-LN(2)/2))/(LN(2)/2)*DB17*DE17*VLOOKUP('Données projet'!$B$13,Paramètres!$A$1:$I$89,3,0)*0.475*44/12</f>
        <v>0</v>
      </c>
      <c r="DI17" s="22">
        <f t="shared" si="15"/>
        <v>0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51.606443351316102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1.8269230769230766</v>
      </c>
      <c r="DO17" s="12">
        <f>IF('Données projet'!$A$166&gt;35,DO16+DN17-DW16,IF(A17&lt;'Données projet'!$A$166,$DL$205^A17,IF(A17='Données projet'!$A$166,'Données projet'!$B$166,DO16+DN17-DW16)))</f>
        <v>12.414384152328676</v>
      </c>
      <c r="DP17" s="17">
        <f>DO17*VLOOKUP('Données projet'!$B$14,Paramètres!$A$1:$I$89,3,0)*VLOOKUP('Données projet'!$B$14,Paramètres!$A$1:$I$89,5,0)</f>
        <v>8.3275688893820767</v>
      </c>
      <c r="DQ17" s="13">
        <f t="shared" si="43"/>
        <v>2.9986237504756712</v>
      </c>
      <c r="DR17" s="20">
        <f t="shared" si="16"/>
        <v>19.726452181085573</v>
      </c>
      <c r="DS17" s="59">
        <f t="shared" si="17"/>
        <v>226.06118891368902</v>
      </c>
      <c r="DT17" s="59">
        <f ca="1">AVERAGE(OFFSET($DS$3,0,0,'Données projet'!$E$14+1,1))-AVERAGE(OFFSET($H$3,0,0,'Données projet'!$E$14+1,1))</f>
        <v>211.42385430331873</v>
      </c>
      <c r="DU17" s="59">
        <f t="shared" si="44"/>
        <v>146.84623106782686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>
        <f>EXP(-LN(2)/35)*EA16+(1-EXP(-LN(2)/35))/(LN(2)/35)*DW17*DX17*VLOOKUP('Données projet'!$B$14,Paramètres!$A$1:$I$89,3,0)*0.475*44/12</f>
        <v>0</v>
      </c>
      <c r="EB17" s="21">
        <f>EXP(-LN(2)/25)*EB16+(1-EXP(-LN(2)/25))/(LN(2)/25)*Calculateur!DW17*Calculateur!DY17*VLOOKUP('Données projet'!$B$14,Paramètres!$A$1:$I$89,3,0)*0.475*44/12</f>
        <v>0</v>
      </c>
      <c r="EC17" s="21">
        <f>EXP(-LN(2)/2)*EC16+(1-EXP(-LN(2)/2))/(LN(2)/2)*DW17*DZ17*VLOOKUP('Données projet'!$B$14,Paramètres!$A$1:$I$89,3,0)*0.475*44/12</f>
        <v>0</v>
      </c>
      <c r="ED17" s="22">
        <f t="shared" si="18"/>
        <v>0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51.606443351316102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1.153846153846154</v>
      </c>
      <c r="EJ17" s="12">
        <f>IF('Données projet'!$A$192&gt;35,EJ16+EI17-ER16,IF(A17&lt;'Données projet'!$A$192,$EG$205^A17,IF(A17='Données projet'!$A$192,'Données projet'!$B$192,EJ16+EI17-ER16)))</f>
        <v>6.5712688017757817</v>
      </c>
      <c r="EK17" s="17">
        <f>EJ17*VLOOKUP('Données projet'!$B$15,Paramètres!$A$1:$I$89,3,0)*VLOOKUP('Données projet'!$B$15,Paramètres!$A$1:$I$89,5,0)</f>
        <v>7.0733137382314508</v>
      </c>
      <c r="EL17" s="13">
        <f t="shared" si="45"/>
        <v>2.595845727296628</v>
      </c>
      <c r="EM17" s="20">
        <f t="shared" si="19"/>
        <v>16.840452735794738</v>
      </c>
      <c r="EN17" s="59">
        <f t="shared" si="20"/>
        <v>223.1751894683982</v>
      </c>
      <c r="EO17" s="59">
        <f ca="1">AVERAGE(OFFSET($EN$3,0,0,'Données projet'!$E$15+1,1))-AVERAGE(OFFSET($H$3,0,0,'Données projet'!$E$15+1,1))</f>
        <v>212.00478362779876</v>
      </c>
      <c r="EP17" s="59">
        <f t="shared" si="46"/>
        <v>133.62262474506707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>
        <f>EXP(-LN(2)/35)*EV16+(1-EXP(-LN(2)/35))/(LN(2)/35)*ER17*ES17*VLOOKUP('Données projet'!$B$15,Paramètres!$A$1:$I$89,3,0)*0.475*44/12</f>
        <v>0</v>
      </c>
      <c r="EW17" s="21">
        <f>EXP(-LN(2)/25)*EW16+(1-EXP(-LN(2)/25))/(LN(2)/25)*Calculateur!ER17*Calculateur!ET17*VLOOKUP('Données projet'!$B$15,Paramètres!$A$1:$I$89,3,0)*0.475*44/12</f>
        <v>0</v>
      </c>
      <c r="EX17" s="21">
        <f>EXP(-LN(2)/2)*EX16+(1-EXP(-LN(2)/2))/(LN(2)/2)*ER17*EU17*VLOOKUP('Données projet'!$B$15,Paramètres!$A$1:$I$89,3,0)*0.475*44/12</f>
        <v>0</v>
      </c>
      <c r="EY17" s="22">
        <f t="shared" si="21"/>
        <v>0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51.606443351316102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1.153846153846154</v>
      </c>
      <c r="FE17" s="12">
        <f>IF('Données projet'!$A$218&gt;35,FE16+FD17-FM16,IF(A17&lt;'Données projet'!$A$218,$FB$205^A17,IF(A17='Données projet'!$A$218,'Données projet'!$B$218,FE16+FD17-FM16)))</f>
        <v>6.5712688017757817</v>
      </c>
      <c r="FF17" s="17">
        <f>FE17*VLOOKUP('Données projet'!$B$16,Paramètres!$A$1:$I$89,3,0)*VLOOKUP('Données projet'!$B$16,Paramètres!$A$1:$I$89,5,0)</f>
        <v>6.355731185077536</v>
      </c>
      <c r="FG17" s="13">
        <f t="shared" si="47"/>
        <v>2.3617238685408144</v>
      </c>
      <c r="FH17" s="20">
        <f t="shared" si="22"/>
        <v>15.182900885051957</v>
      </c>
      <c r="FI17" s="59">
        <f t="shared" si="23"/>
        <v>221.51763761765542</v>
      </c>
      <c r="FJ17" s="59">
        <f ca="1">AVERAGE(OFFSET($FI$3,0,0,'Données projet'!$E$16+1,1))-AVERAGE(OFFSET($H$3,0,0,'Données projet'!$E$16+1,1))</f>
        <v>196.65742339093146</v>
      </c>
      <c r="FK17" s="59">
        <f t="shared" si="48"/>
        <v>125.41980634506001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>
        <f>EXP(-LN(2)/35)*FQ16+(1-EXP(-LN(2)/35))/(LN(2)/35)*FM17*FN17*VLOOKUP('Données projet'!$B$16,Paramètres!$A$1:$I$89,3,0)*0.475*44/12</f>
        <v>0</v>
      </c>
      <c r="FR17" s="21">
        <f>EXP(-LN(2)/25)*FR16+(1-EXP(-LN(2)/25))/(LN(2)/25)*Calculateur!FM17*Calculateur!FO17*VLOOKUP('Données projet'!$B$16,Paramètres!$A$1:$I$89,3,0)*0.475*44/12</f>
        <v>0</v>
      </c>
      <c r="FS17" s="21">
        <f>EXP(-LN(2)/2)*FS16+(1-EXP(-LN(2)/2))/(LN(2)/2)*FM17*FP17*VLOOKUP('Données projet'!$B$16,Paramètres!$A$1:$I$89,3,0)*0.475*44/12</f>
        <v>0</v>
      </c>
      <c r="FT17" s="22">
        <f t="shared" si="24"/>
        <v>0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51.606443351316102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51.606443351316102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>
      <c r="A18" s="10">
        <f t="shared" si="31"/>
        <v>15</v>
      </c>
      <c r="B18" s="73">
        <f>'Scénario référence'!$B$16*5+'Scénario référence'!$B$17*0+'Scénario référence'!$B$18*5</f>
        <v>4.6999999999999993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0.80027999999999977</v>
      </c>
      <c r="D18" s="11">
        <f t="shared" si="32"/>
        <v>0.37849196455131157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16.745290874809729</v>
      </c>
      <c r="H18" s="67">
        <f t="shared" si="1"/>
        <v>189.78636117159354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51.925530437338594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5.8890909090909096</v>
      </c>
      <c r="N18" s="13">
        <f>IF('Données projet'!$A$36&gt;35,N17+M18-V17,IF(A18&lt;'Données projet'!$A$36,$K$205^A18,IF(A18='Données projet'!$A$36,'Données projet'!$B$36,N17+M18-V17)))</f>
        <v>27.562657913521289</v>
      </c>
      <c r="O18" s="13">
        <f>N18*VLOOKUP('Données projet'!$B$9,Paramètres!$A$1:$I$89,3,0)*VLOOKUP('Données projet'!$B$9,Paramètres!$A$1:$I$89,5,0)</f>
        <v>16.482469432285733</v>
      </c>
      <c r="P18" s="13">
        <f t="shared" si="33"/>
        <v>5.4816708002179473</v>
      </c>
      <c r="Q18" s="20">
        <f t="shared" si="2"/>
        <v>38.254210904943911</v>
      </c>
      <c r="R18" s="59">
        <f t="shared" si="0"/>
        <v>246.98115584185206</v>
      </c>
      <c r="S18" s="59">
        <f ca="1">AVERAGE(OFFSET($R$3,0,0,'Données projet'!$E$9+1,1))-AVERAGE(OFFSET($H$3,0,0,'Données projet'!$E$9+1,1))</f>
        <v>366.93249569585623</v>
      </c>
      <c r="T18" s="59">
        <f t="shared" si="34"/>
        <v>272.47262353368501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51.925530437338594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10.064285714285713</v>
      </c>
      <c r="AI18" s="13">
        <f>IF('Données projet'!$A$62&gt;35,AI17+AH18-AQ17,IF(A18&lt;'Données projet'!$A$62,$AF$205^A18,IF(A18='Données projet'!$A$62,'Données projet'!$B$62,AI17+AH18-AQ17)))</f>
        <v>150.96428571428572</v>
      </c>
      <c r="AJ18" s="13">
        <f>AI18*VLOOKUP('Données projet'!$B$10,Paramètres!$A$1:$I$89,3,0)*VLOOKUP('Données projet'!$B$10,Paramètres!$A$1:$I$89,5,0)</f>
        <v>70.65128571428572</v>
      </c>
      <c r="AK18" s="13">
        <f t="shared" si="35"/>
        <v>19.835107489883814</v>
      </c>
      <c r="AL18" s="20">
        <f t="shared" si="4"/>
        <v>157.59713483059525</v>
      </c>
      <c r="AM18" s="59">
        <f t="shared" si="5"/>
        <v>366.32407976750341</v>
      </c>
      <c r="AN18" s="59">
        <f ca="1">AVERAGE(OFFSET($AM$3,0,0,'Données projet'!$E$10+1,1))-AVERAGE(OFFSET($H$3,0,0,'Données projet'!$E$10+1,1))</f>
        <v>382.89338473200229</v>
      </c>
      <c r="AO18" s="59">
        <f t="shared" si="36"/>
        <v>360.46248248971744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51.925530437338594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2.7884615384615379</v>
      </c>
      <c r="BD18" s="12">
        <f>IF('Données projet'!$A$88&gt;35,BD17+BC18-BL17,IF(A18&lt;'Données projet'!$A$88,$BA$205^A18,IF(A18='Données projet'!$A$88,'Données projet'!$B$88,BD17+BC18-BL17)))</f>
        <v>20.407790660000337</v>
      </c>
      <c r="BE18" s="13">
        <f>BD18*VLOOKUP('Données projet'!$B$11,Paramètres!$A$1:$I$89,3,0)*VLOOKUP('Données projet'!$B$11,Paramètres!$A$1:$I$89,5,0)</f>
        <v>17.828245920576297</v>
      </c>
      <c r="BF18" s="13">
        <f t="shared" si="37"/>
        <v>5.8753215223634703</v>
      </c>
      <c r="BG18" s="20">
        <f t="shared" si="7"/>
        <v>41.283713296453428</v>
      </c>
      <c r="BH18" s="59">
        <f t="shared" si="8"/>
        <v>250.0106582333616</v>
      </c>
      <c r="BI18" s="59">
        <f ca="1">AVERAGE(OFFSET($BH$3,0,0,'Données projet'!$E$11+1,1))-AVERAGE(OFFSET($H$3,0,0,'Données projet'!$E$11+1,1))</f>
        <v>225.75484198243581</v>
      </c>
      <c r="BJ18" s="59">
        <f t="shared" si="38"/>
        <v>199.49566488421061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51.925530437338594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2.8</v>
      </c>
      <c r="BY18" s="12">
        <f>IF('Données projet'!$A$114&gt;35,BY17+BX18-CG17,IF(A18&lt;'Données projet'!$A$114,$BV$205^A18,IF(A18='Données projet'!$A$114,'Données projet'!$B$114,BY17+BX18-CG17)))</f>
        <v>12.795546046181913</v>
      </c>
      <c r="BZ18" s="13">
        <f>BY18*VLOOKUP('Données projet'!$B$12,Paramètres!$A$1:$I$89,3,0)*VLOOKUP('Données projet'!$B$12,Paramètres!$A$1:$I$89,5,0)</f>
        <v>12.176241617546708</v>
      </c>
      <c r="CA18" s="13">
        <f t="shared" si="39"/>
        <v>4.1948030884555632</v>
      </c>
      <c r="CB18" s="20">
        <f t="shared" si="10"/>
        <v>28.512902862953961</v>
      </c>
      <c r="CC18" s="59">
        <f t="shared" si="11"/>
        <v>237.2398477998621</v>
      </c>
      <c r="CD18" s="59">
        <f ca="1">AVERAGE(OFFSET($CC$3,0,0,'Données projet'!$E$12+1,1))-AVERAGE(OFFSET($H$3,0,0,'Données projet'!$E$12+1,1))</f>
        <v>413.9352601863377</v>
      </c>
      <c r="CE18" s="59">
        <f t="shared" si="40"/>
        <v>255.13997349799286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51.925530437338594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2.85</v>
      </c>
      <c r="CT18" s="12">
        <f>IF('Données projet'!$A$140&gt;35,CT17+CS18-DB17,IF(A18&lt;'Données projet'!$A$140,$CQ$205^A18,IF(A18='Données projet'!$A$140,'Données projet'!$B$140,CT17+CS18-DB17)))</f>
        <v>20.744651426583019</v>
      </c>
      <c r="CU18" s="17">
        <f>CT18*VLOOKUP('Données projet'!$B$13,Paramètres!$A$1:$I$89,3,0)*VLOOKUP('Données projet'!$B$13,Paramètres!$A$1:$I$89,5,0)</f>
        <v>18.122527486262925</v>
      </c>
      <c r="CV18" s="13">
        <f t="shared" si="41"/>
        <v>5.960931998595087</v>
      </c>
      <c r="CW18" s="20">
        <f t="shared" si="13"/>
        <v>41.945358602794364</v>
      </c>
      <c r="CX18" s="59">
        <f t="shared" si="14"/>
        <v>250.67230353970251</v>
      </c>
      <c r="CY18" s="59">
        <f ca="1">AVERAGE(OFFSET($CX$3,0,0,'Données projet'!$E$13+1,1))-AVERAGE(OFFSET($H$3,0,0,'Données projet'!$E$13+1,1))</f>
        <v>280.59827778697775</v>
      </c>
      <c r="CZ18" s="59">
        <f t="shared" si="42"/>
        <v>270.86588231964726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>
        <f>EXP(-LN(2)/35)*DF17+(1-EXP(-LN(2)/35))/(LN(2)/35)*DB18*DC18*VLOOKUP('Données projet'!$B$13,Paramètres!$A$1:$I$89,3,0)*0.475*44/12</f>
        <v>0</v>
      </c>
      <c r="DG18" s="21">
        <f>EXP(-LN(2)/25)*DG17+(1-EXP(-LN(2)/25))/(LN(2)/25)*Calculateur!DB18*Calculateur!DD18*VLOOKUP('Données projet'!$B$13,Paramètres!$A$1:$I$89,3,0)*0.475*44/12</f>
        <v>0</v>
      </c>
      <c r="DH18" s="21">
        <f>EXP(-LN(2)/2)*DH17+(1-EXP(-LN(2)/2))/(LN(2)/2)*DB18*DE18*VLOOKUP('Données projet'!$B$13,Paramètres!$A$1:$I$89,3,0)*0.475*44/12</f>
        <v>0</v>
      </c>
      <c r="DI18" s="22">
        <f t="shared" si="15"/>
        <v>0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51.925530437338594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1.8269230769230766</v>
      </c>
      <c r="DO18" s="12">
        <f>IF('Données projet'!$A$166&gt;35,DO17+DN18-DW17,IF(A18&lt;'Données projet'!$A$166,$DL$205^A18,IF(A18='Données projet'!$A$166,'Données projet'!$B$166,DO17+DN18-DW17)))</f>
        <v>14.86150161407812</v>
      </c>
      <c r="DP18" s="17">
        <f>DO18*VLOOKUP('Données projet'!$B$14,Paramètres!$A$1:$I$89,3,0)*VLOOKUP('Données projet'!$B$14,Paramètres!$A$1:$I$89,5,0)</f>
        <v>9.9690952827236039</v>
      </c>
      <c r="DQ18" s="13">
        <f t="shared" si="43"/>
        <v>3.5153152876205684</v>
      </c>
      <c r="DR18" s="20">
        <f t="shared" si="16"/>
        <v>23.485348410016101</v>
      </c>
      <c r="DS18" s="59">
        <f t="shared" si="17"/>
        <v>232.21229334692424</v>
      </c>
      <c r="DT18" s="59">
        <f ca="1">AVERAGE(OFFSET($DS$3,0,0,'Données projet'!$E$14+1,1))-AVERAGE(OFFSET($H$3,0,0,'Données projet'!$E$14+1,1))</f>
        <v>211.42385430331873</v>
      </c>
      <c r="DU18" s="59">
        <f t="shared" si="44"/>
        <v>146.84623106782686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>
        <f>EXP(-LN(2)/35)*EA17+(1-EXP(-LN(2)/35))/(LN(2)/35)*DW18*DX18*VLOOKUP('Données projet'!$B$14,Paramètres!$A$1:$I$89,3,0)*0.475*44/12</f>
        <v>0</v>
      </c>
      <c r="EB18" s="21">
        <f>EXP(-LN(2)/25)*EB17+(1-EXP(-LN(2)/25))/(LN(2)/25)*Calculateur!DW18*Calculateur!DY18*VLOOKUP('Données projet'!$B$14,Paramètres!$A$1:$I$89,3,0)*0.475*44/12</f>
        <v>0</v>
      </c>
      <c r="EC18" s="21">
        <f>EXP(-LN(2)/2)*EC17+(1-EXP(-LN(2)/2))/(LN(2)/2)*DW18*DZ18*VLOOKUP('Données projet'!$B$14,Paramètres!$A$1:$I$89,3,0)*0.475*44/12</f>
        <v>0</v>
      </c>
      <c r="ED18" s="22">
        <f t="shared" si="18"/>
        <v>0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51.925530437338594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1.153846153846154</v>
      </c>
      <c r="EJ18" s="12">
        <f>IF('Données projet'!$A$192&gt;35,EJ17+EI18-ER17,IF(A18&lt;'Données projet'!$A$192,$EG$205^A18,IF(A18='Données projet'!$A$192,'Données projet'!$B$192,EJ17+EI18-ER17)))</f>
        <v>7.5171419141060118</v>
      </c>
      <c r="EK18" s="17">
        <f>EJ18*VLOOKUP('Données projet'!$B$15,Paramètres!$A$1:$I$89,3,0)*VLOOKUP('Données projet'!$B$15,Paramètres!$A$1:$I$89,5,0)</f>
        <v>8.0914515563437099</v>
      </c>
      <c r="EL18" s="13">
        <f t="shared" si="45"/>
        <v>2.923372961286471</v>
      </c>
      <c r="EM18" s="20">
        <f t="shared" si="19"/>
        <v>19.184152701539233</v>
      </c>
      <c r="EN18" s="59">
        <f t="shared" si="20"/>
        <v>227.91109763844739</v>
      </c>
      <c r="EO18" s="59">
        <f ca="1">AVERAGE(OFFSET($EN$3,0,0,'Données projet'!$E$15+1,1))-AVERAGE(OFFSET($H$3,0,0,'Données projet'!$E$15+1,1))</f>
        <v>212.00478362779876</v>
      </c>
      <c r="EP18" s="59">
        <f t="shared" si="46"/>
        <v>133.62262474506707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>
        <f>EXP(-LN(2)/35)*EV17+(1-EXP(-LN(2)/35))/(LN(2)/35)*ER18*ES18*VLOOKUP('Données projet'!$B$15,Paramètres!$A$1:$I$89,3,0)*0.475*44/12</f>
        <v>0</v>
      </c>
      <c r="EW18" s="21">
        <f>EXP(-LN(2)/25)*EW17+(1-EXP(-LN(2)/25))/(LN(2)/25)*Calculateur!ER18*Calculateur!ET18*VLOOKUP('Données projet'!$B$15,Paramètres!$A$1:$I$89,3,0)*0.475*44/12</f>
        <v>0</v>
      </c>
      <c r="EX18" s="21">
        <f>EXP(-LN(2)/2)*EX17+(1-EXP(-LN(2)/2))/(LN(2)/2)*ER18*EU18*VLOOKUP('Données projet'!$B$15,Paramètres!$A$1:$I$89,3,0)*0.475*44/12</f>
        <v>0</v>
      </c>
      <c r="EY18" s="22">
        <f t="shared" si="21"/>
        <v>0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51.925530437338594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1.153846153846154</v>
      </c>
      <c r="FE18" s="12">
        <f>IF('Données projet'!$A$218&gt;35,FE17+FD18-FM17,IF(A18&lt;'Données projet'!$A$218,$FB$205^A18,IF(A18='Données projet'!$A$218,'Données projet'!$B$218,FE17+FD18-FM17)))</f>
        <v>7.5171419141060118</v>
      </c>
      <c r="FF18" s="17">
        <f>FE18*VLOOKUP('Données projet'!$B$16,Paramètres!$A$1:$I$89,3,0)*VLOOKUP('Données projet'!$B$16,Paramètres!$A$1:$I$89,5,0)</f>
        <v>7.2705796593233352</v>
      </c>
      <c r="FG18" s="13">
        <f t="shared" si="47"/>
        <v>2.6597111017484418</v>
      </c>
      <c r="FH18" s="20">
        <f t="shared" si="22"/>
        <v>17.295256408866681</v>
      </c>
      <c r="FI18" s="59">
        <f t="shared" si="23"/>
        <v>226.02220134577485</v>
      </c>
      <c r="FJ18" s="59">
        <f ca="1">AVERAGE(OFFSET($FI$3,0,0,'Données projet'!$E$16+1,1))-AVERAGE(OFFSET($H$3,0,0,'Données projet'!$E$16+1,1))</f>
        <v>196.65742339093146</v>
      </c>
      <c r="FK18" s="59">
        <f t="shared" si="48"/>
        <v>125.41980634506001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>
        <f>EXP(-LN(2)/35)*FQ17+(1-EXP(-LN(2)/35))/(LN(2)/35)*FM18*FN18*VLOOKUP('Données projet'!$B$16,Paramètres!$A$1:$I$89,3,0)*0.475*44/12</f>
        <v>0</v>
      </c>
      <c r="FR18" s="21">
        <f>EXP(-LN(2)/25)*FR17+(1-EXP(-LN(2)/25))/(LN(2)/25)*Calculateur!FM18*Calculateur!FO18*VLOOKUP('Données projet'!$B$16,Paramètres!$A$1:$I$89,3,0)*0.475*44/12</f>
        <v>0</v>
      </c>
      <c r="FS18" s="21">
        <f>EXP(-LN(2)/2)*FS17+(1-EXP(-LN(2)/2))/(LN(2)/2)*FM18*FP18*VLOOKUP('Données projet'!$B$16,Paramètres!$A$1:$I$89,3,0)*0.475*44/12</f>
        <v>0</v>
      </c>
      <c r="FT18" s="22">
        <f t="shared" si="24"/>
        <v>0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51.925530437338594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51.925530437338594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>
      <c r="A19" s="10">
        <f t="shared" si="31"/>
        <v>16</v>
      </c>
      <c r="B19" s="73">
        <f>'Scénario référence'!$B$16*5+'Scénario référence'!$B$17*0+'Scénario référence'!$B$18*5</f>
        <v>4.6999999999999993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0.85363199999999972</v>
      </c>
      <c r="D19" s="11">
        <f t="shared" si="32"/>
        <v>0.40070323068405539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16.780288598071209</v>
      </c>
      <c r="H19" s="67">
        <f t="shared" si="1"/>
        <v>189.9179671934414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52.239082075790449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5.8890909090909096</v>
      </c>
      <c r="N19" s="13">
        <f>IF('Données projet'!$A$36&gt;35,N18+M19-V18,IF(A19&lt;'Données projet'!$A$36,$K$205^A19,IF(A19='Données projet'!$A$36,'Données projet'!$B$36,N18+M19-V18)))</f>
        <v>34.382899778126003</v>
      </c>
      <c r="O19" s="13">
        <f>N19*VLOOKUP('Données projet'!$B$9,Paramètres!$A$1:$I$89,3,0)*VLOOKUP('Données projet'!$B$9,Paramètres!$A$1:$I$89,5,0)</f>
        <v>20.560974067319354</v>
      </c>
      <c r="P19" s="13">
        <f t="shared" si="33"/>
        <v>6.6643449029146105</v>
      </c>
      <c r="Q19" s="20">
        <f t="shared" si="2"/>
        <v>47.417430539824153</v>
      </c>
      <c r="R19" s="59">
        <f t="shared" si="0"/>
        <v>258.5162870399447</v>
      </c>
      <c r="S19" s="59">
        <f ca="1">AVERAGE(OFFSET($R$3,0,0,'Données projet'!$E$9+1,1))-AVERAGE(OFFSET($H$3,0,0,'Données projet'!$E$9+1,1))</f>
        <v>366.93249569585623</v>
      </c>
      <c r="T19" s="59">
        <f t="shared" si="34"/>
        <v>272.47262353368501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52.239082075790449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10.064285714285713</v>
      </c>
      <c r="AI19" s="13">
        <f>IF('Données projet'!$A$62&gt;35,AI18+AH19-AQ18,IF(A19&lt;'Données projet'!$A$62,$AF$205^A19,IF(A19='Données projet'!$A$62,'Données projet'!$B$62,AI18+AH19-AQ18)))</f>
        <v>161.02857142857144</v>
      </c>
      <c r="AJ19" s="13">
        <f>AI19*VLOOKUP('Données projet'!$B$10,Paramètres!$A$1:$I$89,3,0)*VLOOKUP('Données projet'!$B$10,Paramètres!$A$1:$I$89,5,0)</f>
        <v>75.361371428571431</v>
      </c>
      <c r="AK19" s="13">
        <f t="shared" si="35"/>
        <v>20.999102746035849</v>
      </c>
      <c r="AL19" s="20">
        <f t="shared" si="4"/>
        <v>167.82782585410766</v>
      </c>
      <c r="AM19" s="59">
        <f t="shared" si="5"/>
        <v>378.92668235422821</v>
      </c>
      <c r="AN19" s="59">
        <f ca="1">AVERAGE(OFFSET($AM$3,0,0,'Données projet'!$E$10+1,1))-AVERAGE(OFFSET($H$3,0,0,'Données projet'!$E$10+1,1))</f>
        <v>382.89338473200229</v>
      </c>
      <c r="AO19" s="59">
        <f t="shared" si="36"/>
        <v>360.46248248971744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52.239082075790449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2.7884615384615379</v>
      </c>
      <c r="BD19" s="12">
        <f>IF('Données projet'!$A$88&gt;35,BD18+BC19-BL18,IF(A19&lt;'Données projet'!$A$88,$BA$205^A19,IF(A19='Données projet'!$A$88,'Données projet'!$B$88,BD18+BC19-BL18)))</f>
        <v>24.952595327113794</v>
      </c>
      <c r="BE19" s="13">
        <f>BD19*VLOOKUP('Données projet'!$B$11,Paramètres!$A$1:$I$89,3,0)*VLOOKUP('Données projet'!$B$11,Paramètres!$A$1:$I$89,5,0)</f>
        <v>21.798587277766615</v>
      </c>
      <c r="BF19" s="13">
        <f t="shared" si="37"/>
        <v>7.0175797023297379</v>
      </c>
      <c r="BG19" s="20">
        <f t="shared" si="7"/>
        <v>50.188157490334476</v>
      </c>
      <c r="BH19" s="59">
        <f t="shared" si="8"/>
        <v>261.28701399045502</v>
      </c>
      <c r="BI19" s="59">
        <f ca="1">AVERAGE(OFFSET($BH$3,0,0,'Données projet'!$E$11+1,1))-AVERAGE(OFFSET($H$3,0,0,'Données projet'!$E$11+1,1))</f>
        <v>225.75484198243581</v>
      </c>
      <c r="BJ19" s="59">
        <f t="shared" si="38"/>
        <v>199.49566488421061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52.239082075790449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2.8</v>
      </c>
      <c r="BY19" s="12">
        <f>IF('Données projet'!$A$114&gt;35,BY18+BX19-CG18,IF(A19&lt;'Données projet'!$A$114,$BV$205^A19,IF(A19='Données projet'!$A$114,'Données projet'!$B$114,BY18+BX19-CG18)))</f>
        <v>15.165709947455436</v>
      </c>
      <c r="BZ19" s="13">
        <f>BY19*VLOOKUP('Données projet'!$B$12,Paramètres!$A$1:$I$89,3,0)*VLOOKUP('Données projet'!$B$12,Paramètres!$A$1:$I$89,5,0)</f>
        <v>14.431689585998592</v>
      </c>
      <c r="CA19" s="13">
        <f t="shared" si="39"/>
        <v>4.8744399464507975</v>
      </c>
      <c r="CB19" s="20">
        <f t="shared" si="10"/>
        <v>33.624842269016021</v>
      </c>
      <c r="CC19" s="59">
        <f t="shared" si="11"/>
        <v>244.72369876913658</v>
      </c>
      <c r="CD19" s="59">
        <f ca="1">AVERAGE(OFFSET($CC$3,0,0,'Données projet'!$E$12+1,1))-AVERAGE(OFFSET($H$3,0,0,'Données projet'!$E$12+1,1))</f>
        <v>413.9352601863377</v>
      </c>
      <c r="CE19" s="59">
        <f t="shared" si="40"/>
        <v>255.13997349799286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52.239082075790449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2.85</v>
      </c>
      <c r="CT19" s="12">
        <f>IF('Données projet'!$A$140&gt;35,CT18+CS19-DB18,IF(A19&lt;'Données projet'!$A$140,$CQ$205^A19,IF(A19='Données projet'!$A$140,'Données projet'!$B$140,CT18+CS19-DB18)))</f>
        <v>25.392173948075062</v>
      </c>
      <c r="CU19" s="17">
        <f>CT19*VLOOKUP('Données projet'!$B$13,Paramètres!$A$1:$I$89,3,0)*VLOOKUP('Données projet'!$B$13,Paramètres!$A$1:$I$89,5,0)</f>
        <v>22.182603161038376</v>
      </c>
      <c r="CV19" s="13">
        <f t="shared" si="41"/>
        <v>7.1267039573270132</v>
      </c>
      <c r="CW19" s="20">
        <f t="shared" si="13"/>
        <v>51.047043231153054</v>
      </c>
      <c r="CX19" s="59">
        <f t="shared" si="14"/>
        <v>262.14589973127363</v>
      </c>
      <c r="CY19" s="59">
        <f ca="1">AVERAGE(OFFSET($CX$3,0,0,'Données projet'!$E$13+1,1))-AVERAGE(OFFSET($H$3,0,0,'Données projet'!$E$13+1,1))</f>
        <v>280.59827778697775</v>
      </c>
      <c r="CZ19" s="59">
        <f t="shared" si="42"/>
        <v>270.86588231964726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>
        <f>EXP(-LN(2)/35)*DF18+(1-EXP(-LN(2)/35))/(LN(2)/35)*DB19*DC19*VLOOKUP('Données projet'!$B$13,Paramètres!$A$1:$I$89,3,0)*0.475*44/12</f>
        <v>0</v>
      </c>
      <c r="DG19" s="21">
        <f>EXP(-LN(2)/25)*DG18+(1-EXP(-LN(2)/25))/(LN(2)/25)*Calculateur!DB19*Calculateur!DD19*VLOOKUP('Données projet'!$B$13,Paramètres!$A$1:$I$89,3,0)*0.475*44/12</f>
        <v>0</v>
      </c>
      <c r="DH19" s="21">
        <f>EXP(-LN(2)/2)*DH18+(1-EXP(-LN(2)/2))/(LN(2)/2)*DB19*DE19*VLOOKUP('Données projet'!$B$13,Paramètres!$A$1:$I$89,3,0)*0.475*44/12</f>
        <v>0</v>
      </c>
      <c r="DI19" s="22">
        <f t="shared" si="15"/>
        <v>0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52.239082075790449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1.8269230769230766</v>
      </c>
      <c r="DO19" s="12">
        <f>IF('Données projet'!$A$166&gt;35,DO18+DN19-DW18,IF(A19&lt;'Données projet'!$A$166,$DL$205^A19,IF(A19='Données projet'!$A$166,'Données projet'!$B$166,DO18+DN19-DW18)))</f>
        <v>17.790993698532937</v>
      </c>
      <c r="DP19" s="17">
        <f>DO19*VLOOKUP('Données projet'!$B$14,Paramètres!$A$1:$I$89,3,0)*VLOOKUP('Données projet'!$B$14,Paramètres!$A$1:$I$89,5,0)</f>
        <v>11.934198572975895</v>
      </c>
      <c r="DQ19" s="13">
        <f t="shared" si="43"/>
        <v>4.121037715858356</v>
      </c>
      <c r="DR19" s="20">
        <f t="shared" si="16"/>
        <v>27.962869869719654</v>
      </c>
      <c r="DS19" s="59">
        <f t="shared" si="17"/>
        <v>239.06172636984019</v>
      </c>
      <c r="DT19" s="59">
        <f ca="1">AVERAGE(OFFSET($DS$3,0,0,'Données projet'!$E$14+1,1))-AVERAGE(OFFSET($H$3,0,0,'Données projet'!$E$14+1,1))</f>
        <v>211.42385430331873</v>
      </c>
      <c r="DU19" s="59">
        <f t="shared" si="44"/>
        <v>146.84623106782686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>
        <f>EXP(-LN(2)/35)*EA18+(1-EXP(-LN(2)/35))/(LN(2)/35)*DW19*DX19*VLOOKUP('Données projet'!$B$14,Paramètres!$A$1:$I$89,3,0)*0.475*44/12</f>
        <v>0</v>
      </c>
      <c r="EB19" s="21">
        <f>EXP(-LN(2)/25)*EB18+(1-EXP(-LN(2)/25))/(LN(2)/25)*Calculateur!DW19*Calculateur!DY19*VLOOKUP('Données projet'!$B$14,Paramètres!$A$1:$I$89,3,0)*0.475*44/12</f>
        <v>0</v>
      </c>
      <c r="EC19" s="21">
        <f>EXP(-LN(2)/2)*EC18+(1-EXP(-LN(2)/2))/(LN(2)/2)*DW19*DZ19*VLOOKUP('Données projet'!$B$14,Paramètres!$A$1:$I$89,3,0)*0.475*44/12</f>
        <v>0</v>
      </c>
      <c r="ED19" s="22">
        <f t="shared" si="18"/>
        <v>0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52.239082075790449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1.153846153846154</v>
      </c>
      <c r="EJ19" s="12">
        <f>IF('Données projet'!$A$192&gt;35,EJ18+EI19-ER18,IF(A19&lt;'Données projet'!$A$192,$EG$205^A19,IF(A19='Données projet'!$A$192,'Données projet'!$B$192,EJ18+EI19-ER18)))</f>
        <v>8.5991646760119096</v>
      </c>
      <c r="EK19" s="17">
        <f>EJ19*VLOOKUP('Données projet'!$B$15,Paramètres!$A$1:$I$89,3,0)*VLOOKUP('Données projet'!$B$15,Paramètres!$A$1:$I$89,5,0)</f>
        <v>9.2561408572592185</v>
      </c>
      <c r="EL19" s="13">
        <f t="shared" si="45"/>
        <v>3.2922254897177363</v>
      </c>
      <c r="EM19" s="20">
        <f t="shared" si="19"/>
        <v>21.855071387651531</v>
      </c>
      <c r="EN19" s="59">
        <f t="shared" si="20"/>
        <v>232.95392788777207</v>
      </c>
      <c r="EO19" s="59">
        <f ca="1">AVERAGE(OFFSET($EN$3,0,0,'Données projet'!$E$15+1,1))-AVERAGE(OFFSET($H$3,0,0,'Données projet'!$E$15+1,1))</f>
        <v>212.00478362779876</v>
      </c>
      <c r="EP19" s="59">
        <f t="shared" si="46"/>
        <v>133.62262474506707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>
        <f>EXP(-LN(2)/35)*EV18+(1-EXP(-LN(2)/35))/(LN(2)/35)*ER19*ES19*VLOOKUP('Données projet'!$B$15,Paramètres!$A$1:$I$89,3,0)*0.475*44/12</f>
        <v>0</v>
      </c>
      <c r="EW19" s="21">
        <f>EXP(-LN(2)/25)*EW18+(1-EXP(-LN(2)/25))/(LN(2)/25)*Calculateur!ER19*Calculateur!ET19*VLOOKUP('Données projet'!$B$15,Paramètres!$A$1:$I$89,3,0)*0.475*44/12</f>
        <v>0</v>
      </c>
      <c r="EX19" s="21">
        <f>EXP(-LN(2)/2)*EX18+(1-EXP(-LN(2)/2))/(LN(2)/2)*ER19*EU19*VLOOKUP('Données projet'!$B$15,Paramètres!$A$1:$I$89,3,0)*0.475*44/12</f>
        <v>0</v>
      </c>
      <c r="EY19" s="22">
        <f t="shared" si="21"/>
        <v>0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52.239082075790449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1.153846153846154</v>
      </c>
      <c r="FE19" s="12">
        <f>IF('Données projet'!$A$218&gt;35,FE18+FD19-FM18,IF(A19&lt;'Données projet'!$A$218,$FB$205^A19,IF(A19='Données projet'!$A$218,'Données projet'!$B$218,FE18+FD19-FM18)))</f>
        <v>8.5991646760119096</v>
      </c>
      <c r="FF19" s="17">
        <f>FE19*VLOOKUP('Données projet'!$B$16,Paramètres!$A$1:$I$89,3,0)*VLOOKUP('Données projet'!$B$16,Paramètres!$A$1:$I$89,5,0)</f>
        <v>8.3171120746387199</v>
      </c>
      <c r="FG19" s="13">
        <f t="shared" si="47"/>
        <v>2.9952964607732095</v>
      </c>
      <c r="FH19" s="20">
        <f t="shared" si="22"/>
        <v>19.702444865842441</v>
      </c>
      <c r="FI19" s="59">
        <f t="shared" si="23"/>
        <v>230.80130136596298</v>
      </c>
      <c r="FJ19" s="59">
        <f ca="1">AVERAGE(OFFSET($FI$3,0,0,'Données projet'!$E$16+1,1))-AVERAGE(OFFSET($H$3,0,0,'Données projet'!$E$16+1,1))</f>
        <v>196.65742339093146</v>
      </c>
      <c r="FK19" s="59">
        <f t="shared" si="48"/>
        <v>125.41980634506001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>
        <f>EXP(-LN(2)/35)*FQ18+(1-EXP(-LN(2)/35))/(LN(2)/35)*FM19*FN19*VLOOKUP('Données projet'!$B$16,Paramètres!$A$1:$I$89,3,0)*0.475*44/12</f>
        <v>0</v>
      </c>
      <c r="FR19" s="21">
        <f>EXP(-LN(2)/25)*FR18+(1-EXP(-LN(2)/25))/(LN(2)/25)*Calculateur!FM19*Calculateur!FO19*VLOOKUP('Données projet'!$B$16,Paramètres!$A$1:$I$89,3,0)*0.475*44/12</f>
        <v>0</v>
      </c>
      <c r="FS19" s="21">
        <f>EXP(-LN(2)/2)*FS18+(1-EXP(-LN(2)/2))/(LN(2)/2)*FM19*FP19*VLOOKUP('Données projet'!$B$16,Paramètres!$A$1:$I$89,3,0)*0.475*44/12</f>
        <v>0</v>
      </c>
      <c r="FT19" s="22">
        <f t="shared" si="24"/>
        <v>0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52.239082075790449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52.239082075790449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>
      <c r="A20" s="10">
        <f t="shared" si="31"/>
        <v>17</v>
      </c>
      <c r="B20" s="73">
        <f>'Scénario référence'!$B$16*5+'Scénario référence'!$B$17*0+'Scénario référence'!$B$18*5</f>
        <v>4.6999999999999993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0.90698399999999968</v>
      </c>
      <c r="D20" s="11">
        <f t="shared" si="32"/>
        <v>0.42275338550906261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16.815211701358582</v>
      </c>
      <c r="H20" s="67">
        <f t="shared" si="1"/>
        <v>190.04929261309496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52.547194294311616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5.8890909090909096</v>
      </c>
      <c r="N20" s="13">
        <f>IF('Données projet'!$A$36&gt;35,N19+M20-V19,IF(A20&lt;'Données projet'!$A$36,$K$205^A20,IF(A20='Données projet'!$A$36,'Données projet'!$B$36,N19+M20-V19)))</f>
        <v>42.890776385274457</v>
      </c>
      <c r="O20" s="13">
        <f>N20*VLOOKUP('Données projet'!$B$9,Paramètres!$A$1:$I$89,3,0)*VLOOKUP('Données projet'!$B$9,Paramètres!$A$1:$I$89,5,0)</f>
        <v>25.648684278394128</v>
      </c>
      <c r="P20" s="13">
        <f t="shared" si="33"/>
        <v>8.1021817259143134</v>
      </c>
      <c r="Q20" s="20">
        <f t="shared" si="2"/>
        <v>58.782758290837201</v>
      </c>
      <c r="R20" s="59">
        <f t="shared" si="0"/>
        <v>272.23358181442421</v>
      </c>
      <c r="S20" s="59">
        <f ca="1">AVERAGE(OFFSET($R$3,0,0,'Données projet'!$E$9+1,1))-AVERAGE(OFFSET($H$3,0,0,'Données projet'!$E$9+1,1))</f>
        <v>366.93249569585623</v>
      </c>
      <c r="T20" s="59">
        <f t="shared" si="34"/>
        <v>272.47262353368501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52.547194294311616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10.064285714285713</v>
      </c>
      <c r="AI20" s="13">
        <f>IF('Données projet'!$A$62&gt;35,AI19+AH20-AQ19,IF(A20&lt;'Données projet'!$A$62,$AF$205^A20,IF(A20='Données projet'!$A$62,'Données projet'!$B$62,AI19+AH20-AQ19)))</f>
        <v>171.09285714285716</v>
      </c>
      <c r="AJ20" s="13">
        <f>AI20*VLOOKUP('Données projet'!$B$10,Paramètres!$A$1:$I$89,3,0)*VLOOKUP('Données projet'!$B$10,Paramètres!$A$1:$I$89,5,0)</f>
        <v>80.071457142857156</v>
      </c>
      <c r="AK20" s="13">
        <f t="shared" si="35"/>
        <v>22.154654863611391</v>
      </c>
      <c r="AL20" s="20">
        <f t="shared" si="4"/>
        <v>178.04381174459937</v>
      </c>
      <c r="AM20" s="59">
        <f t="shared" si="5"/>
        <v>391.49463526818636</v>
      </c>
      <c r="AN20" s="59">
        <f ca="1">AVERAGE(OFFSET($AM$3,0,0,'Données projet'!$E$10+1,1))-AVERAGE(OFFSET($H$3,0,0,'Données projet'!$E$10+1,1))</f>
        <v>382.89338473200229</v>
      </c>
      <c r="AO20" s="59">
        <f t="shared" si="36"/>
        <v>360.46248248971744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52.547194294311616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2.7884615384615379</v>
      </c>
      <c r="BD20" s="12">
        <f>IF('Données projet'!$A$88&gt;35,BD19+BC20-BL19,IF(A20&lt;'Données projet'!$A$88,$BA$205^A20,IF(A20='Données projet'!$A$88,'Données projet'!$B$88,BD19+BC20-BL19)))</f>
        <v>30.50952569692279</v>
      </c>
      <c r="BE20" s="13">
        <f>BD20*VLOOKUP('Données projet'!$B$11,Paramètres!$A$1:$I$89,3,0)*VLOOKUP('Données projet'!$B$11,Paramètres!$A$1:$I$89,5,0)</f>
        <v>26.653121648831753</v>
      </c>
      <c r="BF20" s="13">
        <f t="shared" si="37"/>
        <v>8.381911473457528</v>
      </c>
      <c r="BG20" s="20">
        <f t="shared" si="7"/>
        <v>61.019349354653826</v>
      </c>
      <c r="BH20" s="59">
        <f t="shared" si="8"/>
        <v>274.47017287824087</v>
      </c>
      <c r="BI20" s="59">
        <f ca="1">AVERAGE(OFFSET($BH$3,0,0,'Données projet'!$E$11+1,1))-AVERAGE(OFFSET($H$3,0,0,'Données projet'!$E$11+1,1))</f>
        <v>225.75484198243581</v>
      </c>
      <c r="BJ20" s="59">
        <f t="shared" si="38"/>
        <v>199.49566488421061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52.547194294311616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2.8</v>
      </c>
      <c r="BY20" s="12">
        <f>IF('Données projet'!$A$114&gt;35,BY19+BX20-CG19,IF(A20&lt;'Données projet'!$A$114,$BV$205^A20,IF(A20='Données projet'!$A$114,'Données projet'!$B$114,BY19+BX20-CG19)))</f>
        <v>17.974907626468866</v>
      </c>
      <c r="BZ20" s="13">
        <f>BY20*VLOOKUP('Données projet'!$B$12,Paramètres!$A$1:$I$89,3,0)*VLOOKUP('Données projet'!$B$12,Paramètres!$A$1:$I$89,5,0)</f>
        <v>17.104922097347774</v>
      </c>
      <c r="CA20" s="13">
        <f t="shared" si="39"/>
        <v>5.6641907356617391</v>
      </c>
      <c r="CB20" s="20">
        <f t="shared" si="10"/>
        <v>39.656204850824899</v>
      </c>
      <c r="CC20" s="59">
        <f t="shared" si="11"/>
        <v>253.10702837441193</v>
      </c>
      <c r="CD20" s="59">
        <f ca="1">AVERAGE(OFFSET($CC$3,0,0,'Données projet'!$E$12+1,1))-AVERAGE(OFFSET($H$3,0,0,'Données projet'!$E$12+1,1))</f>
        <v>413.9352601863377</v>
      </c>
      <c r="CE20" s="59">
        <f t="shared" si="40"/>
        <v>255.13997349799286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52.547194294311616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2.85</v>
      </c>
      <c r="CT20" s="12">
        <f>IF('Données projet'!$A$140&gt;35,CT19+CS20-DB19,IF(A20&lt;'Données projet'!$A$140,$CQ$205^A20,IF(A20='Données projet'!$A$140,'Données projet'!$B$140,CT19+CS20-DB19)))</f>
        <v>31.080902954246678</v>
      </c>
      <c r="CU20" s="17">
        <f>CT20*VLOOKUP('Données projet'!$B$13,Paramètres!$A$1:$I$89,3,0)*VLOOKUP('Données projet'!$B$13,Paramètres!$A$1:$I$89,5,0)</f>
        <v>27.152276820829904</v>
      </c>
      <c r="CV20" s="13">
        <f t="shared" si="41"/>
        <v>8.5204644688701361</v>
      </c>
      <c r="CW20" s="20">
        <f t="shared" si="13"/>
        <v>62.130024412894237</v>
      </c>
      <c r="CX20" s="59">
        <f t="shared" si="14"/>
        <v>275.58084793648123</v>
      </c>
      <c r="CY20" s="59">
        <f ca="1">AVERAGE(OFFSET($CX$3,0,0,'Données projet'!$E$13+1,1))-AVERAGE(OFFSET($H$3,0,0,'Données projet'!$E$13+1,1))</f>
        <v>280.59827778697775</v>
      </c>
      <c r="CZ20" s="59">
        <f t="shared" si="42"/>
        <v>270.86588231964726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>
        <f>EXP(-LN(2)/35)*DF19+(1-EXP(-LN(2)/35))/(LN(2)/35)*DB20*DC20*VLOOKUP('Données projet'!$B$13,Paramètres!$A$1:$I$89,3,0)*0.475*44/12</f>
        <v>0</v>
      </c>
      <c r="DG20" s="21">
        <f>EXP(-LN(2)/25)*DG19+(1-EXP(-LN(2)/25))/(LN(2)/25)*Calculateur!DB20*Calculateur!DD20*VLOOKUP('Données projet'!$B$13,Paramètres!$A$1:$I$89,3,0)*0.475*44/12</f>
        <v>0</v>
      </c>
      <c r="DH20" s="21">
        <f>EXP(-LN(2)/2)*DH19+(1-EXP(-LN(2)/2))/(LN(2)/2)*DB20*DE20*VLOOKUP('Données projet'!$B$13,Paramètres!$A$1:$I$89,3,0)*0.475*44/12</f>
        <v>0</v>
      </c>
      <c r="DI20" s="22">
        <f t="shared" si="15"/>
        <v>0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52.547194294311616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1.8269230769230766</v>
      </c>
      <c r="DO20" s="12">
        <f>IF('Données projet'!$A$166&gt;35,DO19+DN20-DW19,IF(A20&lt;'Données projet'!$A$166,$DL$205^A20,IF(A20='Données projet'!$A$166,'Données projet'!$B$166,DO19+DN20-DW19)))</f>
        <v>21.297945860423926</v>
      </c>
      <c r="DP20" s="17">
        <f>DO20*VLOOKUP('Données projet'!$B$14,Paramètres!$A$1:$I$89,3,0)*VLOOKUP('Données projet'!$B$14,Paramètres!$A$1:$I$89,5,0)</f>
        <v>14.28666208317237</v>
      </c>
      <c r="DQ20" s="13">
        <f t="shared" si="43"/>
        <v>4.8311319088030924</v>
      </c>
      <c r="DR20" s="20">
        <f t="shared" si="16"/>
        <v>33.296824536023927</v>
      </c>
      <c r="DS20" s="59">
        <f t="shared" si="17"/>
        <v>246.74764805961095</v>
      </c>
      <c r="DT20" s="59">
        <f ca="1">AVERAGE(OFFSET($DS$3,0,0,'Données projet'!$E$14+1,1))-AVERAGE(OFFSET($H$3,0,0,'Données projet'!$E$14+1,1))</f>
        <v>211.42385430331873</v>
      </c>
      <c r="DU20" s="59">
        <f t="shared" si="44"/>
        <v>146.84623106782686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>
        <f>EXP(-LN(2)/35)*EA19+(1-EXP(-LN(2)/35))/(LN(2)/35)*DW20*DX20*VLOOKUP('Données projet'!$B$14,Paramètres!$A$1:$I$89,3,0)*0.475*44/12</f>
        <v>0</v>
      </c>
      <c r="EB20" s="21">
        <f>EXP(-LN(2)/25)*EB19+(1-EXP(-LN(2)/25))/(LN(2)/25)*Calculateur!DW20*Calculateur!DY20*VLOOKUP('Données projet'!$B$14,Paramètres!$A$1:$I$89,3,0)*0.475*44/12</f>
        <v>0</v>
      </c>
      <c r="EC20" s="21">
        <f>EXP(-LN(2)/2)*EC19+(1-EXP(-LN(2)/2))/(LN(2)/2)*DW20*DZ20*VLOOKUP('Données projet'!$B$14,Paramètres!$A$1:$I$89,3,0)*0.475*44/12</f>
        <v>0</v>
      </c>
      <c r="ED20" s="22">
        <f t="shared" si="18"/>
        <v>0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52.547194294311616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1.153846153846154</v>
      </c>
      <c r="EJ20" s="12">
        <f>IF('Données projet'!$A$192&gt;35,EJ19+EI20-ER19,IF(A20&lt;'Données projet'!$A$192,$EG$205^A20,IF(A20='Données projet'!$A$192,'Données projet'!$B$192,EJ19+EI20-ER19)))</f>
        <v>9.836934565038753</v>
      </c>
      <c r="EK20" s="17">
        <f>EJ20*VLOOKUP('Données projet'!$B$15,Paramètres!$A$1:$I$89,3,0)*VLOOKUP('Données projet'!$B$15,Paramètres!$A$1:$I$89,5,0)</f>
        <v>10.588476365807713</v>
      </c>
      <c r="EL20" s="13">
        <f t="shared" si="45"/>
        <v>3.7076174742949788</v>
      </c>
      <c r="EM20" s="20">
        <f t="shared" si="19"/>
        <v>24.899030104845522</v>
      </c>
      <c r="EN20" s="59">
        <f t="shared" si="20"/>
        <v>238.34985362843253</v>
      </c>
      <c r="EO20" s="59">
        <f ca="1">AVERAGE(OFFSET($EN$3,0,0,'Données projet'!$E$15+1,1))-AVERAGE(OFFSET($H$3,0,0,'Données projet'!$E$15+1,1))</f>
        <v>212.00478362779876</v>
      </c>
      <c r="EP20" s="59">
        <f t="shared" si="46"/>
        <v>133.62262474506707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>
        <f>EXP(-LN(2)/35)*EV19+(1-EXP(-LN(2)/35))/(LN(2)/35)*ER20*ES20*VLOOKUP('Données projet'!$B$15,Paramètres!$A$1:$I$89,3,0)*0.475*44/12</f>
        <v>0</v>
      </c>
      <c r="EW20" s="21">
        <f>EXP(-LN(2)/25)*EW19+(1-EXP(-LN(2)/25))/(LN(2)/25)*Calculateur!ER20*Calculateur!ET20*VLOOKUP('Données projet'!$B$15,Paramètres!$A$1:$I$89,3,0)*0.475*44/12</f>
        <v>0</v>
      </c>
      <c r="EX20" s="21">
        <f>EXP(-LN(2)/2)*EX19+(1-EXP(-LN(2)/2))/(LN(2)/2)*ER20*EU20*VLOOKUP('Données projet'!$B$15,Paramètres!$A$1:$I$89,3,0)*0.475*44/12</f>
        <v>0</v>
      </c>
      <c r="EY20" s="22">
        <f t="shared" si="21"/>
        <v>0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52.547194294311616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1.153846153846154</v>
      </c>
      <c r="FE20" s="12">
        <f>IF('Données projet'!$A$218&gt;35,FE19+FD20-FM19,IF(A20&lt;'Données projet'!$A$218,$FB$205^A20,IF(A20='Données projet'!$A$218,'Données projet'!$B$218,FE19+FD20-FM19)))</f>
        <v>9.836934565038753</v>
      </c>
      <c r="FF20" s="17">
        <f>FE20*VLOOKUP('Données projet'!$B$16,Paramètres!$A$1:$I$89,3,0)*VLOOKUP('Données projet'!$B$16,Paramètres!$A$1:$I$89,5,0)</f>
        <v>9.5142831113054811</v>
      </c>
      <c r="FG20" s="13">
        <f t="shared" si="47"/>
        <v>3.3732238369883953</v>
      </c>
      <c r="FH20" s="20">
        <f t="shared" si="22"/>
        <v>22.4457412682785</v>
      </c>
      <c r="FI20" s="59">
        <f t="shared" si="23"/>
        <v>235.89656479186553</v>
      </c>
      <c r="FJ20" s="59">
        <f ca="1">AVERAGE(OFFSET($FI$3,0,0,'Données projet'!$E$16+1,1))-AVERAGE(OFFSET($H$3,0,0,'Données projet'!$E$16+1,1))</f>
        <v>196.65742339093146</v>
      </c>
      <c r="FK20" s="59">
        <f t="shared" si="48"/>
        <v>125.41980634506001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>
        <f>EXP(-LN(2)/35)*FQ19+(1-EXP(-LN(2)/35))/(LN(2)/35)*FM20*FN20*VLOOKUP('Données projet'!$B$16,Paramètres!$A$1:$I$89,3,0)*0.475*44/12</f>
        <v>0</v>
      </c>
      <c r="FR20" s="21">
        <f>EXP(-LN(2)/25)*FR19+(1-EXP(-LN(2)/25))/(LN(2)/25)*Calculateur!FM20*Calculateur!FO20*VLOOKUP('Données projet'!$B$16,Paramètres!$A$1:$I$89,3,0)*0.475*44/12</f>
        <v>0</v>
      </c>
      <c r="FS20" s="21">
        <f>EXP(-LN(2)/2)*FS19+(1-EXP(-LN(2)/2))/(LN(2)/2)*FM20*FP20*VLOOKUP('Données projet'!$B$16,Paramètres!$A$1:$I$89,3,0)*0.475*44/12</f>
        <v>0</v>
      </c>
      <c r="FT20" s="22">
        <f t="shared" si="24"/>
        <v>0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52.547194294311616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52.547194294311616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>
      <c r="A21" s="10">
        <f t="shared" si="31"/>
        <v>18</v>
      </c>
      <c r="B21" s="73">
        <f>'Scénario référence'!$B$16*5+'Scénario référence'!$B$17*0+'Scénario référence'!$B$18*5</f>
        <v>4.6999999999999993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0.96033599999999963</v>
      </c>
      <c r="D21" s="11">
        <f t="shared" si="32"/>
        <v>0.44465298568826844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16.850065074073161</v>
      </c>
      <c r="H21" s="67">
        <f t="shared" si="1"/>
        <v>190.18035581674042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52.849961454677164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5.8890909090909096</v>
      </c>
      <c r="N21" s="13">
        <f>IF('Données projet'!$A$36&gt;35,N20+M21-V20,IF(A21&lt;'Données projet'!$A$36,$K$205^A21,IF(A21='Données projet'!$A$36,'Données projet'!$B$36,N20+M21-V20)))</f>
        <v>53.503884512438958</v>
      </c>
      <c r="O21" s="13">
        <f>N21*VLOOKUP('Données projet'!$B$9,Paramètres!$A$1:$I$89,3,0)*VLOOKUP('Données projet'!$B$9,Paramètres!$A$1:$I$89,5,0)</f>
        <v>31.995322938438498</v>
      </c>
      <c r="P21" s="13">
        <f t="shared" si="33"/>
        <v>9.8502327949788757</v>
      </c>
      <c r="Q21" s="20">
        <f t="shared" si="2"/>
        <v>72.881009569035243</v>
      </c>
      <c r="R21" s="59">
        <f t="shared" si="0"/>
        <v>288.66420156951818</v>
      </c>
      <c r="S21" s="59">
        <f ca="1">AVERAGE(OFFSET($R$3,0,0,'Données projet'!$E$9+1,1))-AVERAGE(OFFSET($H$3,0,0,'Données projet'!$E$9+1,1))</f>
        <v>366.93249569585623</v>
      </c>
      <c r="T21" s="59">
        <f t="shared" si="34"/>
        <v>272.47262353368501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52.849961454677164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10.064285714285713</v>
      </c>
      <c r="AI21" s="13">
        <f>IF('Données projet'!$A$62&gt;35,AI20+AH21-AQ20,IF(A21&lt;'Données projet'!$A$62,$AF$205^A21,IF(A21='Données projet'!$A$62,'Données projet'!$B$62,AI20+AH21-AQ20)))</f>
        <v>181.15714285714287</v>
      </c>
      <c r="AJ21" s="13">
        <f>AI21*VLOOKUP('Données projet'!$B$10,Paramètres!$A$1:$I$89,3,0)*VLOOKUP('Données projet'!$B$10,Paramètres!$A$1:$I$89,5,0)</f>
        <v>84.781542857142853</v>
      </c>
      <c r="AK21" s="13">
        <f t="shared" si="35"/>
        <v>23.302317071063975</v>
      </c>
      <c r="AL21" s="20">
        <f t="shared" si="4"/>
        <v>188.24605604162687</v>
      </c>
      <c r="AM21" s="59">
        <f t="shared" si="5"/>
        <v>404.02924804210977</v>
      </c>
      <c r="AN21" s="59">
        <f ca="1">AVERAGE(OFFSET($AM$3,0,0,'Données projet'!$E$10+1,1))-AVERAGE(OFFSET($H$3,0,0,'Données projet'!$E$10+1,1))</f>
        <v>382.89338473200229</v>
      </c>
      <c r="AO21" s="59">
        <f t="shared" si="36"/>
        <v>360.46248248971744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52.849961454677164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2.7884615384615379</v>
      </c>
      <c r="BD21" s="12">
        <f>IF('Données projet'!$A$88&gt;35,BD20+BC21-BL20,IF(A21&lt;'Données projet'!$A$88,$BA$205^A21,IF(A21='Données projet'!$A$88,'Données projet'!$B$88,BD20+BC21-BL20)))</f>
        <v>37.303981651950231</v>
      </c>
      <c r="BE21" s="13">
        <f>BD21*VLOOKUP('Données projet'!$B$11,Paramètres!$A$1:$I$89,3,0)*VLOOKUP('Données projet'!$B$11,Paramètres!$A$1:$I$89,5,0)</f>
        <v>32.588758371143726</v>
      </c>
      <c r="BF21" s="13">
        <f t="shared" si="37"/>
        <v>10.011491558201302</v>
      </c>
      <c r="BG21" s="20">
        <f t="shared" si="7"/>
        <v>74.19543529360925</v>
      </c>
      <c r="BH21" s="59">
        <f t="shared" si="8"/>
        <v>289.97862729409218</v>
      </c>
      <c r="BI21" s="59">
        <f ca="1">AVERAGE(OFFSET($BH$3,0,0,'Données projet'!$E$11+1,1))-AVERAGE(OFFSET($H$3,0,0,'Données projet'!$E$11+1,1))</f>
        <v>225.75484198243581</v>
      </c>
      <c r="BJ21" s="59">
        <f t="shared" si="38"/>
        <v>199.49566488421061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52.849961454677164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2.8</v>
      </c>
      <c r="BY21" s="12">
        <f>IF('Données projet'!$A$114&gt;35,BY20+BX21-CG20,IF(A21&lt;'Données projet'!$A$114,$BV$205^A21,IF(A21='Données projet'!$A$114,'Données projet'!$B$114,BY20+BX21-CG20)))</f>
        <v>21.304462850702166</v>
      </c>
      <c r="BZ21" s="13">
        <f>BY21*VLOOKUP('Données projet'!$B$12,Paramètres!$A$1:$I$89,3,0)*VLOOKUP('Données projet'!$B$12,Paramètres!$A$1:$I$89,5,0)</f>
        <v>20.273326848728182</v>
      </c>
      <c r="CA21" s="13">
        <f t="shared" si="39"/>
        <v>6.5818959803406232</v>
      </c>
      <c r="CB21" s="20">
        <f t="shared" si="10"/>
        <v>46.772846427294837</v>
      </c>
      <c r="CC21" s="59">
        <f t="shared" si="11"/>
        <v>262.55603842777776</v>
      </c>
      <c r="CD21" s="59">
        <f ca="1">AVERAGE(OFFSET($CC$3,0,0,'Données projet'!$E$12+1,1))-AVERAGE(OFFSET($H$3,0,0,'Données projet'!$E$12+1,1))</f>
        <v>413.9352601863377</v>
      </c>
      <c r="CE21" s="59">
        <f t="shared" si="40"/>
        <v>255.13997349799286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52.849961454677164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2.85</v>
      </c>
      <c r="CT21" s="12">
        <f>IF('Données projet'!$A$140&gt;35,CT20+CS21-DB20,IF(A21&lt;'Données projet'!$A$140,$CQ$205^A21,IF(A21='Données projet'!$A$140,'Données projet'!$B$140,CT20+CS21-DB20)))</f>
        <v>38.044104865803838</v>
      </c>
      <c r="CU21" s="17">
        <f>CT21*VLOOKUP('Données projet'!$B$13,Paramètres!$A$1:$I$89,3,0)*VLOOKUP('Données projet'!$B$13,Paramètres!$A$1:$I$89,5,0)</f>
        <v>33.235330010766241</v>
      </c>
      <c r="CV21" s="13">
        <f t="shared" si="41"/>
        <v>10.186800967176366</v>
      </c>
      <c r="CW21" s="20">
        <f t="shared" si="13"/>
        <v>75.626878119916697</v>
      </c>
      <c r="CX21" s="59">
        <f t="shared" si="14"/>
        <v>291.41007012039961</v>
      </c>
      <c r="CY21" s="59">
        <f ca="1">AVERAGE(OFFSET($CX$3,0,0,'Données projet'!$E$13+1,1))-AVERAGE(OFFSET($H$3,0,0,'Données projet'!$E$13+1,1))</f>
        <v>280.59827778697775</v>
      </c>
      <c r="CZ21" s="59">
        <f t="shared" si="42"/>
        <v>270.86588231964726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>
        <f>EXP(-LN(2)/35)*DF20+(1-EXP(-LN(2)/35))/(LN(2)/35)*DB21*DC21*VLOOKUP('Données projet'!$B$13,Paramètres!$A$1:$I$89,3,0)*0.475*44/12</f>
        <v>0</v>
      </c>
      <c r="DG21" s="21">
        <f>EXP(-LN(2)/25)*DG20+(1-EXP(-LN(2)/25))/(LN(2)/25)*Calculateur!DB21*Calculateur!DD21*VLOOKUP('Données projet'!$B$13,Paramètres!$A$1:$I$89,3,0)*0.475*44/12</f>
        <v>0</v>
      </c>
      <c r="DH21" s="21">
        <f>EXP(-LN(2)/2)*DH20+(1-EXP(-LN(2)/2))/(LN(2)/2)*DB21*DE21*VLOOKUP('Données projet'!$B$13,Paramètres!$A$1:$I$89,3,0)*0.475*44/12</f>
        <v>0</v>
      </c>
      <c r="DI21" s="22">
        <f t="shared" si="15"/>
        <v>0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52.849961454677164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1.8269230769230766</v>
      </c>
      <c r="DO21" s="12">
        <f>IF('Données projet'!$A$166&gt;35,DO20+DN21-DW20,IF(A21&lt;'Données projet'!$A$166,$DL$205^A21,IF(A21='Données projet'!$A$166,'Données projet'!$B$166,DO20+DN21-DW20)))</f>
        <v>25.49618675380416</v>
      </c>
      <c r="DP21" s="17">
        <f>DO21*VLOOKUP('Données projet'!$B$14,Paramètres!$A$1:$I$89,3,0)*VLOOKUP('Données projet'!$B$14,Paramètres!$A$1:$I$89,5,0)</f>
        <v>17.102842074451832</v>
      </c>
      <c r="DQ21" s="13">
        <f t="shared" si="43"/>
        <v>5.663582119241549</v>
      </c>
      <c r="DR21" s="20">
        <f t="shared" si="16"/>
        <v>39.651522137349311</v>
      </c>
      <c r="DS21" s="59">
        <f t="shared" si="17"/>
        <v>255.43471413783223</v>
      </c>
      <c r="DT21" s="59">
        <f ca="1">AVERAGE(OFFSET($DS$3,0,0,'Données projet'!$E$14+1,1))-AVERAGE(OFFSET($H$3,0,0,'Données projet'!$E$14+1,1))</f>
        <v>211.42385430331873</v>
      </c>
      <c r="DU21" s="59">
        <f t="shared" si="44"/>
        <v>146.84623106782686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>
        <f>EXP(-LN(2)/35)*EA20+(1-EXP(-LN(2)/35))/(LN(2)/35)*DW21*DX21*VLOOKUP('Données projet'!$B$14,Paramètres!$A$1:$I$89,3,0)*0.475*44/12</f>
        <v>0</v>
      </c>
      <c r="EB21" s="21">
        <f>EXP(-LN(2)/25)*EB20+(1-EXP(-LN(2)/25))/(LN(2)/25)*Calculateur!DW21*Calculateur!DY21*VLOOKUP('Données projet'!$B$14,Paramètres!$A$1:$I$89,3,0)*0.475*44/12</f>
        <v>0</v>
      </c>
      <c r="EC21" s="21">
        <f>EXP(-LN(2)/2)*EC20+(1-EXP(-LN(2)/2))/(LN(2)/2)*DW21*DZ21*VLOOKUP('Données projet'!$B$14,Paramètres!$A$1:$I$89,3,0)*0.475*44/12</f>
        <v>0</v>
      </c>
      <c r="ED21" s="22">
        <f t="shared" si="18"/>
        <v>0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52.849961454677164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1.153846153846154</v>
      </c>
      <c r="EJ21" s="12">
        <f>IF('Données projet'!$A$192&gt;35,EJ20+EI21-ER20,IF(A21&lt;'Données projet'!$A$192,$EG$205^A21,IF(A21='Données projet'!$A$192,'Données projet'!$B$192,EJ20+EI21-ER20)))</f>
        <v>11.252869933609833</v>
      </c>
      <c r="EK21" s="17">
        <f>EJ21*VLOOKUP('Données projet'!$B$15,Paramètres!$A$1:$I$89,3,0)*VLOOKUP('Données projet'!$B$15,Paramètres!$A$1:$I$89,5,0)</f>
        <v>12.112589196537625</v>
      </c>
      <c r="EL21" s="13">
        <f t="shared" si="45"/>
        <v>4.1754209663433643</v>
      </c>
      <c r="EM21" s="20">
        <f t="shared" si="19"/>
        <v>28.368284367017722</v>
      </c>
      <c r="EN21" s="59">
        <f t="shared" si="20"/>
        <v>244.15147636750066</v>
      </c>
      <c r="EO21" s="59">
        <f ca="1">AVERAGE(OFFSET($EN$3,0,0,'Données projet'!$E$15+1,1))-AVERAGE(OFFSET($H$3,0,0,'Données projet'!$E$15+1,1))</f>
        <v>212.00478362779876</v>
      </c>
      <c r="EP21" s="59">
        <f t="shared" si="46"/>
        <v>133.62262474506707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>
        <f>EXP(-LN(2)/35)*EV20+(1-EXP(-LN(2)/35))/(LN(2)/35)*ER21*ES21*VLOOKUP('Données projet'!$B$15,Paramètres!$A$1:$I$89,3,0)*0.475*44/12</f>
        <v>0</v>
      </c>
      <c r="EW21" s="21">
        <f>EXP(-LN(2)/25)*EW20+(1-EXP(-LN(2)/25))/(LN(2)/25)*Calculateur!ER21*Calculateur!ET21*VLOOKUP('Données projet'!$B$15,Paramètres!$A$1:$I$89,3,0)*0.475*44/12</f>
        <v>0</v>
      </c>
      <c r="EX21" s="21">
        <f>EXP(-LN(2)/2)*EX20+(1-EXP(-LN(2)/2))/(LN(2)/2)*ER21*EU21*VLOOKUP('Données projet'!$B$15,Paramètres!$A$1:$I$89,3,0)*0.475*44/12</f>
        <v>0</v>
      </c>
      <c r="EY21" s="22">
        <f t="shared" si="21"/>
        <v>0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52.849961454677164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1.153846153846154</v>
      </c>
      <c r="FE21" s="12">
        <f>IF('Données projet'!$A$218&gt;35,FE20+FD21-FM20,IF(A21&lt;'Données projet'!$A$218,$FB$205^A21,IF(A21='Données projet'!$A$218,'Données projet'!$B$218,FE20+FD21-FM20)))</f>
        <v>11.252869933609833</v>
      </c>
      <c r="FF21" s="17">
        <f>FE21*VLOOKUP('Données projet'!$B$16,Paramètres!$A$1:$I$89,3,0)*VLOOKUP('Données projet'!$B$16,Paramètres!$A$1:$I$89,5,0)</f>
        <v>10.883775799787431</v>
      </c>
      <c r="FG21" s="13">
        <f t="shared" si="47"/>
        <v>3.7988356756811363</v>
      </c>
      <c r="FH21" s="20">
        <f t="shared" si="22"/>
        <v>25.572214986441086</v>
      </c>
      <c r="FI21" s="59">
        <f t="shared" si="23"/>
        <v>241.35540698692401</v>
      </c>
      <c r="FJ21" s="59">
        <f ca="1">AVERAGE(OFFSET($FI$3,0,0,'Données projet'!$E$16+1,1))-AVERAGE(OFFSET($H$3,0,0,'Données projet'!$E$16+1,1))</f>
        <v>196.65742339093146</v>
      </c>
      <c r="FK21" s="59">
        <f t="shared" si="48"/>
        <v>125.41980634506001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>
        <f>EXP(-LN(2)/35)*FQ20+(1-EXP(-LN(2)/35))/(LN(2)/35)*FM21*FN21*VLOOKUP('Données projet'!$B$16,Paramètres!$A$1:$I$89,3,0)*0.475*44/12</f>
        <v>0</v>
      </c>
      <c r="FR21" s="21">
        <f>EXP(-LN(2)/25)*FR20+(1-EXP(-LN(2)/25))/(LN(2)/25)*Calculateur!FM21*Calculateur!FO21*VLOOKUP('Données projet'!$B$16,Paramètres!$A$1:$I$89,3,0)*0.475*44/12</f>
        <v>0</v>
      </c>
      <c r="FS21" s="21">
        <f>EXP(-LN(2)/2)*FS20+(1-EXP(-LN(2)/2))/(LN(2)/2)*FM21*FP21*VLOOKUP('Données projet'!$B$16,Paramètres!$A$1:$I$89,3,0)*0.475*44/12</f>
        <v>0</v>
      </c>
      <c r="FT21" s="22">
        <f t="shared" si="24"/>
        <v>0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52.849961454677164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52.849961454677164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>
      <c r="A22" s="10">
        <f t="shared" si="31"/>
        <v>19</v>
      </c>
      <c r="B22" s="73">
        <f>'Scénario référence'!$B$16*5+'Scénario référence'!$B$17*0+'Scénario référence'!$B$18*5</f>
        <v>4.6999999999999993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1.0136879999999997</v>
      </c>
      <c r="D22" s="11">
        <f t="shared" si="32"/>
        <v>0.46641134867348877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16.884853031666317</v>
      </c>
      <c r="H22" s="67">
        <f t="shared" si="1"/>
        <v>190.31117303227302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53.147476281696342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5.8890909090909096</v>
      </c>
      <c r="N22" s="13">
        <f>IF('Données projet'!$A$36&gt;35,N21+M22-V21,IF(A22&lt;'Données projet'!$A$36,$K$205^A22,IF(A22='Données projet'!$A$36,'Données projet'!$B$36,N21+M22-V21)))</f>
        <v>66.743153171347927</v>
      </c>
      <c r="O22" s="13">
        <f>N22*VLOOKUP('Données projet'!$B$9,Paramètres!$A$1:$I$89,3,0)*VLOOKUP('Données projet'!$B$9,Paramètres!$A$1:$I$89,5,0)</f>
        <v>39.912405596466066</v>
      </c>
      <c r="P22" s="13">
        <f t="shared" si="33"/>
        <v>11.975427038984135</v>
      </c>
      <c r="Q22" s="20">
        <f t="shared" si="2"/>
        <v>90.371308506742437</v>
      </c>
      <c r="R22" s="59">
        <f t="shared" si="0"/>
        <v>308.46761042851796</v>
      </c>
      <c r="S22" s="59">
        <f ca="1">AVERAGE(OFFSET($R$3,0,0,'Données projet'!$E$9+1,1))-AVERAGE(OFFSET($H$3,0,0,'Données projet'!$E$9+1,1))</f>
        <v>366.93249569585623</v>
      </c>
      <c r="T22" s="59">
        <f t="shared" si="34"/>
        <v>272.47262353368501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53.147476281696342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10.064285714285713</v>
      </c>
      <c r="AI22" s="13">
        <f>IF('Données projet'!$A$62&gt;35,AI21+AH22-AQ21,IF(A22&lt;'Données projet'!$A$62,$AF$205^A22,IF(A22='Données projet'!$A$62,'Données projet'!$B$62,AI21+AH22-AQ21)))</f>
        <v>191.22142857142859</v>
      </c>
      <c r="AJ22" s="13">
        <f>AI22*VLOOKUP('Données projet'!$B$10,Paramètres!$A$1:$I$89,3,0)*VLOOKUP('Données projet'!$B$10,Paramètres!$A$1:$I$89,5,0)</f>
        <v>89.491628571428592</v>
      </c>
      <c r="AK22" s="13">
        <f t="shared" si="35"/>
        <v>24.442577655267876</v>
      </c>
      <c r="AL22" s="20">
        <f t="shared" si="4"/>
        <v>198.43540917816301</v>
      </c>
      <c r="AM22" s="59">
        <f t="shared" si="5"/>
        <v>416.53171109993855</v>
      </c>
      <c r="AN22" s="59">
        <f ca="1">AVERAGE(OFFSET($AM$3,0,0,'Données projet'!$E$10+1,1))-AVERAGE(OFFSET($H$3,0,0,'Données projet'!$E$10+1,1))</f>
        <v>382.89338473200229</v>
      </c>
      <c r="AO22" s="59">
        <f t="shared" si="36"/>
        <v>360.46248248971744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53.147476281696342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2.7884615384615379</v>
      </c>
      <c r="BD22" s="12">
        <f>IF('Données projet'!$A$88&gt;35,BD21+BC22-BL21,IF(A22&lt;'Données projet'!$A$88,$BA$205^A22,IF(A22='Données projet'!$A$88,'Données projet'!$B$88,BD21+BC22-BL21)))</f>
        <v>45.611559514653344</v>
      </c>
      <c r="BE22" s="13">
        <f>BD22*VLOOKUP('Données projet'!$B$11,Paramètres!$A$1:$I$89,3,0)*VLOOKUP('Données projet'!$B$11,Paramètres!$A$1:$I$89,5,0)</f>
        <v>39.846258392001168</v>
      </c>
      <c r="BF22" s="13">
        <f t="shared" si="37"/>
        <v>11.957888548134614</v>
      </c>
      <c r="BG22" s="20">
        <f t="shared" si="7"/>
        <v>90.225555920736483</v>
      </c>
      <c r="BH22" s="59">
        <f t="shared" si="8"/>
        <v>308.32185784251197</v>
      </c>
      <c r="BI22" s="59">
        <f ca="1">AVERAGE(OFFSET($BH$3,0,0,'Données projet'!$E$11+1,1))-AVERAGE(OFFSET($H$3,0,0,'Données projet'!$E$11+1,1))</f>
        <v>225.75484198243581</v>
      </c>
      <c r="BJ22" s="59">
        <f t="shared" si="38"/>
        <v>199.49566488421061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53.147476281696342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2.8</v>
      </c>
      <c r="BY22" s="12">
        <f>IF('Données projet'!$A$114&gt;35,BY21+BX22-CG21,IF(A22&lt;'Données projet'!$A$114,$BV$205^A22,IF(A22='Données projet'!$A$114,'Données projet'!$B$114,BY21+BX22-CG21)))</f>
        <v>25.250763274498809</v>
      </c>
      <c r="BZ22" s="13">
        <f>BY22*VLOOKUP('Données projet'!$B$12,Paramètres!$A$1:$I$89,3,0)*VLOOKUP('Données projet'!$B$12,Paramètres!$A$1:$I$89,5,0)</f>
        <v>24.028626332013069</v>
      </c>
      <c r="CA22" s="13">
        <f t="shared" si="39"/>
        <v>7.6482867046254057</v>
      </c>
      <c r="CB22" s="20">
        <f t="shared" si="10"/>
        <v>55.170623538812009</v>
      </c>
      <c r="CC22" s="59">
        <f t="shared" si="11"/>
        <v>273.26692546058752</v>
      </c>
      <c r="CD22" s="59">
        <f ca="1">AVERAGE(OFFSET($CC$3,0,0,'Données projet'!$E$12+1,1))-AVERAGE(OFFSET($H$3,0,0,'Données projet'!$E$12+1,1))</f>
        <v>413.9352601863377</v>
      </c>
      <c r="CE22" s="59">
        <f t="shared" si="40"/>
        <v>255.13997349799286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53.147476281696342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2.85</v>
      </c>
      <c r="CT22" s="12">
        <f>IF('Données projet'!$A$140&gt;35,CT21+CS22-DB21,IF(A22&lt;'Données projet'!$A$140,$CQ$205^A22,IF(A22='Données projet'!$A$140,'Données projet'!$B$140,CT21+CS22-DB21)))</f>
        <v>46.567305884609858</v>
      </c>
      <c r="CU22" s="17">
        <f>CT22*VLOOKUP('Données projet'!$B$13,Paramètres!$A$1:$I$89,3,0)*VLOOKUP('Données projet'!$B$13,Paramètres!$A$1:$I$89,5,0)</f>
        <v>40.681198420795177</v>
      </c>
      <c r="CV22" s="13">
        <f t="shared" si="41"/>
        <v>12.179020794464504</v>
      </c>
      <c r="CW22" s="20">
        <f t="shared" si="13"/>
        <v>92.064881799910609</v>
      </c>
      <c r="CX22" s="59">
        <f t="shared" si="14"/>
        <v>310.16118372168614</v>
      </c>
      <c r="CY22" s="59">
        <f ca="1">AVERAGE(OFFSET($CX$3,0,0,'Données projet'!$E$13+1,1))-AVERAGE(OFFSET($H$3,0,0,'Données projet'!$E$13+1,1))</f>
        <v>280.59827778697775</v>
      </c>
      <c r="CZ22" s="59">
        <f t="shared" si="42"/>
        <v>270.86588231964726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>
        <f>EXP(-LN(2)/35)*DF21+(1-EXP(-LN(2)/35))/(LN(2)/35)*DB22*DC22*VLOOKUP('Données projet'!$B$13,Paramètres!$A$1:$I$89,3,0)*0.475*44/12</f>
        <v>0</v>
      </c>
      <c r="DG22" s="21">
        <f>EXP(-LN(2)/25)*DG21+(1-EXP(-LN(2)/25))/(LN(2)/25)*Calculateur!DB22*Calculateur!DD22*VLOOKUP('Données projet'!$B$13,Paramètres!$A$1:$I$89,3,0)*0.475*44/12</f>
        <v>0</v>
      </c>
      <c r="DH22" s="21">
        <f>EXP(-LN(2)/2)*DH21+(1-EXP(-LN(2)/2))/(LN(2)/2)*DB22*DE22*VLOOKUP('Données projet'!$B$13,Paramètres!$A$1:$I$89,3,0)*0.475*44/12</f>
        <v>0</v>
      </c>
      <c r="DI22" s="22">
        <f t="shared" si="15"/>
        <v>0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53.147476281696342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1.8269230769230766</v>
      </c>
      <c r="DO22" s="12">
        <f>IF('Données projet'!$A$166&gt;35,DO21+DN22-DW21,IF(A22&lt;'Données projet'!$A$166,$DL$205^A22,IF(A22='Données projet'!$A$166,'Données projet'!$B$166,DO21+DN22-DW21)))</f>
        <v>30.521982882527599</v>
      </c>
      <c r="DP22" s="17">
        <f>DO22*VLOOKUP('Données projet'!$B$14,Paramètres!$A$1:$I$89,3,0)*VLOOKUP('Données projet'!$B$14,Paramètres!$A$1:$I$89,5,0)</f>
        <v>20.474146117599513</v>
      </c>
      <c r="DQ22" s="13">
        <f t="shared" si="43"/>
        <v>6.6394714586336834</v>
      </c>
      <c r="DR22" s="20">
        <f t="shared" si="16"/>
        <v>47.22288394527282</v>
      </c>
      <c r="DS22" s="59">
        <f t="shared" si="17"/>
        <v>265.3191858670483</v>
      </c>
      <c r="DT22" s="59">
        <f ca="1">AVERAGE(OFFSET($DS$3,0,0,'Données projet'!$E$14+1,1))-AVERAGE(OFFSET($H$3,0,0,'Données projet'!$E$14+1,1))</f>
        <v>211.42385430331873</v>
      </c>
      <c r="DU22" s="59">
        <f t="shared" si="44"/>
        <v>146.84623106782686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>
        <f>EXP(-LN(2)/35)*EA21+(1-EXP(-LN(2)/35))/(LN(2)/35)*DW22*DX22*VLOOKUP('Données projet'!$B$14,Paramètres!$A$1:$I$89,3,0)*0.475*44/12</f>
        <v>0</v>
      </c>
      <c r="EB22" s="21">
        <f>EXP(-LN(2)/25)*EB21+(1-EXP(-LN(2)/25))/(LN(2)/25)*Calculateur!DW22*Calculateur!DY22*VLOOKUP('Données projet'!$B$14,Paramètres!$A$1:$I$89,3,0)*0.475*44/12</f>
        <v>0</v>
      </c>
      <c r="EC22" s="21">
        <f>EXP(-LN(2)/2)*EC21+(1-EXP(-LN(2)/2))/(LN(2)/2)*DW22*DZ22*VLOOKUP('Données projet'!$B$14,Paramètres!$A$1:$I$89,3,0)*0.475*44/12</f>
        <v>0</v>
      </c>
      <c r="ED22" s="22">
        <f t="shared" si="18"/>
        <v>0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53.147476281696342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1.153846153846154</v>
      </c>
      <c r="EJ22" s="12">
        <f>IF('Données projet'!$A$192&gt;35,EJ21+EI22-ER21,IF(A22&lt;'Données projet'!$A$192,$EG$205^A22,IF(A22='Données projet'!$A$192,'Données projet'!$B$192,EJ21+EI22-ER21)))</f>
        <v>12.872616047765822</v>
      </c>
      <c r="EK22" s="17">
        <f>EJ22*VLOOKUP('Données projet'!$B$15,Paramètres!$A$1:$I$89,3,0)*VLOOKUP('Données projet'!$B$15,Paramètres!$A$1:$I$89,5,0)</f>
        <v>13.856083913815132</v>
      </c>
      <c r="EL22" s="13">
        <f t="shared" si="45"/>
        <v>4.702248915118985</v>
      </c>
      <c r="EM22" s="20">
        <f t="shared" si="19"/>
        <v>32.322429677060249</v>
      </c>
      <c r="EN22" s="59">
        <f t="shared" si="20"/>
        <v>250.41873159883576</v>
      </c>
      <c r="EO22" s="59">
        <f ca="1">AVERAGE(OFFSET($EN$3,0,0,'Données projet'!$E$15+1,1))-AVERAGE(OFFSET($H$3,0,0,'Données projet'!$E$15+1,1))</f>
        <v>212.00478362779876</v>
      </c>
      <c r="EP22" s="59">
        <f t="shared" si="46"/>
        <v>133.62262474506707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>
        <f>EXP(-LN(2)/35)*EV21+(1-EXP(-LN(2)/35))/(LN(2)/35)*ER22*ES22*VLOOKUP('Données projet'!$B$15,Paramètres!$A$1:$I$89,3,0)*0.475*44/12</f>
        <v>0</v>
      </c>
      <c r="EW22" s="21">
        <f>EXP(-LN(2)/25)*EW21+(1-EXP(-LN(2)/25))/(LN(2)/25)*Calculateur!ER22*Calculateur!ET22*VLOOKUP('Données projet'!$B$15,Paramètres!$A$1:$I$89,3,0)*0.475*44/12</f>
        <v>0</v>
      </c>
      <c r="EX22" s="21">
        <f>EXP(-LN(2)/2)*EX21+(1-EXP(-LN(2)/2))/(LN(2)/2)*ER22*EU22*VLOOKUP('Données projet'!$B$15,Paramètres!$A$1:$I$89,3,0)*0.475*44/12</f>
        <v>0</v>
      </c>
      <c r="EY22" s="22">
        <f t="shared" si="21"/>
        <v>0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53.147476281696342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1.153846153846154</v>
      </c>
      <c r="FE22" s="12">
        <f>IF('Données projet'!$A$218&gt;35,FE21+FD22-FM21,IF(A22&lt;'Données projet'!$A$218,$FB$205^A22,IF(A22='Données projet'!$A$218,'Données projet'!$B$218,FE21+FD22-FM21)))</f>
        <v>12.872616047765822</v>
      </c>
      <c r="FF22" s="17">
        <f>FE22*VLOOKUP('Données projet'!$B$16,Paramètres!$A$1:$I$89,3,0)*VLOOKUP('Données projet'!$B$16,Paramètres!$A$1:$I$89,5,0)</f>
        <v>12.450394241399104</v>
      </c>
      <c r="FG22" s="13">
        <f t="shared" si="47"/>
        <v>4.2781484977622624</v>
      </c>
      <c r="FH22" s="20">
        <f t="shared" si="22"/>
        <v>29.135545270706046</v>
      </c>
      <c r="FI22" s="59">
        <f t="shared" si="23"/>
        <v>247.23184719248155</v>
      </c>
      <c r="FJ22" s="59">
        <f ca="1">AVERAGE(OFFSET($FI$3,0,0,'Données projet'!$E$16+1,1))-AVERAGE(OFFSET($H$3,0,0,'Données projet'!$E$16+1,1))</f>
        <v>196.65742339093146</v>
      </c>
      <c r="FK22" s="59">
        <f t="shared" si="48"/>
        <v>125.41980634506001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>
        <f>EXP(-LN(2)/35)*FQ21+(1-EXP(-LN(2)/35))/(LN(2)/35)*FM22*FN22*VLOOKUP('Données projet'!$B$16,Paramètres!$A$1:$I$89,3,0)*0.475*44/12</f>
        <v>0</v>
      </c>
      <c r="FR22" s="21">
        <f>EXP(-LN(2)/25)*FR21+(1-EXP(-LN(2)/25))/(LN(2)/25)*Calculateur!FM22*Calculateur!FO22*VLOOKUP('Données projet'!$B$16,Paramètres!$A$1:$I$89,3,0)*0.475*44/12</f>
        <v>0</v>
      </c>
      <c r="FS22" s="21">
        <f>EXP(-LN(2)/2)*FS21+(1-EXP(-LN(2)/2))/(LN(2)/2)*FM22*FP22*VLOOKUP('Données projet'!$B$16,Paramètres!$A$1:$I$89,3,0)*0.475*44/12</f>
        <v>0</v>
      </c>
      <c r="FT22" s="22">
        <f t="shared" si="24"/>
        <v>0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53.147476281696342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53.147476281696342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>
      <c r="A23" s="10">
        <f t="shared" si="31"/>
        <v>20</v>
      </c>
      <c r="B23" s="73">
        <f>'Scénario référence'!$B$16*5+'Scénario référence'!$B$17*0+'Scénario référence'!$B$18*5</f>
        <v>4.6999999999999993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1.0670399999999998</v>
      </c>
      <c r="D23" s="11">
        <f t="shared" si="32"/>
        <v>0.48803675573769262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16.919579409674999</v>
      </c>
      <c r="H23" s="67">
        <f t="shared" si="1"/>
        <v>190.44175868290984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53.439829891610238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5.8890909090909096</v>
      </c>
      <c r="N23" s="13">
        <f>IF('Données projet'!$A$36&gt;35,N22+M23-V22,IF(A23&lt;'Données projet'!$A$36,$K$205^A23,IF(A23='Données projet'!$A$36,'Données projet'!$B$36,N22+M23-V22)))</f>
        <v>83.25841265260587</v>
      </c>
      <c r="O23" s="13">
        <f>N23*VLOOKUP('Données projet'!$B$9,Paramètres!$A$1:$I$89,3,0)*VLOOKUP('Données projet'!$B$9,Paramètres!$A$1:$I$89,5,0)</f>
        <v>49.788530766258319</v>
      </c>
      <c r="P23" s="13">
        <f t="shared" si="33"/>
        <v>14.559133347501747</v>
      </c>
      <c r="Q23" s="20">
        <f t="shared" si="2"/>
        <v>112.07218166479875</v>
      </c>
      <c r="R23" s="59">
        <f t="shared" si="0"/>
        <v>332.46266904514738</v>
      </c>
      <c r="S23" s="59">
        <f ca="1">AVERAGE(OFFSET($R$3,0,0,'Données projet'!$E$9+1,1))-AVERAGE(OFFSET($H$3,0,0,'Données projet'!$E$9+1,1))</f>
        <v>366.93249569585623</v>
      </c>
      <c r="T23" s="59">
        <f t="shared" si="34"/>
        <v>272.47262353368501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53.439829891610238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10.064285714285713</v>
      </c>
      <c r="AI23" s="13">
        <f>IF('Données projet'!$A$62&gt;35,AI22+AH23-AQ22,IF(A23&lt;'Données projet'!$A$62,$AF$205^A23,IF(A23='Données projet'!$A$62,'Données projet'!$B$62,AI22+AH23-AQ22)))</f>
        <v>201.28571428571431</v>
      </c>
      <c r="AJ23" s="13">
        <f>AI23*VLOOKUP('Données projet'!$B$10,Paramètres!$A$1:$I$89,3,0)*VLOOKUP('Données projet'!$B$10,Paramètres!$A$1:$I$89,5,0)</f>
        <v>94.201714285714289</v>
      </c>
      <c r="AK23" s="13">
        <f t="shared" si="35"/>
        <v>25.575870601498497</v>
      </c>
      <c r="AL23" s="20">
        <f t="shared" si="4"/>
        <v>208.6126270118956</v>
      </c>
      <c r="AM23" s="59">
        <f t="shared" si="5"/>
        <v>429.00311439224424</v>
      </c>
      <c r="AN23" s="59">
        <f ca="1">AVERAGE(OFFSET($AM$3,0,0,'Données projet'!$E$10+1,1))-AVERAGE(OFFSET($H$3,0,0,'Données projet'!$E$10+1,1))</f>
        <v>382.89338473200229</v>
      </c>
      <c r="AO23" s="59">
        <f t="shared" si="36"/>
        <v>360.46248248971744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53.439829891610238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>
        <f>VLOOKUP(A23,'Données projet'!$A$87:$I$107,2,0)</f>
        <v>55.769230769230759</v>
      </c>
      <c r="BB23" s="12">
        <f>VLOOKUP(A23,'Données projet'!$A$87:$I$107,9,0)</f>
        <v>2.7884615384615379</v>
      </c>
      <c r="BC23" s="12">
        <f t="array" ref="BC23">INDEX(BB:BB,MIN(IF(ISNUMBER(BB23:BB219),ROW(BB23:BB219),"")))</f>
        <v>2.7884615384615379</v>
      </c>
      <c r="BD23" s="12">
        <f>IF('Données projet'!$A$88&gt;35,BD22+BC23-BL22,IF(A23&lt;'Données projet'!$A$88,$BA$205^A23,IF(A23='Données projet'!$A$88,'Données projet'!$B$88,BD22+BC23-BL22)))</f>
        <v>55.769230769230759</v>
      </c>
      <c r="BE23" s="13">
        <f>BD23*VLOOKUP('Données projet'!$B$11,Paramètres!$A$1:$I$89,3,0)*VLOOKUP('Données projet'!$B$11,Paramètres!$A$1:$I$89,5,0)</f>
        <v>48.72</v>
      </c>
      <c r="BF23" s="13">
        <f t="shared" si="37"/>
        <v>14.282696808795901</v>
      </c>
      <c r="BG23" s="20">
        <f t="shared" si="7"/>
        <v>109.72969694198621</v>
      </c>
      <c r="BH23" s="59">
        <f t="shared" si="8"/>
        <v>330.12018432233486</v>
      </c>
      <c r="BI23" s="59">
        <f ca="1">AVERAGE(OFFSET($BH$3,0,0,'Données projet'!$E$11+1,1))-AVERAGE(OFFSET($H$3,0,0,'Données projet'!$E$11+1,1))</f>
        <v>225.75484198243581</v>
      </c>
      <c r="BJ23" s="59">
        <f t="shared" si="38"/>
        <v>199.49566488421061</v>
      </c>
      <c r="BK23" s="15">
        <f>IF(ISNA(VLOOKUP(A23,'Données projet'!$A$87:$I$107,3,0)),0,VLOOKUP(A23,'Données projet'!$A$87:$I$107,3,0))</f>
        <v>1</v>
      </c>
      <c r="BL23" s="15">
        <f>IF(ISNA(VLOOKUP(A23,'Données projet'!$A$87:$I$107,4,0)),0,VLOOKUP(A23,'Données projet'!$A$87:$I$107,4,0))</f>
        <v>18.589743589743588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0.215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3.8446626361501948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3.8446626361501948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53.439829891610238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2.8</v>
      </c>
      <c r="BY23" s="12">
        <f>IF('Données projet'!$A$114&gt;35,BY22+BX23-CG22,IF(A23&lt;'Données projet'!$A$114,$BV$205^A23,IF(A23='Données projet'!$A$114,'Données projet'!$B$114,BY22+BX23-CG22)))</f>
        <v>29.92805077569761</v>
      </c>
      <c r="BZ23" s="13">
        <f>BY23*VLOOKUP('Données projet'!$B$12,Paramètres!$A$1:$I$89,3,0)*VLOOKUP('Données projet'!$B$12,Paramètres!$A$1:$I$89,5,0)</f>
        <v>28.479533118153846</v>
      </c>
      <c r="CA23" s="13">
        <f t="shared" si="39"/>
        <v>8.8874527477905296</v>
      </c>
      <c r="CB23" s="20">
        <f t="shared" si="10"/>
        <v>65.080833716519777</v>
      </c>
      <c r="CC23" s="59">
        <f t="shared" si="11"/>
        <v>285.47132109686845</v>
      </c>
      <c r="CD23" s="59">
        <f ca="1">AVERAGE(OFFSET($CC$3,0,0,'Données projet'!$E$12+1,1))-AVERAGE(OFFSET($H$3,0,0,'Données projet'!$E$12+1,1))</f>
        <v>413.9352601863377</v>
      </c>
      <c r="CE23" s="59">
        <f t="shared" si="40"/>
        <v>255.13997349799286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0</v>
      </c>
      <c r="CM23" s="21">
        <f>EXP(-LN(2)/2)*CM22+(1-EXP(-LN(2)/2))/(LN(2)/2)*CG23*CJ23*VLOOKUP('Données projet'!$B$12,Paramètres!$A$1:$I$89,3,0)*0.475*44/12</f>
        <v>0</v>
      </c>
      <c r="CN23" s="22">
        <f t="shared" si="12"/>
        <v>0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53.439829891610238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>
        <f>VLOOKUP(A23,'Données projet'!$A$139:$I$159,2,0)</f>
        <v>57</v>
      </c>
      <c r="CR23" s="12">
        <f>VLOOKUP(A23,'Données projet'!$A$139:$I$159,9,0)</f>
        <v>2.85</v>
      </c>
      <c r="CS23" s="12">
        <f t="array" ref="CS23">INDEX(CR:CR,MIN(IF(ISNUMBER(CR23:CR219),ROW(CR23:CR219),"")))</f>
        <v>2.85</v>
      </c>
      <c r="CT23" s="12">
        <f>IF('Données projet'!$A$140&gt;35,CT22+CS23-DB22,IF(A23&lt;'Données projet'!$A$140,$CQ$205^A23,IF(A23='Données projet'!$A$140,'Données projet'!$B$140,CT22+CS23-DB22)))</f>
        <v>57</v>
      </c>
      <c r="CU23" s="17">
        <f>CT23*VLOOKUP('Données projet'!$B$13,Paramètres!$A$1:$I$89,3,0)*VLOOKUP('Données projet'!$B$13,Paramètres!$A$1:$I$89,5,0)</f>
        <v>49.795200000000001</v>
      </c>
      <c r="CV23" s="13">
        <f t="shared" si="41"/>
        <v>14.560856542690781</v>
      </c>
      <c r="CW23" s="20">
        <f t="shared" si="13"/>
        <v>112.08679847851977</v>
      </c>
      <c r="CX23" s="59">
        <f t="shared" si="14"/>
        <v>332.47728585886841</v>
      </c>
      <c r="CY23" s="59">
        <f ca="1">AVERAGE(OFFSET($CX$3,0,0,'Données projet'!$E$13+1,1))-AVERAGE(OFFSET($H$3,0,0,'Données projet'!$E$13+1,1))</f>
        <v>280.59827778697775</v>
      </c>
      <c r="CZ23" s="59">
        <f t="shared" si="42"/>
        <v>270.86588231964726</v>
      </c>
      <c r="DA23" s="15">
        <f>IF(ISNA(VLOOKUP(A23,'Données projet'!$A$139:$I$159,3,0)),0,VLOOKUP(A23,'Données projet'!$A$139:$I$159,3,0))</f>
        <v>1</v>
      </c>
      <c r="DB23" s="15">
        <f>IF(ISNA(VLOOKUP(A23,'Données projet'!$A$139:$I$159,4,0)),0,VLOOKUP(A23,'Données projet'!$A$139:$I$159,4,0))</f>
        <v>21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0.13250000000000001</v>
      </c>
      <c r="DE23" s="16">
        <f>IF(ISNA(VLOOKUP(A23,'Données projet'!$A$139:$I$159,7,0)),0%,VLOOKUP(A23,'Données projet'!$A$139:$I$159,7,0))</f>
        <v>0.25</v>
      </c>
      <c r="DF23" s="21">
        <f>EXP(-LN(2)/35)*DF22+(1-EXP(-LN(2)/35))/(LN(2)/35)*DB23*DC23*VLOOKUP('Données projet'!$B$13,Paramètres!$A$1:$I$89,3,0)*0.475*44/12</f>
        <v>0</v>
      </c>
      <c r="DG23" s="21">
        <f>EXP(-LN(2)/25)*DG22+(1-EXP(-LN(2)/25))/(LN(2)/25)*Calculateur!DB23*Calculateur!DD23*VLOOKUP('Données projet'!$B$13,Paramètres!$A$1:$I$89,3,0)*0.475*44/12</f>
        <v>2.6765881483138987</v>
      </c>
      <c r="DH23" s="21">
        <f>EXP(-LN(2)/2)*DH22+(1-EXP(-LN(2)/2))/(LN(2)/2)*DB23*DE23*VLOOKUP('Données projet'!$B$13,Paramètres!$A$1:$I$89,3,0)*0.475*44/12</f>
        <v>4.3273918411461532</v>
      </c>
      <c r="DI23" s="22">
        <f t="shared" si="15"/>
        <v>7.0039799894600518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53.439829891610238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>
        <f>VLOOKUP(A23,'Données projet'!$A$165:$I$185,2,0)</f>
        <v>36.538461538461533</v>
      </c>
      <c r="DM23" s="12">
        <f>VLOOKUP(A23,'Données projet'!$A$165:$I$185,9,0)</f>
        <v>1.8269230769230766</v>
      </c>
      <c r="DN23" s="12">
        <f t="array" ref="DN23">INDEX(DM:DM,MIN(IF(ISNUMBER(DM23:DM219),ROW(DM23:DM219),"")))</f>
        <v>1.8269230769230766</v>
      </c>
      <c r="DO23" s="12">
        <f>IF('Données projet'!$A$166&gt;35,DO22+DN23-DW22,IF(A23&lt;'Données projet'!$A$166,$DL$205^A23,IF(A23='Données projet'!$A$166,'Données projet'!$B$166,DO22+DN23-DW22)))</f>
        <v>36.538461538461533</v>
      </c>
      <c r="DP23" s="17">
        <f>DO23*VLOOKUP('Données projet'!$B$14,Paramètres!$A$1:$I$89,3,0)*VLOOKUP('Données projet'!$B$14,Paramètres!$A$1:$I$89,5,0)</f>
        <v>24.509999999999994</v>
      </c>
      <c r="DQ23" s="13">
        <f t="shared" si="43"/>
        <v>7.7835158600851351</v>
      </c>
      <c r="DR23" s="20">
        <f t="shared" si="16"/>
        <v>56.244540122981597</v>
      </c>
      <c r="DS23" s="59">
        <f t="shared" si="17"/>
        <v>276.63502750333026</v>
      </c>
      <c r="DT23" s="59">
        <f ca="1">AVERAGE(OFFSET($DS$3,0,0,'Données projet'!$E$14+1,1))-AVERAGE(OFFSET($H$3,0,0,'Données projet'!$E$14+1,1))</f>
        <v>211.42385430331873</v>
      </c>
      <c r="DU23" s="59">
        <f t="shared" si="44"/>
        <v>146.84623106782686</v>
      </c>
      <c r="DV23" s="15">
        <f>IF(ISNA(VLOOKUP(A23,'Données projet'!$A$165:$I$185,3,0)),0,VLOOKUP(A23,'Données projet'!$A$165:$I$185,3,0))</f>
        <v>1</v>
      </c>
      <c r="DW23" s="15">
        <f>IF(ISNA(VLOOKUP(A23,'Données projet'!$A$165:$I$185,4,0)),0,VLOOKUP(A23,'Données projet'!$A$165:$I$185,4,0))</f>
        <v>7.0512820512820511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0.13250000000000001</v>
      </c>
      <c r="DZ23" s="16">
        <f>IF(ISNA(VLOOKUP(A23,'Données projet'!$A$165:$I$185,7,0)),0%,VLOOKUP(A23,'Données projet'!$A$165:$I$185,7,0))</f>
        <v>0.25</v>
      </c>
      <c r="EA23" s="21">
        <f>EXP(-LN(2)/35)*EA22+(1-EXP(-LN(2)/35))/(LN(2)/35)*DW23*DX23*VLOOKUP('Données projet'!$B$14,Paramètres!$A$1:$I$89,3,0)*0.475*44/12</f>
        <v>0</v>
      </c>
      <c r="EB23" s="21">
        <f>EXP(-LN(2)/25)*EB22+(1-EXP(-LN(2)/25))/(LN(2)/25)*Calculateur!DW23*Calculateur!DY23*VLOOKUP('Données projet'!$B$14,Paramètres!$A$1:$I$89,3,0)*0.475*44/12</f>
        <v>0.69009800396415144</v>
      </c>
      <c r="EC23" s="21">
        <f>EXP(-LN(2)/2)*EC22+(1-EXP(-LN(2)/2))/(LN(2)/2)*DW23*DZ23*VLOOKUP('Données projet'!$B$14,Paramètres!$A$1:$I$89,3,0)*0.475*44/12</f>
        <v>1.1157205765208718</v>
      </c>
      <c r="ED23" s="22">
        <f t="shared" si="18"/>
        <v>1.8058185804850231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53.439829891610238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1.153846153846154</v>
      </c>
      <c r="EJ23" s="12">
        <f>IF('Données projet'!$A$192&gt;35,EJ22+EI23-ER22,IF(A23&lt;'Données projet'!$A$192,$EG$205^A23,IF(A23='Données projet'!$A$192,'Données projet'!$B$192,EJ22+EI23-ER22)))</f>
        <v>14.725509571409539</v>
      </c>
      <c r="EK23" s="17">
        <f>EJ23*VLOOKUP('Données projet'!$B$15,Paramètres!$A$1:$I$89,3,0)*VLOOKUP('Données projet'!$B$15,Paramètres!$A$1:$I$89,5,0)</f>
        <v>15.850538502665229</v>
      </c>
      <c r="EL23" s="13">
        <f t="shared" si="45"/>
        <v>5.2955486495776167</v>
      </c>
      <c r="EM23" s="20">
        <f t="shared" si="19"/>
        <v>36.829435123489624</v>
      </c>
      <c r="EN23" s="59">
        <f t="shared" si="20"/>
        <v>257.21992250383829</v>
      </c>
      <c r="EO23" s="59">
        <f ca="1">AVERAGE(OFFSET($EN$3,0,0,'Données projet'!$E$15+1,1))-AVERAGE(OFFSET($H$3,0,0,'Données projet'!$E$15+1,1))</f>
        <v>212.00478362779876</v>
      </c>
      <c r="EP23" s="59">
        <f t="shared" si="46"/>
        <v>133.62262474506707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>
        <f>EXP(-LN(2)/35)*EV22+(1-EXP(-LN(2)/35))/(LN(2)/35)*ER23*ES23*VLOOKUP('Données projet'!$B$15,Paramètres!$A$1:$I$89,3,0)*0.475*44/12</f>
        <v>0</v>
      </c>
      <c r="EW23" s="21">
        <f>EXP(-LN(2)/25)*EW22+(1-EXP(-LN(2)/25))/(LN(2)/25)*Calculateur!ER23*Calculateur!ET23*VLOOKUP('Données projet'!$B$15,Paramètres!$A$1:$I$89,3,0)*0.475*44/12</f>
        <v>0</v>
      </c>
      <c r="EX23" s="21">
        <f>EXP(-LN(2)/2)*EX22+(1-EXP(-LN(2)/2))/(LN(2)/2)*ER23*EU23*VLOOKUP('Données projet'!$B$15,Paramètres!$A$1:$I$89,3,0)*0.475*44/12</f>
        <v>0</v>
      </c>
      <c r="EY23" s="22">
        <f t="shared" si="21"/>
        <v>0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53.439829891610238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1.153846153846154</v>
      </c>
      <c r="FE23" s="12">
        <f>IF('Données projet'!$A$218&gt;35,FE22+FD23-FM22,IF(A23&lt;'Données projet'!$A$218,$FB$205^A23,IF(A23='Données projet'!$A$218,'Données projet'!$B$218,FE22+FD23-FM22)))</f>
        <v>14.725509571409539</v>
      </c>
      <c r="FF23" s="17">
        <f>FE23*VLOOKUP('Données projet'!$B$16,Paramètres!$A$1:$I$89,3,0)*VLOOKUP('Données projet'!$B$16,Paramètres!$A$1:$I$89,5,0)</f>
        <v>14.242512857467306</v>
      </c>
      <c r="FG23" s="13">
        <f t="shared" si="47"/>
        <v>4.8179379503231141</v>
      </c>
      <c r="FH23" s="20">
        <f t="shared" si="22"/>
        <v>33.196951823568313</v>
      </c>
      <c r="FI23" s="59">
        <f t="shared" si="23"/>
        <v>253.58743920391697</v>
      </c>
      <c r="FJ23" s="59">
        <f ca="1">AVERAGE(OFFSET($FI$3,0,0,'Données projet'!$E$16+1,1))-AVERAGE(OFFSET($H$3,0,0,'Données projet'!$E$16+1,1))</f>
        <v>196.65742339093146</v>
      </c>
      <c r="FK23" s="59">
        <f t="shared" si="48"/>
        <v>125.41980634506001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>
        <f>EXP(-LN(2)/35)*FQ22+(1-EXP(-LN(2)/35))/(LN(2)/35)*FM23*FN23*VLOOKUP('Données projet'!$B$16,Paramètres!$A$1:$I$89,3,0)*0.475*44/12</f>
        <v>0</v>
      </c>
      <c r="FR23" s="21">
        <f>EXP(-LN(2)/25)*FR22+(1-EXP(-LN(2)/25))/(LN(2)/25)*Calculateur!FM23*Calculateur!FO23*VLOOKUP('Données projet'!$B$16,Paramètres!$A$1:$I$89,3,0)*0.475*44/12</f>
        <v>0</v>
      </c>
      <c r="FS23" s="21">
        <f>EXP(-LN(2)/2)*FS22+(1-EXP(-LN(2)/2))/(LN(2)/2)*FM23*FP23*VLOOKUP('Données projet'!$B$16,Paramètres!$A$1:$I$89,3,0)*0.475*44/12</f>
        <v>0</v>
      </c>
      <c r="FT23" s="22">
        <f t="shared" si="24"/>
        <v>0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53.439829891610238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53.439829891610238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>
      <c r="A24" s="10">
        <f t="shared" si="31"/>
        <v>21</v>
      </c>
      <c r="B24" s="73">
        <f>'Scénario référence'!$B$16*5+'Scénario référence'!$B$17*0+'Scénario référence'!$B$18*5</f>
        <v>4.6999999999999993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1.1203919999999998</v>
      </c>
      <c r="D24" s="11">
        <f t="shared" si="32"/>
        <v>0.50953661324605981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16.954247638415719</v>
      </c>
      <c r="H24" s="67">
        <f t="shared" si="1"/>
        <v>190.57212566807024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53.727111819996885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5.8890909090909096</v>
      </c>
      <c r="N24" s="13">
        <f>IF('Données projet'!$A$36&gt;35,N23+M24-V23,IF(A24&lt;'Données projet'!$A$36,$K$205^A24,IF(A24='Données projet'!$A$36,'Données projet'!$B$36,N23+M24-V23)))</f>
        <v>103.86029050253822</v>
      </c>
      <c r="O24" s="13">
        <f>N24*VLOOKUP('Données projet'!$B$9,Paramètres!$A$1:$I$89,3,0)*VLOOKUP('Données projet'!$B$9,Paramètres!$A$1:$I$89,5,0)</f>
        <v>62.108453720517858</v>
      </c>
      <c r="P24" s="13">
        <f t="shared" si="33"/>
        <v>17.700276001875135</v>
      </c>
      <c r="Q24" s="20">
        <f t="shared" si="2"/>
        <v>139.00020426650113</v>
      </c>
      <c r="R24" s="59">
        <f t="shared" si="0"/>
        <v>361.66628093982303</v>
      </c>
      <c r="S24" s="59">
        <f ca="1">AVERAGE(OFFSET($R$3,0,0,'Données projet'!$E$9+1,1))-AVERAGE(OFFSET($H$3,0,0,'Données projet'!$E$9+1,1))</f>
        <v>366.93249569585623</v>
      </c>
      <c r="T24" s="59">
        <f t="shared" si="34"/>
        <v>272.47262353368501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53.727111819996885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10.064285714285713</v>
      </c>
      <c r="AI24" s="13">
        <f>IF('Données projet'!$A$62&gt;35,AI23+AH24-AQ23,IF(A24&lt;'Données projet'!$A$62,$AF$205^A24,IF(A24='Données projet'!$A$62,'Données projet'!$B$62,AI23+AH24-AQ23)))</f>
        <v>211.35000000000002</v>
      </c>
      <c r="AJ24" s="13">
        <f>AI24*VLOOKUP('Données projet'!$B$10,Paramètres!$A$1:$I$89,3,0)*VLOOKUP('Données projet'!$B$10,Paramètres!$A$1:$I$89,5,0)</f>
        <v>98.911799999999999</v>
      </c>
      <c r="AK24" s="13">
        <f t="shared" si="35"/>
        <v>26.702584044942924</v>
      </c>
      <c r="AL24" s="20">
        <f t="shared" si="4"/>
        <v>218.77838554494224</v>
      </c>
      <c r="AM24" s="59">
        <f t="shared" si="5"/>
        <v>441.44446221826411</v>
      </c>
      <c r="AN24" s="59">
        <f ca="1">AVERAGE(OFFSET($AM$3,0,0,'Données projet'!$E$10+1,1))-AVERAGE(OFFSET($H$3,0,0,'Données projet'!$E$10+1,1))</f>
        <v>382.89338473200229</v>
      </c>
      <c r="AO24" s="59">
        <f t="shared" si="36"/>
        <v>360.46248248971744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53.727111819996885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5.1282051282051295</v>
      </c>
      <c r="BD24" s="12">
        <f>IF('Données projet'!$A$88&gt;35,BD23+BC24-BL23,IF(A24&lt;'Données projet'!$A$88,$BA$205^A24,IF(A24='Données projet'!$A$88,'Données projet'!$B$88,BD23+BC24-BL23)))</f>
        <v>42.307692307692307</v>
      </c>
      <c r="BE24" s="13">
        <f>BD24*VLOOKUP('Données projet'!$B$11,Paramètres!$A$1:$I$89,3,0)*VLOOKUP('Données projet'!$B$11,Paramètres!$A$1:$I$89,5,0)</f>
        <v>36.96</v>
      </c>
      <c r="BF24" s="13">
        <f t="shared" si="37"/>
        <v>11.189225514592357</v>
      </c>
      <c r="BG24" s="20">
        <f t="shared" si="7"/>
        <v>83.859901104581681</v>
      </c>
      <c r="BH24" s="59">
        <f t="shared" si="8"/>
        <v>306.52597777790356</v>
      </c>
      <c r="BI24" s="59">
        <f ca="1">AVERAGE(OFFSET($BH$3,0,0,'Données projet'!$E$11+1,1))-AVERAGE(OFFSET($H$3,0,0,'Données projet'!$E$11+1,1))</f>
        <v>225.75484198243581</v>
      </c>
      <c r="BJ24" s="59">
        <f t="shared" si="38"/>
        <v>199.49566488421061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3.7395301341826466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3.7395301341826466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53.727111819996885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2.8</v>
      </c>
      <c r="BY24" s="12">
        <f>IF('Données projet'!$A$114&gt;35,BY23+BX24-CG23,IF(A24&lt;'Données projet'!$A$114,$BV$205^A24,IF(A24='Données projet'!$A$114,'Données projet'!$B$114,BY23+BX24-CG23)))</f>
        <v>35.471728656111772</v>
      </c>
      <c r="BZ24" s="13">
        <f>BY24*VLOOKUP('Données projet'!$B$12,Paramètres!$A$1:$I$89,3,0)*VLOOKUP('Données projet'!$B$12,Paramètres!$A$1:$I$89,5,0)</f>
        <v>33.754896989155966</v>
      </c>
      <c r="CA24" s="13">
        <f t="shared" si="39"/>
        <v>10.327386955361005</v>
      </c>
      <c r="CB24" s="20">
        <f t="shared" si="10"/>
        <v>76.776644536700402</v>
      </c>
      <c r="CC24" s="59">
        <f t="shared" si="11"/>
        <v>299.44272121002228</v>
      </c>
      <c r="CD24" s="59">
        <f ca="1">AVERAGE(OFFSET($CC$3,0,0,'Données projet'!$E$12+1,1))-AVERAGE(OFFSET($H$3,0,0,'Données projet'!$E$12+1,1))</f>
        <v>413.9352601863377</v>
      </c>
      <c r="CE24" s="59">
        <f t="shared" si="40"/>
        <v>255.13997349799286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0</v>
      </c>
      <c r="CM24" s="21">
        <f>EXP(-LN(2)/2)*CM23+(1-EXP(-LN(2)/2))/(LN(2)/2)*CG24*CJ24*VLOOKUP('Données projet'!$B$12,Paramètres!$A$1:$I$89,3,0)*0.475*44/12</f>
        <v>0</v>
      </c>
      <c r="CN24" s="22">
        <f t="shared" si="12"/>
        <v>0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53.727111819996885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10</v>
      </c>
      <c r="CT24" s="12">
        <f>IF('Données projet'!$A$140&gt;35,CT23+CS24-DB23,IF(A24&lt;'Données projet'!$A$140,$CQ$205^A24,IF(A24='Données projet'!$A$140,'Données projet'!$B$140,CT23+CS24-DB23)))</f>
        <v>46</v>
      </c>
      <c r="CU24" s="17">
        <f>CT24*VLOOKUP('Données projet'!$B$13,Paramètres!$A$1:$I$89,3,0)*VLOOKUP('Données projet'!$B$13,Paramètres!$A$1:$I$89,5,0)</f>
        <v>40.185600000000001</v>
      </c>
      <c r="CV24" s="13">
        <f t="shared" si="41"/>
        <v>12.047826945473735</v>
      </c>
      <c r="CW24" s="20">
        <f t="shared" si="13"/>
        <v>90.973218596700079</v>
      </c>
      <c r="CX24" s="59">
        <f t="shared" si="14"/>
        <v>313.63929527002199</v>
      </c>
      <c r="CY24" s="59">
        <f ca="1">AVERAGE(OFFSET($CX$3,0,0,'Données projet'!$E$13+1,1))-AVERAGE(OFFSET($H$3,0,0,'Données projet'!$E$13+1,1))</f>
        <v>280.59827778697775</v>
      </c>
      <c r="CZ24" s="59">
        <f t="shared" si="42"/>
        <v>270.86588231964726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>
        <f>EXP(-LN(2)/35)*DF23+(1-EXP(-LN(2)/35))/(LN(2)/35)*DB24*DC24*VLOOKUP('Données projet'!$B$13,Paramètres!$A$1:$I$89,3,0)*0.475*44/12</f>
        <v>0</v>
      </c>
      <c r="DG24" s="21">
        <f>EXP(-LN(2)/25)*DG23+(1-EXP(-LN(2)/25))/(LN(2)/25)*Calculateur!DB24*Calculateur!DD24*VLOOKUP('Données projet'!$B$13,Paramètres!$A$1:$I$89,3,0)*0.475*44/12</f>
        <v>2.6033967046426016</v>
      </c>
      <c r="DH24" s="21">
        <f>EXP(-LN(2)/2)*DH23+(1-EXP(-LN(2)/2))/(LN(2)/2)*DB24*DE24*VLOOKUP('Données projet'!$B$13,Paramètres!$A$1:$I$89,3,0)*0.475*44/12</f>
        <v>3.0599281157257843</v>
      </c>
      <c r="DI24" s="22">
        <f t="shared" si="15"/>
        <v>5.6633248203683859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53.727111819996885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4.2307692307692308</v>
      </c>
      <c r="DO24" s="12">
        <f>IF('Données projet'!$A$166&gt;35,DO23+DN24-DW23,IF(A24&lt;'Données projet'!$A$166,$DL$205^A24,IF(A24='Données projet'!$A$166,'Données projet'!$B$166,DO23+DN24-DW23)))</f>
        <v>33.717948717948715</v>
      </c>
      <c r="DP24" s="17">
        <f>DO24*VLOOKUP('Données projet'!$B$14,Paramètres!$A$1:$I$89,3,0)*VLOOKUP('Données projet'!$B$14,Paramètres!$A$1:$I$89,5,0)</f>
        <v>22.617999999999999</v>
      </c>
      <c r="DQ24" s="13">
        <f t="shared" si="43"/>
        <v>7.2501634199351486</v>
      </c>
      <c r="DR24" s="20">
        <f t="shared" si="16"/>
        <v>52.020384623053708</v>
      </c>
      <c r="DS24" s="59">
        <f t="shared" si="17"/>
        <v>274.68646129637563</v>
      </c>
      <c r="DT24" s="59">
        <f ca="1">AVERAGE(OFFSET($DS$3,0,0,'Données projet'!$E$14+1,1))-AVERAGE(OFFSET($H$3,0,0,'Données projet'!$E$14+1,1))</f>
        <v>211.42385430331873</v>
      </c>
      <c r="DU24" s="59">
        <f t="shared" si="44"/>
        <v>146.84623106782686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>
        <f>EXP(-LN(2)/35)*EA23+(1-EXP(-LN(2)/35))/(LN(2)/35)*DW24*DX24*VLOOKUP('Données projet'!$B$14,Paramètres!$A$1:$I$89,3,0)*0.475*44/12</f>
        <v>0</v>
      </c>
      <c r="EB24" s="21">
        <f>EXP(-LN(2)/25)*EB23+(1-EXP(-LN(2)/25))/(LN(2)/25)*Calculateur!DW24*Calculateur!DY24*VLOOKUP('Données projet'!$B$14,Paramètres!$A$1:$I$89,3,0)*0.475*44/12</f>
        <v>0.67122723775507498</v>
      </c>
      <c r="EC24" s="21">
        <f>EXP(-LN(2)/2)*EC23+(1-EXP(-LN(2)/2))/(LN(2)/2)*DW24*DZ24*VLOOKUP('Données projet'!$B$14,Paramètres!$A$1:$I$89,3,0)*0.475*44/12</f>
        <v>0.78893358556727278</v>
      </c>
      <c r="ED24" s="22">
        <f t="shared" si="18"/>
        <v>1.4601608233223478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53.727111819996885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1.153846153846154</v>
      </c>
      <c r="EJ24" s="12">
        <f>IF('Données projet'!$A$192&gt;35,EJ23+EI24-ER23,IF(A24&lt;'Données projet'!$A$192,$EG$205^A24,IF(A24='Données projet'!$A$192,'Données projet'!$B$192,EJ23+EI24-ER23)))</f>
        <v>16.845109908743755</v>
      </c>
      <c r="EK24" s="17">
        <f>EJ24*VLOOKUP('Données projet'!$B$15,Paramètres!$A$1:$I$89,3,0)*VLOOKUP('Données projet'!$B$15,Paramètres!$A$1:$I$89,5,0)</f>
        <v>18.132076305771776</v>
      </c>
      <c r="EL24" s="13">
        <f t="shared" si="45"/>
        <v>5.9637071550759728</v>
      </c>
      <c r="EM24" s="20">
        <f t="shared" si="19"/>
        <v>41.966822860976492</v>
      </c>
      <c r="EN24" s="59">
        <f t="shared" si="20"/>
        <v>264.63289953429842</v>
      </c>
      <c r="EO24" s="59">
        <f ca="1">AVERAGE(OFFSET($EN$3,0,0,'Données projet'!$E$15+1,1))-AVERAGE(OFFSET($H$3,0,0,'Données projet'!$E$15+1,1))</f>
        <v>212.00478362779876</v>
      </c>
      <c r="EP24" s="59">
        <f t="shared" si="46"/>
        <v>133.62262474506707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>
        <f>EXP(-LN(2)/35)*EV23+(1-EXP(-LN(2)/35))/(LN(2)/35)*ER24*ES24*VLOOKUP('Données projet'!$B$15,Paramètres!$A$1:$I$89,3,0)*0.475*44/12</f>
        <v>0</v>
      </c>
      <c r="EW24" s="21">
        <f>EXP(-LN(2)/25)*EW23+(1-EXP(-LN(2)/25))/(LN(2)/25)*Calculateur!ER24*Calculateur!ET24*VLOOKUP('Données projet'!$B$15,Paramètres!$A$1:$I$89,3,0)*0.475*44/12</f>
        <v>0</v>
      </c>
      <c r="EX24" s="21">
        <f>EXP(-LN(2)/2)*EX23+(1-EXP(-LN(2)/2))/(LN(2)/2)*ER24*EU24*VLOOKUP('Données projet'!$B$15,Paramètres!$A$1:$I$89,3,0)*0.475*44/12</f>
        <v>0</v>
      </c>
      <c r="EY24" s="22">
        <f t="shared" si="21"/>
        <v>0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53.727111819996885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1.153846153846154</v>
      </c>
      <c r="FE24" s="12">
        <f>IF('Données projet'!$A$218&gt;35,FE23+FD24-FM23,IF(A24&lt;'Données projet'!$A$218,$FB$205^A24,IF(A24='Données projet'!$A$218,'Données projet'!$B$218,FE23+FD24-FM23)))</f>
        <v>16.845109908743755</v>
      </c>
      <c r="FF24" s="17">
        <f>FE24*VLOOKUP('Données projet'!$B$16,Paramètres!$A$1:$I$89,3,0)*VLOOKUP('Données projet'!$B$16,Paramètres!$A$1:$I$89,5,0)</f>
        <v>16.292590303736958</v>
      </c>
      <c r="FG24" s="13">
        <f t="shared" si="47"/>
        <v>5.4258345883284083</v>
      </c>
      <c r="FH24" s="20">
        <f t="shared" si="22"/>
        <v>37.826256687013839</v>
      </c>
      <c r="FI24" s="59">
        <f t="shared" si="23"/>
        <v>260.49233336033575</v>
      </c>
      <c r="FJ24" s="59">
        <f ca="1">AVERAGE(OFFSET($FI$3,0,0,'Données projet'!$E$16+1,1))-AVERAGE(OFFSET($H$3,0,0,'Données projet'!$E$16+1,1))</f>
        <v>196.65742339093146</v>
      </c>
      <c r="FK24" s="59">
        <f t="shared" si="48"/>
        <v>125.41980634506001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>
        <f>EXP(-LN(2)/35)*FQ23+(1-EXP(-LN(2)/35))/(LN(2)/35)*FM24*FN24*VLOOKUP('Données projet'!$B$16,Paramètres!$A$1:$I$89,3,0)*0.475*44/12</f>
        <v>0</v>
      </c>
      <c r="FR24" s="21">
        <f>EXP(-LN(2)/25)*FR23+(1-EXP(-LN(2)/25))/(LN(2)/25)*Calculateur!FM24*Calculateur!FO24*VLOOKUP('Données projet'!$B$16,Paramètres!$A$1:$I$89,3,0)*0.475*44/12</f>
        <v>0</v>
      </c>
      <c r="FS24" s="21">
        <f>EXP(-LN(2)/2)*FS23+(1-EXP(-LN(2)/2))/(LN(2)/2)*FM24*FP24*VLOOKUP('Données projet'!$B$16,Paramètres!$A$1:$I$89,3,0)*0.475*44/12</f>
        <v>0</v>
      </c>
      <c r="FT24" s="22">
        <f t="shared" si="24"/>
        <v>0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53.727111819996885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53.727111819996885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>
      <c r="A25" s="10">
        <f t="shared" si="31"/>
        <v>22</v>
      </c>
      <c r="B25" s="73">
        <f>'Scénario référence'!$B$16*5+'Scénario référence'!$B$17*0+'Scénario référence'!$B$18*5</f>
        <v>4.6999999999999993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1.1737439999999999</v>
      </c>
      <c r="D25" s="11">
        <f t="shared" si="32"/>
        <v>0.53091758233838715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16.988860803047952</v>
      </c>
      <c r="H25" s="67">
        <f t="shared" si="1"/>
        <v>190.70228558923938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54.009410049192191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>
        <f>VLOOKUP(A25,'Données projet'!$A$35:$I$55,2,0)</f>
        <v>129.56</v>
      </c>
      <c r="L25" s="12">
        <f>VLOOKUP(A25,'Données projet'!$A$35:$I$55,9,0)</f>
        <v>5.8890909090909096</v>
      </c>
      <c r="M25" s="12">
        <f t="array" ref="M25">INDEX(L:L,MIN(IF(ISNUMBER(L25:L221),ROW(L25:L221),"")))</f>
        <v>5.8890909090909096</v>
      </c>
      <c r="N25" s="13">
        <f>IF('Données projet'!$A$36&gt;35,N24+M25-V24,IF(A25&lt;'Données projet'!$A$36,$K$205^A25,IF(A25='Données projet'!$A$36,'Données projet'!$B$36,N24+M25-V24)))</f>
        <v>129.56</v>
      </c>
      <c r="O25" s="13">
        <f>N25*VLOOKUP('Données projet'!$B$9,Paramètres!$A$1:$I$89,3,0)*VLOOKUP('Données projet'!$B$9,Paramètres!$A$1:$I$89,5,0)</f>
        <v>77.476880000000008</v>
      </c>
      <c r="P25" s="13">
        <f t="shared" si="33"/>
        <v>21.519122262611628</v>
      </c>
      <c r="Q25" s="20">
        <f t="shared" si="2"/>
        <v>172.4180372740486</v>
      </c>
      <c r="R25" s="59">
        <f t="shared" si="0"/>
        <v>397.34142967664218</v>
      </c>
      <c r="S25" s="59">
        <f ca="1">AVERAGE(OFFSET($R$3,0,0,'Données projet'!$E$9+1,1))-AVERAGE(OFFSET($H$3,0,0,'Données projet'!$E$9+1,1))</f>
        <v>366.93249569585623</v>
      </c>
      <c r="T25" s="59">
        <f t="shared" si="34"/>
        <v>272.47262353368501</v>
      </c>
      <c r="U25" s="15">
        <f>IF(ISNA(VLOOKUP(A25,'Données projet'!$A$35:$I$55,3,0)),0,VLOOKUP(A25,'Données projet'!$A$35:$I$55,3,0))</f>
        <v>1</v>
      </c>
      <c r="V25" s="15">
        <f>IF(ISNA(VLOOKUP(A25,'Données projet'!$A$35:$I$55,4,0)),0,VLOOKUP(A25,'Données projet'!$A$35:$I$55,4,0))</f>
        <v>52.620000000000005</v>
      </c>
      <c r="W25" s="16">
        <f>IF(ISNA(VLOOKUP(A25,'Données projet'!$A$35:$I$55,5,0)),0%,VLOOKUP(A25,'Données projet'!$A$35:$I$55,5,0)*VLOOKUP('Données projet'!$B$9,Paramètres!$A$1:$I$89,7,0))</f>
        <v>0.1125</v>
      </c>
      <c r="X25" s="16">
        <f>IF(ISNA(VLOOKUP(A25,'Données projet'!$A$35:$I$55,6,0)),0%,VLOOKUP(A25,'Données projet'!$A$35:$I$55,6,0)*VLOOKUP('Données projet'!$B$9,Paramètres!$A$1:$I$89,7,0))</f>
        <v>0.16650000000000001</v>
      </c>
      <c r="Y25" s="16">
        <f>IF(ISNA(VLOOKUP(A25,'Données projet'!$A$35:$I$55,7,0)),0%,VLOOKUP(A25,'Données projet'!$A$35:$I$55,7,0))</f>
        <v>0.38</v>
      </c>
      <c r="Z25" s="21">
        <f>EXP(-LN(2)/35)*Z24+(1-EXP(-LN(2)/35))/(LN(2)/35)*V25*W25*VLOOKUP('Données projet'!$B$9,Paramètres!$A$1:$I$89,3,0)*0.475*44/12</f>
        <v>4.6960521011827554</v>
      </c>
      <c r="AA25" s="21">
        <f>EXP(-LN(2)/25)*AA24+(1-EXP(-LN(2)/25))/(LN(2)/25)*Calculateur!V25*Calculateur!X25*VLOOKUP('Données projet'!$B$9,Paramètres!$A$1:$I$89,3,0)*0.475*44/12</f>
        <v>6.9227916929919147</v>
      </c>
      <c r="AB25" s="21">
        <f>EXP(-LN(2)/2)*AB24+(1-EXP(-LN(2)/2))/(LN(2)/2)*V25*Y25*VLOOKUP('Données projet'!$B$9,Paramètres!$A$1:$I$89,3,0)*0.475*44/12</f>
        <v>13.538519148795281</v>
      </c>
      <c r="AC25" s="22">
        <f t="shared" si="3"/>
        <v>25.15736294296995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54.009410049192191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10.064285714285713</v>
      </c>
      <c r="AI25" s="13">
        <f>IF('Données projet'!$A$62&gt;35,AI24+AH25-AQ24,IF(A25&lt;'Données projet'!$A$62,$AF$205^A25,IF(A25='Données projet'!$A$62,'Données projet'!$B$62,AI24+AH25-AQ24)))</f>
        <v>221.41428571428574</v>
      </c>
      <c r="AJ25" s="13">
        <f>AI25*VLOOKUP('Données projet'!$B$10,Paramètres!$A$1:$I$89,3,0)*VLOOKUP('Données projet'!$B$10,Paramètres!$A$1:$I$89,5,0)</f>
        <v>103.62188571428572</v>
      </c>
      <c r="AK25" s="13">
        <f t="shared" si="35"/>
        <v>27.823067066787086</v>
      </c>
      <c r="AL25" s="20">
        <f t="shared" si="4"/>
        <v>228.93329276036846</v>
      </c>
      <c r="AM25" s="59">
        <f t="shared" si="5"/>
        <v>453.85668516296204</v>
      </c>
      <c r="AN25" s="59">
        <f ca="1">AVERAGE(OFFSET($AM$3,0,0,'Données projet'!$E$10+1,1))-AVERAGE(OFFSET($H$3,0,0,'Données projet'!$E$10+1,1))</f>
        <v>382.89338473200229</v>
      </c>
      <c r="AO25" s="59">
        <f t="shared" si="36"/>
        <v>360.46248248971744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54.009410049192191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5.1282051282051295</v>
      </c>
      <c r="BD25" s="12">
        <f>IF('Données projet'!$A$88&gt;35,BD24+BC25-BL24,IF(A25&lt;'Données projet'!$A$88,$BA$205^A25,IF(A25='Données projet'!$A$88,'Données projet'!$B$88,BD24+BC25-BL24)))</f>
        <v>47.435897435897438</v>
      </c>
      <c r="BE25" s="13">
        <f>BD25*VLOOKUP('Données projet'!$B$11,Paramètres!$A$1:$I$89,3,0)*VLOOKUP('Données projet'!$B$11,Paramètres!$A$1:$I$89,5,0)</f>
        <v>41.440000000000012</v>
      </c>
      <c r="BF25" s="13">
        <f t="shared" si="37"/>
        <v>12.37952989938819</v>
      </c>
      <c r="BG25" s="20">
        <f t="shared" si="7"/>
        <v>93.735681241434449</v>
      </c>
      <c r="BH25" s="59">
        <f t="shared" si="8"/>
        <v>318.65907364402801</v>
      </c>
      <c r="BI25" s="59">
        <f ca="1">AVERAGE(OFFSET($BH$3,0,0,'Données projet'!$E$11+1,1))-AVERAGE(OFFSET($H$3,0,0,'Données projet'!$E$11+1,1))</f>
        <v>225.75484198243581</v>
      </c>
      <c r="BJ25" s="59">
        <f t="shared" si="38"/>
        <v>199.49566488421061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3.6372724860100791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3.6372724860100791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54.009410049192191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2.8</v>
      </c>
      <c r="BY25" s="12">
        <f>IF('Données projet'!$A$114&gt;35,BY24+BX25-CG24,IF(A25&lt;'Données projet'!$A$114,$BV$205^A25,IF(A25='Données projet'!$A$114,'Données projet'!$B$114,BY24+BX25-CG24)))</f>
        <v>42.042281446359659</v>
      </c>
      <c r="BZ25" s="13">
        <f>BY25*VLOOKUP('Données projet'!$B$12,Paramètres!$A$1:$I$89,3,0)*VLOOKUP('Données projet'!$B$12,Paramètres!$A$1:$I$89,5,0)</f>
        <v>40.00743502435585</v>
      </c>
      <c r="CA25" s="13">
        <f t="shared" si="39"/>
        <v>12.000617539404164</v>
      </c>
      <c r="CB25" s="20">
        <f t="shared" si="10"/>
        <v>90.5806915485487</v>
      </c>
      <c r="CC25" s="59">
        <f t="shared" si="11"/>
        <v>315.50408395114226</v>
      </c>
      <c r="CD25" s="59">
        <f ca="1">AVERAGE(OFFSET($CC$3,0,0,'Données projet'!$E$12+1,1))-AVERAGE(OFFSET($H$3,0,0,'Données projet'!$E$12+1,1))</f>
        <v>413.9352601863377</v>
      </c>
      <c r="CE25" s="59">
        <f t="shared" si="40"/>
        <v>255.13997349799286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0</v>
      </c>
      <c r="CM25" s="21">
        <f>EXP(-LN(2)/2)*CM24+(1-EXP(-LN(2)/2))/(LN(2)/2)*CG25*CJ25*VLOOKUP('Données projet'!$B$12,Paramètres!$A$1:$I$89,3,0)*0.475*44/12</f>
        <v>0</v>
      </c>
      <c r="CN25" s="22">
        <f t="shared" si="12"/>
        <v>0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54.009410049192191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10</v>
      </c>
      <c r="CT25" s="12">
        <f>IF('Données projet'!$A$140&gt;35,CT24+CS25-DB24,IF(A25&lt;'Données projet'!$A$140,$CQ$205^A25,IF(A25='Données projet'!$A$140,'Données projet'!$B$140,CT24+CS25-DB24)))</f>
        <v>56</v>
      </c>
      <c r="CU25" s="17">
        <f>CT25*VLOOKUP('Données projet'!$B$13,Paramètres!$A$1:$I$89,3,0)*VLOOKUP('Données projet'!$B$13,Paramètres!$A$1:$I$89,5,0)</f>
        <v>48.921600000000005</v>
      </c>
      <c r="CV25" s="13">
        <f t="shared" si="41"/>
        <v>14.334905731333867</v>
      </c>
      <c r="CW25" s="20">
        <f t="shared" si="13"/>
        <v>110.17174748207316</v>
      </c>
      <c r="CX25" s="59">
        <f t="shared" si="14"/>
        <v>335.09513988466676</v>
      </c>
      <c r="CY25" s="59">
        <f ca="1">AVERAGE(OFFSET($CX$3,0,0,'Données projet'!$E$13+1,1))-AVERAGE(OFFSET($H$3,0,0,'Données projet'!$E$13+1,1))</f>
        <v>280.59827778697775</v>
      </c>
      <c r="CZ25" s="59">
        <f t="shared" si="42"/>
        <v>270.86588231964726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>
        <f>EXP(-LN(2)/35)*DF24+(1-EXP(-LN(2)/35))/(LN(2)/35)*DB25*DC25*VLOOKUP('Données projet'!$B$13,Paramètres!$A$1:$I$89,3,0)*0.475*44/12</f>
        <v>0</v>
      </c>
      <c r="DG25" s="21">
        <f>EXP(-LN(2)/25)*DG24+(1-EXP(-LN(2)/25))/(LN(2)/25)*Calculateur!DB25*Calculateur!DD25*VLOOKUP('Données projet'!$B$13,Paramètres!$A$1:$I$89,3,0)*0.475*44/12</f>
        <v>2.5322066848474671</v>
      </c>
      <c r="DH25" s="21">
        <f>EXP(-LN(2)/2)*DH24+(1-EXP(-LN(2)/2))/(LN(2)/2)*DB25*DE25*VLOOKUP('Données projet'!$B$13,Paramètres!$A$1:$I$89,3,0)*0.475*44/12</f>
        <v>2.163695920573077</v>
      </c>
      <c r="DI25" s="22">
        <f t="shared" si="15"/>
        <v>4.6959026054205442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54.009410049192191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4.2307692307692308</v>
      </c>
      <c r="DO25" s="12">
        <f>IF('Données projet'!$A$166&gt;35,DO24+DN25-DW24,IF(A25&lt;'Données projet'!$A$166,$DL$205^A25,IF(A25='Données projet'!$A$166,'Données projet'!$B$166,DO24+DN25-DW24)))</f>
        <v>37.948717948717949</v>
      </c>
      <c r="DP25" s="17">
        <f>DO25*VLOOKUP('Données projet'!$B$14,Paramètres!$A$1:$I$89,3,0)*VLOOKUP('Données projet'!$B$14,Paramètres!$A$1:$I$89,5,0)</f>
        <v>25.456</v>
      </c>
      <c r="DQ25" s="13">
        <f t="shared" si="43"/>
        <v>8.048375906266692</v>
      </c>
      <c r="DR25" s="20">
        <f t="shared" si="16"/>
        <v>58.353454703414485</v>
      </c>
      <c r="DS25" s="59">
        <f t="shared" si="17"/>
        <v>283.27684710600806</v>
      </c>
      <c r="DT25" s="59">
        <f ca="1">AVERAGE(OFFSET($DS$3,0,0,'Données projet'!$E$14+1,1))-AVERAGE(OFFSET($H$3,0,0,'Données projet'!$E$14+1,1))</f>
        <v>211.42385430331873</v>
      </c>
      <c r="DU25" s="59">
        <f t="shared" si="44"/>
        <v>146.84623106782686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>
        <f>EXP(-LN(2)/35)*EA24+(1-EXP(-LN(2)/35))/(LN(2)/35)*DW25*DX25*VLOOKUP('Données projet'!$B$14,Paramètres!$A$1:$I$89,3,0)*0.475*44/12</f>
        <v>0</v>
      </c>
      <c r="EB25" s="21">
        <f>EXP(-LN(2)/25)*EB24+(1-EXP(-LN(2)/25))/(LN(2)/25)*Calculateur!DW25*Calculateur!DY25*VLOOKUP('Données projet'!$B$14,Paramètres!$A$1:$I$89,3,0)*0.475*44/12</f>
        <v>0.65287249364035616</v>
      </c>
      <c r="EC25" s="21">
        <f>EXP(-LN(2)/2)*EC24+(1-EXP(-LN(2)/2))/(LN(2)/2)*DW25*DZ25*VLOOKUP('Données projet'!$B$14,Paramètres!$A$1:$I$89,3,0)*0.475*44/12</f>
        <v>0.55786028826043599</v>
      </c>
      <c r="ED25" s="22">
        <f t="shared" si="18"/>
        <v>1.2107327819007923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54.009410049192191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1.153846153846154</v>
      </c>
      <c r="EJ25" s="12">
        <f>IF('Données projet'!$A$192&gt;35,EJ24+EI25-ER24,IF(A25&lt;'Données projet'!$A$192,$EG$205^A25,IF(A25='Données projet'!$A$192,'Données projet'!$B$192,EJ24+EI25-ER24)))</f>
        <v>19.269807028518027</v>
      </c>
      <c r="EK25" s="17">
        <f>EJ25*VLOOKUP('Données projet'!$B$15,Paramètres!$A$1:$I$89,3,0)*VLOOKUP('Données projet'!$B$15,Paramètres!$A$1:$I$89,5,0)</f>
        <v>20.742020285496803</v>
      </c>
      <c r="EL25" s="13">
        <f t="shared" si="45"/>
        <v>6.7161696332147072</v>
      </c>
      <c r="EM25" s="20">
        <f t="shared" si="19"/>
        <v>47.823014108422548</v>
      </c>
      <c r="EN25" s="59">
        <f t="shared" si="20"/>
        <v>272.74640651101612</v>
      </c>
      <c r="EO25" s="59">
        <f ca="1">AVERAGE(OFFSET($EN$3,0,0,'Données projet'!$E$15+1,1))-AVERAGE(OFFSET($H$3,0,0,'Données projet'!$E$15+1,1))</f>
        <v>212.00478362779876</v>
      </c>
      <c r="EP25" s="59">
        <f t="shared" si="46"/>
        <v>133.62262474506707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>
        <f>EXP(-LN(2)/35)*EV24+(1-EXP(-LN(2)/35))/(LN(2)/35)*ER25*ES25*VLOOKUP('Données projet'!$B$15,Paramètres!$A$1:$I$89,3,0)*0.475*44/12</f>
        <v>0</v>
      </c>
      <c r="EW25" s="21">
        <f>EXP(-LN(2)/25)*EW24+(1-EXP(-LN(2)/25))/(LN(2)/25)*Calculateur!ER25*Calculateur!ET25*VLOOKUP('Données projet'!$B$15,Paramètres!$A$1:$I$89,3,0)*0.475*44/12</f>
        <v>0</v>
      </c>
      <c r="EX25" s="21">
        <f>EXP(-LN(2)/2)*EX24+(1-EXP(-LN(2)/2))/(LN(2)/2)*ER25*EU25*VLOOKUP('Données projet'!$B$15,Paramètres!$A$1:$I$89,3,0)*0.475*44/12</f>
        <v>0</v>
      </c>
      <c r="EY25" s="22">
        <f t="shared" si="21"/>
        <v>0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54.009410049192191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1.153846153846154</v>
      </c>
      <c r="FE25" s="12">
        <f>IF('Données projet'!$A$218&gt;35,FE24+FD25-FM24,IF(A25&lt;'Données projet'!$A$218,$FB$205^A25,IF(A25='Données projet'!$A$218,'Données projet'!$B$218,FE24+FD25-FM24)))</f>
        <v>19.269807028518027</v>
      </c>
      <c r="FF25" s="17">
        <f>FE25*VLOOKUP('Données projet'!$B$16,Paramètres!$A$1:$I$89,3,0)*VLOOKUP('Données projet'!$B$16,Paramètres!$A$1:$I$89,5,0)</f>
        <v>18.637757357982636</v>
      </c>
      <c r="FG25" s="13">
        <f t="shared" si="47"/>
        <v>6.1104317414313183</v>
      </c>
      <c r="FH25" s="20">
        <f t="shared" si="22"/>
        <v>43.103096014812643</v>
      </c>
      <c r="FI25" s="59">
        <f t="shared" si="23"/>
        <v>268.0264884174062</v>
      </c>
      <c r="FJ25" s="59">
        <f ca="1">AVERAGE(OFFSET($FI$3,0,0,'Données projet'!$E$16+1,1))-AVERAGE(OFFSET($H$3,0,0,'Données projet'!$E$16+1,1))</f>
        <v>196.65742339093146</v>
      </c>
      <c r="FK25" s="59">
        <f t="shared" si="48"/>
        <v>125.41980634506001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>
        <f>EXP(-LN(2)/35)*FQ24+(1-EXP(-LN(2)/35))/(LN(2)/35)*FM25*FN25*VLOOKUP('Données projet'!$B$16,Paramètres!$A$1:$I$89,3,0)*0.475*44/12</f>
        <v>0</v>
      </c>
      <c r="FR25" s="21">
        <f>EXP(-LN(2)/25)*FR24+(1-EXP(-LN(2)/25))/(LN(2)/25)*Calculateur!FM25*Calculateur!FO25*VLOOKUP('Données projet'!$B$16,Paramètres!$A$1:$I$89,3,0)*0.475*44/12</f>
        <v>0</v>
      </c>
      <c r="FS25" s="21">
        <f>EXP(-LN(2)/2)*FS24+(1-EXP(-LN(2)/2))/(LN(2)/2)*FM25*FP25*VLOOKUP('Données projet'!$B$16,Paramètres!$A$1:$I$89,3,0)*0.475*44/12</f>
        <v>0</v>
      </c>
      <c r="FT25" s="22">
        <f t="shared" si="24"/>
        <v>0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54.009410049192191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54.009410049192191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>
      <c r="A26" s="10">
        <f t="shared" si="31"/>
        <v>23</v>
      </c>
      <c r="B26" s="73">
        <f>'Scénario référence'!$B$16*5+'Scénario référence'!$B$17*0+'Scénario référence'!$B$18*5</f>
        <v>4.6999999999999993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1.227096</v>
      </c>
      <c r="D26" s="11">
        <f t="shared" si="32"/>
        <v>0.55218568436636217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17.023421692408277</v>
      </c>
      <c r="H26" s="67">
        <f t="shared" si="1"/>
        <v>190.83224893360477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54.28681103523526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15.782</v>
      </c>
      <c r="N26" s="13">
        <f>IF('Données projet'!$A$36&gt;35,N25+M26-V25,IF(A26&lt;'Données projet'!$A$36,$K$205^A26,IF(A26='Données projet'!$A$36,'Données projet'!$B$36,N25+M26-V25)))</f>
        <v>92.722000000000008</v>
      </c>
      <c r="O26" s="13">
        <f>N26*VLOOKUP('Données projet'!$B$9,Paramètres!$A$1:$I$89,3,0)*VLOOKUP('Données projet'!$B$9,Paramètres!$A$1:$I$89,5,0)</f>
        <v>55.447756000000005</v>
      </c>
      <c r="P26" s="13">
        <f t="shared" si="33"/>
        <v>16.012087139856263</v>
      </c>
      <c r="Q26" s="20">
        <f t="shared" si="2"/>
        <v>124.45922680191636</v>
      </c>
      <c r="R26" s="59">
        <f t="shared" si="0"/>
        <v>351.62197837555675</v>
      </c>
      <c r="S26" s="59">
        <f ca="1">AVERAGE(OFFSET($R$3,0,0,'Données projet'!$E$9+1,1))-AVERAGE(OFFSET($H$3,0,0,'Données projet'!$E$9+1,1))</f>
        <v>366.93249569585623</v>
      </c>
      <c r="T26" s="59">
        <f t="shared" si="34"/>
        <v>272.47262353368501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4.6039653837875161</v>
      </c>
      <c r="AA26" s="21">
        <f>EXP(-LN(2)/25)*AA25+(1-EXP(-LN(2)/25))/(LN(2)/25)*Calculateur!V26*Calculateur!X26*VLOOKUP('Données projet'!$B$9,Paramètres!$A$1:$I$89,3,0)*0.475*44/12</f>
        <v>6.733487590093258</v>
      </c>
      <c r="AB26" s="21">
        <f>EXP(-LN(2)/2)*AB25+(1-EXP(-LN(2)/2))/(LN(2)/2)*V26*Y26*VLOOKUP('Données projet'!$B$9,Paramètres!$A$1:$I$89,3,0)*0.475*44/12</f>
        <v>9.5731786973370685</v>
      </c>
      <c r="AC26" s="22">
        <f t="shared" si="3"/>
        <v>20.910631671217843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54.28681103523526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10.064285714285713</v>
      </c>
      <c r="AI26" s="13">
        <f>IF('Données projet'!$A$62&gt;35,AI25+AH26-AQ25,IF(A26&lt;'Données projet'!$A$62,$AF$205^A26,IF(A26='Données projet'!$A$62,'Données projet'!$B$62,AI25+AH26-AQ25)))</f>
        <v>231.47857142857146</v>
      </c>
      <c r="AJ26" s="13">
        <f>AI26*VLOOKUP('Données projet'!$B$10,Paramètres!$A$1:$I$89,3,0)*VLOOKUP('Données projet'!$B$10,Paramètres!$A$1:$I$89,5,0)</f>
        <v>108.33197142857144</v>
      </c>
      <c r="AK26" s="13">
        <f t="shared" si="35"/>
        <v>28.937635219722093</v>
      </c>
      <c r="AL26" s="20">
        <f t="shared" si="4"/>
        <v>239.07789824577785</v>
      </c>
      <c r="AM26" s="59">
        <f t="shared" si="5"/>
        <v>466.24064981941825</v>
      </c>
      <c r="AN26" s="59">
        <f ca="1">AVERAGE(OFFSET($AM$3,0,0,'Données projet'!$E$10+1,1))-AVERAGE(OFFSET($H$3,0,0,'Données projet'!$E$10+1,1))</f>
        <v>382.89338473200229</v>
      </c>
      <c r="AO26" s="59">
        <f t="shared" si="36"/>
        <v>360.46248248971744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54.28681103523526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5.1282051282051295</v>
      </c>
      <c r="BD26" s="12">
        <f>IF('Données projet'!$A$88&gt;35,BD25+BC26-BL25,IF(A26&lt;'Données projet'!$A$88,$BA$205^A26,IF(A26='Données projet'!$A$88,'Données projet'!$B$88,BD25+BC26-BL25)))</f>
        <v>52.564102564102569</v>
      </c>
      <c r="BE26" s="13">
        <f>BD26*VLOOKUP('Données projet'!$B$11,Paramètres!$A$1:$I$89,3,0)*VLOOKUP('Données projet'!$B$11,Paramètres!$A$1:$I$89,5,0)</f>
        <v>45.920000000000009</v>
      </c>
      <c r="BF26" s="13">
        <f t="shared" si="37"/>
        <v>13.554918962034838</v>
      </c>
      <c r="BG26" s="20">
        <f t="shared" si="7"/>
        <v>103.58548385887735</v>
      </c>
      <c r="BH26" s="59">
        <f t="shared" si="8"/>
        <v>330.74823543251773</v>
      </c>
      <c r="BI26" s="59">
        <f ca="1">AVERAGE(OFFSET($BH$3,0,0,'Données projet'!$E$11+1,1))-AVERAGE(OFFSET($H$3,0,0,'Données projet'!$E$11+1,1))</f>
        <v>225.75484198243581</v>
      </c>
      <c r="BJ26" s="59">
        <f t="shared" si="38"/>
        <v>199.49566488421061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3.5378110786042867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3.5378110786042867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54.28681103523526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2.8</v>
      </c>
      <c r="BY26" s="12">
        <f>IF('Données projet'!$A$114&gt;35,BY25+BX26-CG25,IF(A26&lt;'Données projet'!$A$114,$BV$205^A26,IF(A26='Données projet'!$A$114,'Données projet'!$B$114,BY25+BX26-CG25)))</f>
        <v>49.82992078990118</v>
      </c>
      <c r="BZ26" s="13">
        <f>BY26*VLOOKUP('Données projet'!$B$12,Paramètres!$A$1:$I$89,3,0)*VLOOKUP('Données projet'!$B$12,Paramètres!$A$1:$I$89,5,0)</f>
        <v>47.418152623669961</v>
      </c>
      <c r="CA26" s="13">
        <f t="shared" si="39"/>
        <v>13.944942893061231</v>
      </c>
      <c r="CB26" s="20">
        <f t="shared" si="10"/>
        <v>106.87405802497348</v>
      </c>
      <c r="CC26" s="59">
        <f t="shared" si="11"/>
        <v>334.0368095986139</v>
      </c>
      <c r="CD26" s="59">
        <f ca="1">AVERAGE(OFFSET($CC$3,0,0,'Données projet'!$E$12+1,1))-AVERAGE(OFFSET($H$3,0,0,'Données projet'!$E$12+1,1))</f>
        <v>413.9352601863377</v>
      </c>
      <c r="CE26" s="59">
        <f t="shared" si="40"/>
        <v>255.13997349799286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0</v>
      </c>
      <c r="CM26" s="21">
        <f>EXP(-LN(2)/2)*CM25+(1-EXP(-LN(2)/2))/(LN(2)/2)*CG26*CJ26*VLOOKUP('Données projet'!$B$12,Paramètres!$A$1:$I$89,3,0)*0.475*44/12</f>
        <v>0</v>
      </c>
      <c r="CN26" s="22">
        <f t="shared" si="12"/>
        <v>0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54.28681103523526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10</v>
      </c>
      <c r="CT26" s="12">
        <f>IF('Données projet'!$A$140&gt;35,CT25+CS26-DB25,IF(A26&lt;'Données projet'!$A$140,$CQ$205^A26,IF(A26='Données projet'!$A$140,'Données projet'!$B$140,CT25+CS26-DB25)))</f>
        <v>66</v>
      </c>
      <c r="CU26" s="17">
        <f>CT26*VLOOKUP('Données projet'!$B$13,Paramètres!$A$1:$I$89,3,0)*VLOOKUP('Données projet'!$B$13,Paramètres!$A$1:$I$89,5,0)</f>
        <v>57.657600000000002</v>
      </c>
      <c r="CV26" s="13">
        <f t="shared" si="41"/>
        <v>16.574671209026025</v>
      </c>
      <c r="CW26" s="20">
        <f t="shared" si="13"/>
        <v>129.28787235572034</v>
      </c>
      <c r="CX26" s="59">
        <f t="shared" si="14"/>
        <v>356.45062392936075</v>
      </c>
      <c r="CY26" s="59">
        <f ca="1">AVERAGE(OFFSET($CX$3,0,0,'Données projet'!$E$13+1,1))-AVERAGE(OFFSET($H$3,0,0,'Données projet'!$E$13+1,1))</f>
        <v>280.59827778697775</v>
      </c>
      <c r="CZ26" s="59">
        <f t="shared" si="42"/>
        <v>270.86588231964726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>
        <f>EXP(-LN(2)/35)*DF25+(1-EXP(-LN(2)/35))/(LN(2)/35)*DB26*DC26*VLOOKUP('Données projet'!$B$13,Paramètres!$A$1:$I$89,3,0)*0.475*44/12</f>
        <v>0</v>
      </c>
      <c r="DG26" s="21">
        <f>EXP(-LN(2)/25)*DG25+(1-EXP(-LN(2)/25))/(LN(2)/25)*Calculateur!DB26*Calculateur!DD26*VLOOKUP('Données projet'!$B$13,Paramètres!$A$1:$I$89,3,0)*0.475*44/12</f>
        <v>2.4629633598873508</v>
      </c>
      <c r="DH26" s="21">
        <f>EXP(-LN(2)/2)*DH25+(1-EXP(-LN(2)/2))/(LN(2)/2)*DB26*DE26*VLOOKUP('Données projet'!$B$13,Paramètres!$A$1:$I$89,3,0)*0.475*44/12</f>
        <v>1.5299640578628924</v>
      </c>
      <c r="DI26" s="22">
        <f t="shared" si="15"/>
        <v>3.9929274177502432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54.28681103523526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4.2307692307692308</v>
      </c>
      <c r="DO26" s="12">
        <f>IF('Données projet'!$A$166&gt;35,DO25+DN26-DW25,IF(A26&lt;'Données projet'!$A$166,$DL$205^A26,IF(A26='Données projet'!$A$166,'Données projet'!$B$166,DO25+DN26-DW25)))</f>
        <v>42.179487179487182</v>
      </c>
      <c r="DP26" s="17">
        <f>DO26*VLOOKUP('Données projet'!$B$14,Paramètres!$A$1:$I$89,3,0)*VLOOKUP('Données projet'!$B$14,Paramètres!$A$1:$I$89,5,0)</f>
        <v>28.294</v>
      </c>
      <c r="DQ26" s="13">
        <f t="shared" si="43"/>
        <v>8.8362743574592386</v>
      </c>
      <c r="DR26" s="20">
        <f t="shared" si="16"/>
        <v>64.66856117257484</v>
      </c>
      <c r="DS26" s="59">
        <f t="shared" si="17"/>
        <v>291.83131274621525</v>
      </c>
      <c r="DT26" s="59">
        <f ca="1">AVERAGE(OFFSET($DS$3,0,0,'Données projet'!$E$14+1,1))-AVERAGE(OFFSET($H$3,0,0,'Données projet'!$E$14+1,1))</f>
        <v>211.42385430331873</v>
      </c>
      <c r="DU26" s="59">
        <f t="shared" si="44"/>
        <v>146.84623106782686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>
        <f>EXP(-LN(2)/35)*EA25+(1-EXP(-LN(2)/35))/(LN(2)/35)*DW26*DX26*VLOOKUP('Données projet'!$B$14,Paramètres!$A$1:$I$89,3,0)*0.475*44/12</f>
        <v>0</v>
      </c>
      <c r="EB26" s="21">
        <f>EXP(-LN(2)/25)*EB25+(1-EXP(-LN(2)/25))/(LN(2)/25)*Calculateur!DW26*Calculateur!DY26*VLOOKUP('Données projet'!$B$14,Paramètres!$A$1:$I$89,3,0)*0.475*44/12</f>
        <v>0.63501966096868834</v>
      </c>
      <c r="EC26" s="21">
        <f>EXP(-LN(2)/2)*EC25+(1-EXP(-LN(2)/2))/(LN(2)/2)*DW26*DZ26*VLOOKUP('Données projet'!$B$14,Paramètres!$A$1:$I$89,3,0)*0.475*44/12</f>
        <v>0.39446679278363644</v>
      </c>
      <c r="ED26" s="22">
        <f t="shared" si="18"/>
        <v>1.0294864537523247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54.28681103523526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1.153846153846154</v>
      </c>
      <c r="EJ26" s="12">
        <f>IF('Données projet'!$A$192&gt;35,EJ25+EI26-ER25,IF(A26&lt;'Données projet'!$A$192,$EG$205^A26,IF(A26='Données projet'!$A$192,'Données projet'!$B$192,EJ25+EI26-ER25)))</f>
        <v>22.043516778930577</v>
      </c>
      <c r="EK26" s="17">
        <f>EJ26*VLOOKUP('Données projet'!$B$15,Paramètres!$A$1:$I$89,3,0)*VLOOKUP('Données projet'!$B$15,Paramètres!$A$1:$I$89,5,0)</f>
        <v>23.727641460840871</v>
      </c>
      <c r="EL26" s="13">
        <f t="shared" si="45"/>
        <v>7.5635730208051664</v>
      </c>
      <c r="EM26" s="20">
        <f t="shared" si="19"/>
        <v>54.49886522220018</v>
      </c>
      <c r="EN26" s="59">
        <f t="shared" si="20"/>
        <v>281.66161679584059</v>
      </c>
      <c r="EO26" s="59">
        <f ca="1">AVERAGE(OFFSET($EN$3,0,0,'Données projet'!$E$15+1,1))-AVERAGE(OFFSET($H$3,0,0,'Données projet'!$E$15+1,1))</f>
        <v>212.00478362779876</v>
      </c>
      <c r="EP26" s="59">
        <f t="shared" si="46"/>
        <v>133.62262474506707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>
        <f>EXP(-LN(2)/35)*EV25+(1-EXP(-LN(2)/35))/(LN(2)/35)*ER26*ES26*VLOOKUP('Données projet'!$B$15,Paramètres!$A$1:$I$89,3,0)*0.475*44/12</f>
        <v>0</v>
      </c>
      <c r="EW26" s="21">
        <f>EXP(-LN(2)/25)*EW25+(1-EXP(-LN(2)/25))/(LN(2)/25)*Calculateur!ER26*Calculateur!ET26*VLOOKUP('Données projet'!$B$15,Paramètres!$A$1:$I$89,3,0)*0.475*44/12</f>
        <v>0</v>
      </c>
      <c r="EX26" s="21">
        <f>EXP(-LN(2)/2)*EX25+(1-EXP(-LN(2)/2))/(LN(2)/2)*ER26*EU26*VLOOKUP('Données projet'!$B$15,Paramètres!$A$1:$I$89,3,0)*0.475*44/12</f>
        <v>0</v>
      </c>
      <c r="EY26" s="22">
        <f t="shared" si="21"/>
        <v>0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54.28681103523526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1.153846153846154</v>
      </c>
      <c r="FE26" s="12">
        <f>IF('Données projet'!$A$218&gt;35,FE25+FD26-FM25,IF(A26&lt;'Données projet'!$A$218,$FB$205^A26,IF(A26='Données projet'!$A$218,'Données projet'!$B$218,FE25+FD26-FM25)))</f>
        <v>22.043516778930577</v>
      </c>
      <c r="FF26" s="17">
        <f>FE26*VLOOKUP('Données projet'!$B$16,Paramètres!$A$1:$I$89,3,0)*VLOOKUP('Données projet'!$B$16,Paramètres!$A$1:$I$89,5,0)</f>
        <v>21.320489428581656</v>
      </c>
      <c r="FG26" s="13">
        <f t="shared" si="47"/>
        <v>6.8814069907343525</v>
      </c>
      <c r="FH26" s="20">
        <f t="shared" si="22"/>
        <v>49.118302930308708</v>
      </c>
      <c r="FI26" s="59">
        <f t="shared" si="23"/>
        <v>276.28105450394912</v>
      </c>
      <c r="FJ26" s="59">
        <f ca="1">AVERAGE(OFFSET($FI$3,0,0,'Données projet'!$E$16+1,1))-AVERAGE(OFFSET($H$3,0,0,'Données projet'!$E$16+1,1))</f>
        <v>196.65742339093146</v>
      </c>
      <c r="FK26" s="59">
        <f t="shared" si="48"/>
        <v>125.41980634506001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>
        <f>EXP(-LN(2)/35)*FQ25+(1-EXP(-LN(2)/35))/(LN(2)/35)*FM26*FN26*VLOOKUP('Données projet'!$B$16,Paramètres!$A$1:$I$89,3,0)*0.475*44/12</f>
        <v>0</v>
      </c>
      <c r="FR26" s="21">
        <f>EXP(-LN(2)/25)*FR25+(1-EXP(-LN(2)/25))/(LN(2)/25)*Calculateur!FM26*Calculateur!FO26*VLOOKUP('Données projet'!$B$16,Paramètres!$A$1:$I$89,3,0)*0.475*44/12</f>
        <v>0</v>
      </c>
      <c r="FS26" s="21">
        <f>EXP(-LN(2)/2)*FS25+(1-EXP(-LN(2)/2))/(LN(2)/2)*FM26*FP26*VLOOKUP('Données projet'!$B$16,Paramètres!$A$1:$I$89,3,0)*0.475*44/12</f>
        <v>0</v>
      </c>
      <c r="FT26" s="22">
        <f t="shared" si="24"/>
        <v>0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54.28681103523526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54.28681103523526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>
      <c r="A27" s="10">
        <f t="shared" si="31"/>
        <v>24</v>
      </c>
      <c r="B27" s="73">
        <f>'Scénario référence'!$B$16*5+'Scénario référence'!$B$17*0+'Scénario référence'!$B$18*5</f>
        <v>4.6999999999999993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1.280448</v>
      </c>
      <c r="D27" s="11">
        <f t="shared" si="32"/>
        <v>0.57334638747650868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17.057932839111924</v>
      </c>
      <c r="H27" s="67">
        <f t="shared" si="1"/>
        <v>190.96202522485493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54.559399734346165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15.782</v>
      </c>
      <c r="N27" s="13">
        <f>IF('Données projet'!$A$36&gt;35,N26+M27-V26,IF(A27&lt;'Données projet'!$A$36,$K$205^A27,IF(A27='Données projet'!$A$36,'Données projet'!$B$36,N26+M27-V26)))</f>
        <v>108.504</v>
      </c>
      <c r="O27" s="13">
        <f>N27*VLOOKUP('Données projet'!$B$9,Paramètres!$A$1:$I$89,3,0)*VLOOKUP('Données projet'!$B$9,Paramètres!$A$1:$I$89,5,0)</f>
        <v>64.88539200000001</v>
      </c>
      <c r="P27" s="13">
        <f t="shared" si="33"/>
        <v>18.397766162676771</v>
      </c>
      <c r="Q27" s="20">
        <f t="shared" si="2"/>
        <v>145.05150046666205</v>
      </c>
      <c r="R27" s="59">
        <f t="shared" si="0"/>
        <v>374.43596615926464</v>
      </c>
      <c r="S27" s="59">
        <f ca="1">AVERAGE(OFFSET($R$3,0,0,'Données projet'!$E$9+1,1))-AVERAGE(OFFSET($H$3,0,0,'Données projet'!$E$9+1,1))</f>
        <v>366.93249569585623</v>
      </c>
      <c r="T27" s="59">
        <f t="shared" si="34"/>
        <v>272.47262353368501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4.5136844307530462</v>
      </c>
      <c r="AA27" s="21">
        <f>EXP(-LN(2)/25)*AA26+(1-EXP(-LN(2)/25))/(LN(2)/25)*Calculateur!V27*Calculateur!X27*VLOOKUP('Données projet'!$B$9,Paramètres!$A$1:$I$89,3,0)*0.475*44/12</f>
        <v>6.5493600178434352</v>
      </c>
      <c r="AB27" s="21">
        <f>EXP(-LN(2)/2)*AB26+(1-EXP(-LN(2)/2))/(LN(2)/2)*V27*Y27*VLOOKUP('Données projet'!$B$9,Paramètres!$A$1:$I$89,3,0)*0.475*44/12</f>
        <v>6.7692595743976414</v>
      </c>
      <c r="AC27" s="22">
        <f t="shared" si="3"/>
        <v>17.832304022994123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54.559399734346165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10.064285714285713</v>
      </c>
      <c r="AI27" s="13">
        <f>IF('Données projet'!$A$62&gt;35,AI26+AH27-AQ26,IF(A27&lt;'Données projet'!$A$62,$AF$205^A27,IF(A27='Données projet'!$A$62,'Données projet'!$B$62,AI26+AH27-AQ26)))</f>
        <v>241.54285714285717</v>
      </c>
      <c r="AJ27" s="13">
        <f>AI27*VLOOKUP('Données projet'!$B$10,Paramètres!$A$1:$I$89,3,0)*VLOOKUP('Données projet'!$B$10,Paramètres!$A$1:$I$89,5,0)</f>
        <v>113.04205714285716</v>
      </c>
      <c r="AK27" s="13">
        <f t="shared" si="35"/>
        <v>30.046575065377333</v>
      </c>
      <c r="AL27" s="20">
        <f t="shared" si="4"/>
        <v>249.21270109600837</v>
      </c>
      <c r="AM27" s="59">
        <f t="shared" si="5"/>
        <v>478.59716678861093</v>
      </c>
      <c r="AN27" s="59">
        <f ca="1">AVERAGE(OFFSET($AM$3,0,0,'Données projet'!$E$10+1,1))-AVERAGE(OFFSET($H$3,0,0,'Données projet'!$E$10+1,1))</f>
        <v>382.89338473200229</v>
      </c>
      <c r="AO27" s="59">
        <f t="shared" si="36"/>
        <v>360.46248248971744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54.559399734346165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5.1282051282051295</v>
      </c>
      <c r="BD27" s="12">
        <f>IF('Données projet'!$A$88&gt;35,BD26+BC27-BL26,IF(A27&lt;'Données projet'!$A$88,$BA$205^A27,IF(A27='Données projet'!$A$88,'Données projet'!$B$88,BD26+BC27-BL26)))</f>
        <v>57.692307692307701</v>
      </c>
      <c r="BE27" s="13">
        <f>BD27*VLOOKUP('Données projet'!$B$11,Paramètres!$A$1:$I$89,3,0)*VLOOKUP('Données projet'!$B$11,Paramètres!$A$1:$I$89,5,0)</f>
        <v>50.400000000000013</v>
      </c>
      <c r="BF27" s="13">
        <f t="shared" si="37"/>
        <v>14.717013453056426</v>
      </c>
      <c r="BG27" s="20">
        <f t="shared" si="7"/>
        <v>113.41213176407329</v>
      </c>
      <c r="BH27" s="59">
        <f t="shared" si="8"/>
        <v>342.7965974566759</v>
      </c>
      <c r="BI27" s="59">
        <f ca="1">AVERAGE(OFFSET($BH$3,0,0,'Données projet'!$E$11+1,1))-AVERAGE(OFFSET($H$3,0,0,'Données projet'!$E$11+1,1))</f>
        <v>225.75484198243581</v>
      </c>
      <c r="BJ27" s="59">
        <f t="shared" si="38"/>
        <v>199.49566488421061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3.4410694486144537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3.4410694486144537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54.559399734346165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2.8</v>
      </c>
      <c r="BY27" s="12">
        <f>IF('Données projet'!$A$114&gt;35,BY26+BX27-CG26,IF(A27&lt;'Données projet'!$A$114,$BV$205^A27,IF(A27='Données projet'!$A$114,'Données projet'!$B$114,BY26+BX27-CG26)))</f>
        <v>59.060091900479499</v>
      </c>
      <c r="BZ27" s="13">
        <f>BY27*VLOOKUP('Données projet'!$B$12,Paramètres!$A$1:$I$89,3,0)*VLOOKUP('Données projet'!$B$12,Paramètres!$A$1:$I$89,5,0)</f>
        <v>56.201583452496287</v>
      </c>
      <c r="CA27" s="13">
        <f t="shared" si="39"/>
        <v>16.204285458829325</v>
      </c>
      <c r="CB27" s="20">
        <f t="shared" si="10"/>
        <v>126.10688835389209</v>
      </c>
      <c r="CC27" s="59">
        <f t="shared" si="11"/>
        <v>355.49135404649468</v>
      </c>
      <c r="CD27" s="59">
        <f ca="1">AVERAGE(OFFSET($CC$3,0,0,'Données projet'!$E$12+1,1))-AVERAGE(OFFSET($H$3,0,0,'Données projet'!$E$12+1,1))</f>
        <v>413.9352601863377</v>
      </c>
      <c r="CE27" s="59">
        <f t="shared" si="40"/>
        <v>255.13997349799286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0</v>
      </c>
      <c r="CM27" s="21">
        <f>EXP(-LN(2)/2)*CM26+(1-EXP(-LN(2)/2))/(LN(2)/2)*CG27*CJ27*VLOOKUP('Données projet'!$B$12,Paramètres!$A$1:$I$89,3,0)*0.475*44/12</f>
        <v>0</v>
      </c>
      <c r="CN27" s="22">
        <f t="shared" si="12"/>
        <v>0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54.559399734346165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10</v>
      </c>
      <c r="CT27" s="12">
        <f>IF('Données projet'!$A$140&gt;35,CT26+CS27-DB26,IF(A27&lt;'Données projet'!$A$140,$CQ$205^A27,IF(A27='Données projet'!$A$140,'Données projet'!$B$140,CT26+CS27-DB26)))</f>
        <v>76</v>
      </c>
      <c r="CU27" s="17">
        <f>CT27*VLOOKUP('Données projet'!$B$13,Paramètres!$A$1:$I$89,3,0)*VLOOKUP('Données projet'!$B$13,Paramètres!$A$1:$I$89,5,0)</f>
        <v>66.393600000000006</v>
      </c>
      <c r="CV27" s="13">
        <f t="shared" si="41"/>
        <v>18.775122997078544</v>
      </c>
      <c r="CW27" s="20">
        <f t="shared" si="13"/>
        <v>148.33552588657844</v>
      </c>
      <c r="CX27" s="59">
        <f t="shared" si="14"/>
        <v>377.71999157918106</v>
      </c>
      <c r="CY27" s="59">
        <f ca="1">AVERAGE(OFFSET($CX$3,0,0,'Données projet'!$E$13+1,1))-AVERAGE(OFFSET($H$3,0,0,'Données projet'!$E$13+1,1))</f>
        <v>280.59827778697775</v>
      </c>
      <c r="CZ27" s="59">
        <f t="shared" si="42"/>
        <v>270.86588231964726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>
        <f>EXP(-LN(2)/35)*DF26+(1-EXP(-LN(2)/35))/(LN(2)/35)*DB27*DC27*VLOOKUP('Données projet'!$B$13,Paramètres!$A$1:$I$89,3,0)*0.475*44/12</f>
        <v>0</v>
      </c>
      <c r="DG27" s="21">
        <f>EXP(-LN(2)/25)*DG26+(1-EXP(-LN(2)/25))/(LN(2)/25)*Calculateur!DB27*Calculateur!DD27*VLOOKUP('Données projet'!$B$13,Paramètres!$A$1:$I$89,3,0)*0.475*44/12</f>
        <v>2.3956134972896175</v>
      </c>
      <c r="DH27" s="21">
        <f>EXP(-LN(2)/2)*DH26+(1-EXP(-LN(2)/2))/(LN(2)/2)*DB27*DE27*VLOOKUP('Données projet'!$B$13,Paramètres!$A$1:$I$89,3,0)*0.475*44/12</f>
        <v>1.0818479602865387</v>
      </c>
      <c r="DI27" s="22">
        <f t="shared" si="15"/>
        <v>3.4774614575761564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54.559399734346165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4.2307692307692308</v>
      </c>
      <c r="DO27" s="12">
        <f>IF('Données projet'!$A$166&gt;35,DO26+DN27-DW26,IF(A27&lt;'Données projet'!$A$166,$DL$205^A27,IF(A27='Données projet'!$A$166,'Données projet'!$B$166,DO26+DN27-DW26)))</f>
        <v>46.410256410256416</v>
      </c>
      <c r="DP27" s="17">
        <f>DO27*VLOOKUP('Données projet'!$B$14,Paramètres!$A$1:$I$89,3,0)*VLOOKUP('Données projet'!$B$14,Paramètres!$A$1:$I$89,5,0)</f>
        <v>31.132000000000005</v>
      </c>
      <c r="DQ27" s="13">
        <f t="shared" si="43"/>
        <v>9.6150110860003526</v>
      </c>
      <c r="DR27" s="20">
        <f t="shared" si="16"/>
        <v>70.967710974783941</v>
      </c>
      <c r="DS27" s="59">
        <f t="shared" si="17"/>
        <v>300.35217666738652</v>
      </c>
      <c r="DT27" s="59">
        <f ca="1">AVERAGE(OFFSET($DS$3,0,0,'Données projet'!$E$14+1,1))-AVERAGE(OFFSET($H$3,0,0,'Données projet'!$E$14+1,1))</f>
        <v>211.42385430331873</v>
      </c>
      <c r="DU27" s="59">
        <f t="shared" si="44"/>
        <v>146.84623106782686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>
        <f>EXP(-LN(2)/35)*EA26+(1-EXP(-LN(2)/35))/(LN(2)/35)*DW27*DX27*VLOOKUP('Données projet'!$B$14,Paramètres!$A$1:$I$89,3,0)*0.475*44/12</f>
        <v>0</v>
      </c>
      <c r="EB27" s="21">
        <f>EXP(-LN(2)/25)*EB26+(1-EXP(-LN(2)/25))/(LN(2)/25)*Calculateur!DW27*Calculateur!DY27*VLOOKUP('Données projet'!$B$14,Paramètres!$A$1:$I$89,3,0)*0.475*44/12</f>
        <v>0.61765501494526698</v>
      </c>
      <c r="EC27" s="21">
        <f>EXP(-LN(2)/2)*EC26+(1-EXP(-LN(2)/2))/(LN(2)/2)*DW27*DZ27*VLOOKUP('Données projet'!$B$14,Paramètres!$A$1:$I$89,3,0)*0.475*44/12</f>
        <v>0.27893014413021799</v>
      </c>
      <c r="ED27" s="22">
        <f t="shared" si="18"/>
        <v>0.89658515907548497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54.559399734346165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1.153846153846154</v>
      </c>
      <c r="EJ27" s="12">
        <f>IF('Données projet'!$A$192&gt;35,EJ26+EI27-ER26,IF(A27&lt;'Données projet'!$A$192,$EG$205^A27,IF(A27='Données projet'!$A$192,'Données projet'!$B$192,EJ26+EI27-ER26)))</f>
        <v>25.216476286652476</v>
      </c>
      <c r="EK27" s="17">
        <f>EJ27*VLOOKUP('Données projet'!$B$15,Paramètres!$A$1:$I$89,3,0)*VLOOKUP('Données projet'!$B$15,Paramètres!$A$1:$I$89,5,0)</f>
        <v>27.143015074952725</v>
      </c>
      <c r="EL27" s="13">
        <f t="shared" si="45"/>
        <v>8.5178963554065685</v>
      </c>
      <c r="EM27" s="20">
        <f t="shared" si="19"/>
        <v>62.1094207412091</v>
      </c>
      <c r="EN27" s="59">
        <f t="shared" si="20"/>
        <v>291.49388643381167</v>
      </c>
      <c r="EO27" s="59">
        <f ca="1">AVERAGE(OFFSET($EN$3,0,0,'Données projet'!$E$15+1,1))-AVERAGE(OFFSET($H$3,0,0,'Données projet'!$E$15+1,1))</f>
        <v>212.00478362779876</v>
      </c>
      <c r="EP27" s="59">
        <f t="shared" si="46"/>
        <v>133.62262474506707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>
        <f>EXP(-LN(2)/35)*EV26+(1-EXP(-LN(2)/35))/(LN(2)/35)*ER27*ES27*VLOOKUP('Données projet'!$B$15,Paramètres!$A$1:$I$89,3,0)*0.475*44/12</f>
        <v>0</v>
      </c>
      <c r="EW27" s="21">
        <f>EXP(-LN(2)/25)*EW26+(1-EXP(-LN(2)/25))/(LN(2)/25)*Calculateur!ER27*Calculateur!ET27*VLOOKUP('Données projet'!$B$15,Paramètres!$A$1:$I$89,3,0)*0.475*44/12</f>
        <v>0</v>
      </c>
      <c r="EX27" s="21">
        <f>EXP(-LN(2)/2)*EX26+(1-EXP(-LN(2)/2))/(LN(2)/2)*ER27*EU27*VLOOKUP('Données projet'!$B$15,Paramètres!$A$1:$I$89,3,0)*0.475*44/12</f>
        <v>0</v>
      </c>
      <c r="EY27" s="22">
        <f t="shared" si="21"/>
        <v>0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54.559399734346165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1.153846153846154</v>
      </c>
      <c r="FE27" s="12">
        <f>IF('Données projet'!$A$218&gt;35,FE26+FD27-FM26,IF(A27&lt;'Données projet'!$A$218,$FB$205^A27,IF(A27='Données projet'!$A$218,'Données projet'!$B$218,FE26+FD27-FM26)))</f>
        <v>25.216476286652476</v>
      </c>
      <c r="FF27" s="17">
        <f>FE27*VLOOKUP('Données projet'!$B$16,Paramètres!$A$1:$I$89,3,0)*VLOOKUP('Données projet'!$B$16,Paramètres!$A$1:$I$89,5,0)</f>
        <v>24.389375864450276</v>
      </c>
      <c r="FG27" s="13">
        <f t="shared" si="47"/>
        <v>7.7496589727120329</v>
      </c>
      <c r="FH27" s="20">
        <f t="shared" si="22"/>
        <v>55.975485674724347</v>
      </c>
      <c r="FI27" s="59">
        <f t="shared" si="23"/>
        <v>285.35995136732691</v>
      </c>
      <c r="FJ27" s="59">
        <f ca="1">AVERAGE(OFFSET($FI$3,0,0,'Données projet'!$E$16+1,1))-AVERAGE(OFFSET($H$3,0,0,'Données projet'!$E$16+1,1))</f>
        <v>196.65742339093146</v>
      </c>
      <c r="FK27" s="59">
        <f t="shared" si="48"/>
        <v>125.41980634506001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>
        <f>EXP(-LN(2)/35)*FQ26+(1-EXP(-LN(2)/35))/(LN(2)/35)*FM27*FN27*VLOOKUP('Données projet'!$B$16,Paramètres!$A$1:$I$89,3,0)*0.475*44/12</f>
        <v>0</v>
      </c>
      <c r="FR27" s="21">
        <f>EXP(-LN(2)/25)*FR26+(1-EXP(-LN(2)/25))/(LN(2)/25)*Calculateur!FM27*Calculateur!FO27*VLOOKUP('Données projet'!$B$16,Paramètres!$A$1:$I$89,3,0)*0.475*44/12</f>
        <v>0</v>
      </c>
      <c r="FS27" s="21">
        <f>EXP(-LN(2)/2)*FS26+(1-EXP(-LN(2)/2))/(LN(2)/2)*FM27*FP27*VLOOKUP('Données projet'!$B$16,Paramètres!$A$1:$I$89,3,0)*0.475*44/12</f>
        <v>0</v>
      </c>
      <c r="FT27" s="22">
        <f t="shared" si="24"/>
        <v>0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54.559399734346165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54.559399734346165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>
      <c r="A28" s="10">
        <f t="shared" si="31"/>
        <v>25</v>
      </c>
      <c r="B28" s="73">
        <f>'Scénario référence'!$B$16*5+'Scénario référence'!$B$17*0+'Scénario référence'!$B$18*5</f>
        <v>4.6999999999999993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1.3338000000000001</v>
      </c>
      <c r="D28" s="11">
        <f t="shared" si="32"/>
        <v>0.59440467835601563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17.092396552782432</v>
      </c>
      <c r="H28" s="67">
        <f t="shared" si="1"/>
        <v>191.09162314813673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54.827259628944532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15.782</v>
      </c>
      <c r="N28" s="13">
        <f>IF('Données projet'!$A$36&gt;35,N27+M28-V27,IF(A28&lt;'Données projet'!$A$36,$K$205^A28,IF(A28='Données projet'!$A$36,'Données projet'!$B$36,N27+M28-V27)))</f>
        <v>124.286</v>
      </c>
      <c r="O28" s="13">
        <f>N28*VLOOKUP('Données projet'!$B$9,Paramètres!$A$1:$I$89,3,0)*VLOOKUP('Données projet'!$B$9,Paramètres!$A$1:$I$89,5,0)</f>
        <v>74.323028000000008</v>
      </c>
      <c r="P28" s="13">
        <f t="shared" si="33"/>
        <v>20.743244990540482</v>
      </c>
      <c r="Q28" s="20">
        <f t="shared" si="2"/>
        <v>165.57375879185801</v>
      </c>
      <c r="R28" s="59">
        <f t="shared" si="0"/>
        <v>397.16259965354357</v>
      </c>
      <c r="S28" s="59">
        <f ca="1">AVERAGE(OFFSET($R$3,0,0,'Données projet'!$E$9+1,1))-AVERAGE(OFFSET($H$3,0,0,'Données projet'!$E$9+1,1))</f>
        <v>366.93249569585623</v>
      </c>
      <c r="T28" s="59">
        <f t="shared" si="34"/>
        <v>272.47262353368501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4.4251738321416383</v>
      </c>
      <c r="AA28" s="21">
        <f>EXP(-LN(2)/25)*AA27+(1-EXP(-LN(2)/25))/(LN(2)/25)*Calculateur!V28*Calculateur!X28*VLOOKUP('Données projet'!$B$9,Paramètres!$A$1:$I$89,3,0)*0.475*44/12</f>
        <v>6.370267423739632</v>
      </c>
      <c r="AB28" s="21">
        <f>EXP(-LN(2)/2)*AB27+(1-EXP(-LN(2)/2))/(LN(2)/2)*V28*Y28*VLOOKUP('Données projet'!$B$9,Paramètres!$A$1:$I$89,3,0)*0.475*44/12</f>
        <v>4.7865893486685351</v>
      </c>
      <c r="AC28" s="22">
        <f t="shared" si="3"/>
        <v>15.582030604549805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54.827259628944532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10.064285714285713</v>
      </c>
      <c r="AI28" s="13">
        <f>IF('Données projet'!$A$62&gt;35,AI27+AH28-AQ27,IF(A28&lt;'Données projet'!$A$62,$AF$205^A28,IF(A28='Données projet'!$A$62,'Données projet'!$B$62,AI27+AH28-AQ27)))</f>
        <v>251.60714285714289</v>
      </c>
      <c r="AJ28" s="13">
        <f>AI28*VLOOKUP('Données projet'!$B$10,Paramètres!$A$1:$I$89,3,0)*VLOOKUP('Données projet'!$B$10,Paramètres!$A$1:$I$89,5,0)</f>
        <v>117.75214285714287</v>
      </c>
      <c r="AK28" s="13">
        <f t="shared" si="35"/>
        <v>31.150147934205393</v>
      </c>
      <c r="AL28" s="20">
        <f t="shared" si="4"/>
        <v>259.3381564615982</v>
      </c>
      <c r="AM28" s="59">
        <f t="shared" si="5"/>
        <v>490.92699732328373</v>
      </c>
      <c r="AN28" s="59">
        <f ca="1">AVERAGE(OFFSET($AM$3,0,0,'Données projet'!$E$10+1,1))-AVERAGE(OFFSET($H$3,0,0,'Données projet'!$E$10+1,1))</f>
        <v>382.89338473200229</v>
      </c>
      <c r="AO28" s="59">
        <f t="shared" si="36"/>
        <v>360.46248248971744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54.827259628944532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>
        <f>VLOOKUP(A28,'Données projet'!$A$87:$I$107,2,0)</f>
        <v>62.820512820512818</v>
      </c>
      <c r="BB28" s="12">
        <f>VLOOKUP(A28,'Données projet'!$A$87:$I$107,9,0)</f>
        <v>5.1282051282051295</v>
      </c>
      <c r="BC28" s="12">
        <f t="array" ref="BC28">INDEX(BB:BB,MIN(IF(ISNUMBER(BB28:BB224),ROW(BB28:BB224),"")))</f>
        <v>5.1282051282051295</v>
      </c>
      <c r="BD28" s="12">
        <f>IF('Données projet'!$A$88&gt;35,BD27+BC28-BL27,IF(A28&lt;'Données projet'!$A$88,$BA$205^A28,IF(A28='Données projet'!$A$88,'Données projet'!$B$88,BD27+BC28-BL27)))</f>
        <v>62.820512820512832</v>
      </c>
      <c r="BE28" s="13">
        <f>BD28*VLOOKUP('Données projet'!$B$11,Paramètres!$A$1:$I$89,3,0)*VLOOKUP('Données projet'!$B$11,Paramètres!$A$1:$I$89,5,0)</f>
        <v>54.880000000000017</v>
      </c>
      <c r="BF28" s="13">
        <f t="shared" si="37"/>
        <v>15.867129491049784</v>
      </c>
      <c r="BG28" s="20">
        <f t="shared" si="7"/>
        <v>123.21791719691173</v>
      </c>
      <c r="BH28" s="59">
        <f t="shared" si="8"/>
        <v>354.80675805859727</v>
      </c>
      <c r="BI28" s="59">
        <f ca="1">AVERAGE(OFFSET($BH$3,0,0,'Données projet'!$E$11+1,1))-AVERAGE(OFFSET($H$3,0,0,'Données projet'!$E$11+1,1))</f>
        <v>225.75484198243581</v>
      </c>
      <c r="BJ28" s="59">
        <f t="shared" si="38"/>
        <v>199.49566488421061</v>
      </c>
      <c r="BK28" s="15">
        <f>IF(ISNA(VLOOKUP(A28,'Données projet'!$A$87:$I$107,3,0)),0,VLOOKUP(A28,'Données projet'!$A$87:$I$107,3,0))</f>
        <v>2</v>
      </c>
      <c r="BL28" s="15">
        <f>IF(ISNA(VLOOKUP(A28,'Données projet'!$A$87:$I$107,4,0)),0,VLOOKUP(A28,'Données projet'!$A$87:$I$107,4,0))</f>
        <v>12.179487179487179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0.215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5.8658901231307938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5.8658901231307938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54.827259628944532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>
        <f>VLOOKUP(A28,'Données projet'!$A$113:$I$133,2,0)</f>
        <v>70</v>
      </c>
      <c r="BW28" s="12">
        <f>VLOOKUP(A28,'Données projet'!$A$113:$I$133,9,0)</f>
        <v>2.8</v>
      </c>
      <c r="BX28" s="12">
        <f t="array" ref="BX28">INDEX(BW:BW,MIN(IF(ISNUMBER(BW28:BW224),ROW(BW28:BW224),"")))</f>
        <v>2.8</v>
      </c>
      <c r="BY28" s="12">
        <f>IF('Données projet'!$A$114&gt;35,BY27+BX28-CG27,IF(A28&lt;'Données projet'!$A$114,$BV$205^A28,IF(A28='Données projet'!$A$114,'Données projet'!$B$114,BY27+BX28-CG27)))</f>
        <v>70</v>
      </c>
      <c r="BZ28" s="13">
        <f>BY28*VLOOKUP('Données projet'!$B$12,Paramètres!$A$1:$I$89,3,0)*VLOOKUP('Données projet'!$B$12,Paramètres!$A$1:$I$89,5,0)</f>
        <v>66.611999999999995</v>
      </c>
      <c r="CA28" s="13">
        <f t="shared" si="39"/>
        <v>18.829683939536395</v>
      </c>
      <c r="CB28" s="20">
        <f t="shared" si="10"/>
        <v>148.81093286135922</v>
      </c>
      <c r="CC28" s="59">
        <f t="shared" si="11"/>
        <v>380.39977372304475</v>
      </c>
      <c r="CD28" s="59">
        <f ca="1">AVERAGE(OFFSET($CC$3,0,0,'Données projet'!$E$12+1,1))-AVERAGE(OFFSET($H$3,0,0,'Données projet'!$E$12+1,1))</f>
        <v>413.9352601863377</v>
      </c>
      <c r="CE28" s="59">
        <f t="shared" si="40"/>
        <v>255.13997349799286</v>
      </c>
      <c r="CF28" s="15">
        <f>IF(ISNA(VLOOKUP(A28,'Données projet'!$A$113:$I$133,3,0)),0,VLOOKUP(A28,'Données projet'!$A$113:$I$133,3,0))</f>
        <v>1</v>
      </c>
      <c r="CG28" s="15">
        <f>IF(ISNA(VLOOKUP(A28,'Données projet'!$A$113:$I$133,4,0)),0,VLOOKUP(A28,'Données projet'!$A$113:$I$133,4,0))</f>
        <v>8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0.1075</v>
      </c>
      <c r="CJ28" s="16">
        <f>IF(ISNA(VLOOKUP(A28,'Données projet'!$A$113:$I$133,7,0)),0%,VLOOKUP(A28,'Données projet'!$A$113:$I$133,7,0))</f>
        <v>0.25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0.9011283163942182</v>
      </c>
      <c r="CM28" s="21">
        <f>EXP(-LN(2)/2)*CM27+(1-EXP(-LN(2)/2))/(LN(2)/2)*CG28*CJ28*VLOOKUP('Données projet'!$B$12,Paramètres!$A$1:$I$89,3,0)*0.475*44/12</f>
        <v>1.7957204238769748</v>
      </c>
      <c r="CN28" s="22">
        <f t="shared" si="12"/>
        <v>2.6968487402711929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54.827259628944532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>
        <f>VLOOKUP(A28,'Données projet'!$A$139:$I$159,2,0)</f>
        <v>86</v>
      </c>
      <c r="CR28" s="12">
        <f>VLOOKUP(A28,'Données projet'!$A$139:$I$159,9,0)</f>
        <v>10</v>
      </c>
      <c r="CS28" s="12">
        <f t="array" ref="CS28">INDEX(CR:CR,MIN(IF(ISNUMBER(CR28:CR224),ROW(CR28:CR224),"")))</f>
        <v>10</v>
      </c>
      <c r="CT28" s="12">
        <f>IF('Données projet'!$A$140&gt;35,CT27+CS28-DB27,IF(A28&lt;'Données projet'!$A$140,$CQ$205^A28,IF(A28='Données projet'!$A$140,'Données projet'!$B$140,CT27+CS28-DB27)))</f>
        <v>86</v>
      </c>
      <c r="CU28" s="17">
        <f>CT28*VLOOKUP('Données projet'!$B$13,Paramètres!$A$1:$I$89,3,0)*VLOOKUP('Données projet'!$B$13,Paramètres!$A$1:$I$89,5,0)</f>
        <v>75.129600000000011</v>
      </c>
      <c r="CV28" s="13">
        <f t="shared" si="41"/>
        <v>20.942027818647581</v>
      </c>
      <c r="CW28" s="20">
        <f t="shared" si="13"/>
        <v>167.32475178414452</v>
      </c>
      <c r="CX28" s="59">
        <f t="shared" si="14"/>
        <v>398.91359264583002</v>
      </c>
      <c r="CY28" s="59">
        <f ca="1">AVERAGE(OFFSET($CX$3,0,0,'Données projet'!$E$13+1,1))-AVERAGE(OFFSET($H$3,0,0,'Données projet'!$E$13+1,1))</f>
        <v>280.59827778697775</v>
      </c>
      <c r="CZ28" s="59">
        <f t="shared" si="42"/>
        <v>270.86588231964726</v>
      </c>
      <c r="DA28" s="15">
        <f>IF(ISNA(VLOOKUP(A28,'Données projet'!$A$139:$I$159,3,0)),0,VLOOKUP(A28,'Données projet'!$A$139:$I$159,3,0))</f>
        <v>2</v>
      </c>
      <c r="DB28" s="15">
        <f>IF(ISNA(VLOOKUP(A28,'Données projet'!$A$139:$I$159,4,0)),0,VLOOKUP(A28,'Données projet'!$A$139:$I$159,4,0))</f>
        <v>21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0.13250000000000001</v>
      </c>
      <c r="DE28" s="16">
        <f>IF(ISNA(VLOOKUP(A28,'Données projet'!$A$139:$I$159,7,0)),0%,VLOOKUP(A28,'Données projet'!$A$139:$I$159,7,0))</f>
        <v>0.25</v>
      </c>
      <c r="DF28" s="21">
        <f>EXP(-LN(2)/35)*DF27+(1-EXP(-LN(2)/35))/(LN(2)/35)*DB28*DC28*VLOOKUP('Données projet'!$B$13,Paramètres!$A$1:$I$89,3,0)*0.475*44/12</f>
        <v>0</v>
      </c>
      <c r="DG28" s="21">
        <f>EXP(-LN(2)/25)*DG27+(1-EXP(-LN(2)/25))/(LN(2)/25)*Calculateur!DB28*Calculateur!DD28*VLOOKUP('Données projet'!$B$13,Paramètres!$A$1:$I$89,3,0)*0.475*44/12</f>
        <v>5.0066934685402931</v>
      </c>
      <c r="DH28" s="21">
        <f>EXP(-LN(2)/2)*DH27+(1-EXP(-LN(2)/2))/(LN(2)/2)*DB28*DE28*VLOOKUP('Données projet'!$B$13,Paramètres!$A$1:$I$89,3,0)*0.475*44/12</f>
        <v>5.0923738700775996</v>
      </c>
      <c r="DI28" s="22">
        <f t="shared" si="15"/>
        <v>10.099067338617893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54.827259628944532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>
        <f>VLOOKUP(A28,'Données projet'!$A$165:$I$185,2,0)</f>
        <v>50.641025641025635</v>
      </c>
      <c r="DM28" s="12">
        <f>VLOOKUP(A28,'Données projet'!$A$165:$I$185,9,0)</f>
        <v>4.2307692307692308</v>
      </c>
      <c r="DN28" s="12">
        <f t="array" ref="DN28">INDEX(DM:DM,MIN(IF(ISNUMBER(DM28:DM224),ROW(DM28:DM224),"")))</f>
        <v>4.2307692307692308</v>
      </c>
      <c r="DO28" s="12">
        <f>IF('Données projet'!$A$166&gt;35,DO27+DN28-DW27,IF(A28&lt;'Données projet'!$A$166,$DL$205^A28,IF(A28='Données projet'!$A$166,'Données projet'!$B$166,DO27+DN28-DW27)))</f>
        <v>50.641025641025649</v>
      </c>
      <c r="DP28" s="17">
        <f>DO28*VLOOKUP('Données projet'!$B$14,Paramètres!$A$1:$I$89,3,0)*VLOOKUP('Données projet'!$B$14,Paramètres!$A$1:$I$89,5,0)</f>
        <v>33.970000000000006</v>
      </c>
      <c r="DQ28" s="13">
        <f t="shared" si="43"/>
        <v>10.38551626156204</v>
      </c>
      <c r="DR28" s="20">
        <f t="shared" si="16"/>
        <v>77.252524155553886</v>
      </c>
      <c r="DS28" s="59">
        <f t="shared" si="17"/>
        <v>308.84136501723941</v>
      </c>
      <c r="DT28" s="59">
        <f ca="1">AVERAGE(OFFSET($DS$3,0,0,'Données projet'!$E$14+1,1))-AVERAGE(OFFSET($H$3,0,0,'Données projet'!$E$14+1,1))</f>
        <v>211.42385430331873</v>
      </c>
      <c r="DU28" s="59">
        <f t="shared" si="44"/>
        <v>146.84623106782686</v>
      </c>
      <c r="DV28" s="15">
        <f>IF(ISNA(VLOOKUP(A28,'Données projet'!$A$165:$I$185,3,0)),0,VLOOKUP(A28,'Données projet'!$A$165:$I$185,3,0))</f>
        <v>2</v>
      </c>
      <c r="DW28" s="15">
        <f>IF(ISNA(VLOOKUP(A28,'Données projet'!$A$165:$I$185,4,0)),0,VLOOKUP(A28,'Données projet'!$A$165:$I$185,4,0))</f>
        <v>9.615384615384615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0.13250000000000001</v>
      </c>
      <c r="DZ28" s="16">
        <f>IF(ISNA(VLOOKUP(A28,'Données projet'!$A$165:$I$185,7,0)),0%,VLOOKUP(A28,'Données projet'!$A$165:$I$185,7,0))</f>
        <v>0.25</v>
      </c>
      <c r="EA28" s="21">
        <f>EXP(-LN(2)/35)*EA27+(1-EXP(-LN(2)/35))/(LN(2)/35)*DW28*DX28*VLOOKUP('Données projet'!$B$14,Paramètres!$A$1:$I$89,3,0)*0.475*44/12</f>
        <v>0</v>
      </c>
      <c r="EB28" s="21">
        <f>EXP(-LN(2)/25)*EB27+(1-EXP(-LN(2)/25))/(LN(2)/25)*Calculateur!DW28*Calculateur!DY28*VLOOKUP('Données projet'!$B$14,Paramètres!$A$1:$I$89,3,0)*0.475*44/12</f>
        <v>1.5418079387589116</v>
      </c>
      <c r="EC28" s="21">
        <f>EXP(-LN(2)/2)*EC27+(1-EXP(-LN(2)/2))/(LN(2)/2)*DW28*DZ28*VLOOKUP('Données projet'!$B$14,Paramètres!$A$1:$I$89,3,0)*0.475*44/12</f>
        <v>1.718670546193007</v>
      </c>
      <c r="ED28" s="22">
        <f t="shared" si="18"/>
        <v>3.2604784849519186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54.827259628944532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>
        <f>VLOOKUP(A28,'Données projet'!$A$191:$I$211,2,0)</f>
        <v>28.846153846153847</v>
      </c>
      <c r="EH28" s="12">
        <f>VLOOKUP(A28,'Données projet'!$A$191:$I$211,9,0)</f>
        <v>1.153846153846154</v>
      </c>
      <c r="EI28" s="12">
        <f t="array" ref="EI28">INDEX(EH:EH,MIN(IF(ISNUMBER(EH28:EH224),ROW(EH28:EH224),"")))</f>
        <v>1.153846153846154</v>
      </c>
      <c r="EJ28" s="12">
        <f>IF('Données projet'!$A$192&gt;35,EJ27+EI28-ER27,IF(A28&lt;'Données projet'!$A$192,$EG$205^A28,IF(A28='Données projet'!$A$192,'Données projet'!$B$192,EJ27+EI28-ER27)))</f>
        <v>28.846153846153847</v>
      </c>
      <c r="EK28" s="17">
        <f>EJ28*VLOOKUP('Données projet'!$B$15,Paramètres!$A$1:$I$89,3,0)*VLOOKUP('Données projet'!$B$15,Paramètres!$A$1:$I$89,5,0)</f>
        <v>31.05</v>
      </c>
      <c r="EL28" s="13">
        <f t="shared" si="45"/>
        <v>9.5926301130262264</v>
      </c>
      <c r="EM28" s="20">
        <f t="shared" si="19"/>
        <v>70.785914113520676</v>
      </c>
      <c r="EN28" s="59">
        <f t="shared" si="20"/>
        <v>302.3747549752062</v>
      </c>
      <c r="EO28" s="59">
        <f ca="1">AVERAGE(OFFSET($EN$3,0,0,'Données projet'!$E$15+1,1))-AVERAGE(OFFSET($H$3,0,0,'Données projet'!$E$15+1,1))</f>
        <v>212.00478362779876</v>
      </c>
      <c r="EP28" s="59">
        <f t="shared" si="46"/>
        <v>133.62262474506707</v>
      </c>
      <c r="EQ28" s="15">
        <f>IF(ISNA(VLOOKUP(A28,'Données projet'!$A$191:$I$211,3,0)),0,VLOOKUP(A28,'Données projet'!$A$191:$I$211,3,0))</f>
        <v>1</v>
      </c>
      <c r="ER28" s="15">
        <f>IF(ISNA(VLOOKUP(A28,'Données projet'!$A$191:$I$211,4,0)),0,VLOOKUP(A28,'Données projet'!$A$191:$I$211,4,0))</f>
        <v>5.7692307692307692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0.1075</v>
      </c>
      <c r="EU28" s="16">
        <f>IF(ISNA(VLOOKUP(A28,'Données projet'!$A$191:$I$211,7,0)),0%,VLOOKUP(A28,'Données projet'!$A$191:$I$211,7,0))</f>
        <v>0.25</v>
      </c>
      <c r="EV28" s="21">
        <f>EXP(-LN(2)/35)*EV27+(1-EXP(-LN(2)/35))/(LN(2)/35)*ER28*ES28*VLOOKUP('Données projet'!$B$15,Paramètres!$A$1:$I$89,3,0)*0.475*44/12</f>
        <v>0</v>
      </c>
      <c r="EW28" s="21">
        <f>EXP(-LN(2)/25)*EW27+(1-EXP(-LN(2)/25))/(LN(2)/25)*Calculateur!ER28*Calculateur!ET28*VLOOKUP('Données projet'!$B$15,Paramètres!$A$1:$I$89,3,0)*0.475*44/12</f>
        <v>0.73507866288462775</v>
      </c>
      <c r="EX28" s="21">
        <f>EXP(-LN(2)/2)*EX27+(1-EXP(-LN(2)/2))/(LN(2)/2)*ER28*EU28*VLOOKUP('Données projet'!$B$15,Paramètres!$A$1:$I$89,3,0)*0.475*44/12</f>
        <v>1.4648255349248649</v>
      </c>
      <c r="EY28" s="22">
        <f t="shared" si="21"/>
        <v>2.1999041978094924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54.827259628944532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>
        <f>VLOOKUP(A28,'Données projet'!$A$217:$I$237,2,0)</f>
        <v>28.846153846153847</v>
      </c>
      <c r="FC28" s="12">
        <f>VLOOKUP(A28,'Données projet'!$A$217:$I$237,9,0)</f>
        <v>1.153846153846154</v>
      </c>
      <c r="FD28" s="12">
        <f t="array" ref="FD28">INDEX(FC:FC,MIN(IF(ISNUMBER(FC28:FC224),ROW(FC28:FC224),"")))</f>
        <v>1.153846153846154</v>
      </c>
      <c r="FE28" s="12">
        <f>IF('Données projet'!$A$218&gt;35,FE27+FD28-FM27,IF(A28&lt;'Données projet'!$A$218,$FB$205^A28,IF(A28='Données projet'!$A$218,'Données projet'!$B$218,FE27+FD28-FM27)))</f>
        <v>28.846153846153847</v>
      </c>
      <c r="FF28" s="17">
        <f>FE28*VLOOKUP('Données projet'!$B$16,Paramètres!$A$1:$I$89,3,0)*VLOOKUP('Données projet'!$B$16,Paramètres!$A$1:$I$89,5,0)</f>
        <v>27.9</v>
      </c>
      <c r="FG28" s="13">
        <f t="shared" si="47"/>
        <v>8.7274614441787239</v>
      </c>
      <c r="FH28" s="20">
        <f t="shared" si="22"/>
        <v>63.792828681944599</v>
      </c>
      <c r="FI28" s="59">
        <f t="shared" si="23"/>
        <v>295.3816695436301</v>
      </c>
      <c r="FJ28" s="59">
        <f ca="1">AVERAGE(OFFSET($FI$3,0,0,'Données projet'!$E$16+1,1))-AVERAGE(OFFSET($H$3,0,0,'Données projet'!$E$16+1,1))</f>
        <v>196.65742339093146</v>
      </c>
      <c r="FK28" s="59">
        <f t="shared" si="48"/>
        <v>125.41980634506001</v>
      </c>
      <c r="FL28" s="15">
        <f>IF(ISNA(VLOOKUP(A28,'Données projet'!$A$217:$I$237,3,0)),0,VLOOKUP(A28,'Données projet'!$A$217:$I$237,3,0))</f>
        <v>1</v>
      </c>
      <c r="FM28" s="15">
        <f>IF(ISNA(VLOOKUP(A28,'Données projet'!$A$217:$I$237,4,0)),0,VLOOKUP(A28,'Données projet'!$A$217:$I$237,4,0))</f>
        <v>5.7692307692307692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0.1075</v>
      </c>
      <c r="FP28" s="16">
        <f>IF(ISNA(VLOOKUP(A28,'Données projet'!$A$217:$I$237,7,0)),0%,VLOOKUP(A28,'Données projet'!$A$217:$I$237,7,0))</f>
        <v>0.25</v>
      </c>
      <c r="FQ28" s="21">
        <f>EXP(-LN(2)/35)*FQ27+(1-EXP(-LN(2)/35))/(LN(2)/35)*FM28*FN28*VLOOKUP('Données projet'!$B$16,Paramètres!$A$1:$I$89,3,0)*0.475*44/12</f>
        <v>0</v>
      </c>
      <c r="FR28" s="21">
        <f>EXP(-LN(2)/25)*FR27+(1-EXP(-LN(2)/25))/(LN(2)/25)*Calculateur!FM28*Calculateur!FO28*VLOOKUP('Données projet'!$B$16,Paramètres!$A$1:$I$89,3,0)*0.475*44/12</f>
        <v>0.66050546520068021</v>
      </c>
      <c r="FS28" s="21">
        <f>EXP(-LN(2)/2)*FS27+(1-EXP(-LN(2)/2))/(LN(2)/2)*FM28*FP28*VLOOKUP('Données projet'!$B$16,Paramètres!$A$1:$I$89,3,0)*0.475*44/12</f>
        <v>1.3162200458745164</v>
      </c>
      <c r="FT28" s="22">
        <f t="shared" si="24"/>
        <v>1.9767255110751965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54.827259628944532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54.827259628944532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>
      <c r="A29" s="10">
        <f t="shared" si="31"/>
        <v>26</v>
      </c>
      <c r="B29" s="73">
        <f>'Scénario référence'!$B$16*5+'Scénario référence'!$B$17*0+'Scénario référence'!$B$18*5</f>
        <v>4.6999999999999993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1.3871520000000002</v>
      </c>
      <c r="D29" s="11">
        <f t="shared" si="32"/>
        <v>0.61536512217610362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17.126814947814896</v>
      </c>
      <c r="H29" s="67">
        <f t="shared" si="1"/>
        <v>191.22105065445672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55.090472753216638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15.782</v>
      </c>
      <c r="N29" s="13">
        <f>IF('Données projet'!$A$36&gt;35,N28+M29-V28,IF(A29&lt;'Données projet'!$A$36,$K$205^A29,IF(A29='Données projet'!$A$36,'Données projet'!$B$36,N28+M29-V28)))</f>
        <v>140.06800000000001</v>
      </c>
      <c r="O29" s="13">
        <f>N29*VLOOKUP('Données projet'!$B$9,Paramètres!$A$1:$I$89,3,0)*VLOOKUP('Données projet'!$B$9,Paramètres!$A$1:$I$89,5,0)</f>
        <v>83.76066400000002</v>
      </c>
      <c r="P29" s="13">
        <f t="shared" si="33"/>
        <v>23.054213321234659</v>
      </c>
      <c r="Q29" s="20">
        <f t="shared" si="2"/>
        <v>186.0359113344837</v>
      </c>
      <c r="R29" s="59">
        <f t="shared" si="0"/>
        <v>419.81208920738914</v>
      </c>
      <c r="S29" s="59">
        <f ca="1">AVERAGE(OFFSET($R$3,0,0,'Données projet'!$E$9+1,1))-AVERAGE(OFFSET($H$3,0,0,'Données projet'!$E$9+1,1))</f>
        <v>366.93249569585623</v>
      </c>
      <c r="T29" s="59">
        <f t="shared" si="34"/>
        <v>272.47262353368501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4.3383988723828653</v>
      </c>
      <c r="AA29" s="21">
        <f>EXP(-LN(2)/25)*AA28+(1-EXP(-LN(2)/25))/(LN(2)/25)*Calculateur!V29*Calculateur!X29*VLOOKUP('Données projet'!$B$9,Paramètres!$A$1:$I$89,3,0)*0.475*44/12</f>
        <v>6.1960721260396676</v>
      </c>
      <c r="AB29" s="21">
        <f>EXP(-LN(2)/2)*AB28+(1-EXP(-LN(2)/2))/(LN(2)/2)*V29*Y29*VLOOKUP('Données projet'!$B$9,Paramètres!$A$1:$I$89,3,0)*0.475*44/12</f>
        <v>3.3846297871988211</v>
      </c>
      <c r="AC29" s="22">
        <f t="shared" si="3"/>
        <v>13.919100785621353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55.090472753216638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10.064285714285713</v>
      </c>
      <c r="AI29" s="13">
        <f>IF('Données projet'!$A$62&gt;35,AI28+AH29-AQ28,IF(A29&lt;'Données projet'!$A$62,$AF$205^A29,IF(A29='Données projet'!$A$62,'Données projet'!$B$62,AI28+AH29-AQ28)))</f>
        <v>261.67142857142858</v>
      </c>
      <c r="AJ29" s="13">
        <f>AI29*VLOOKUP('Données projet'!$B$10,Paramètres!$A$1:$I$89,3,0)*VLOOKUP('Données projet'!$B$10,Paramètres!$A$1:$I$89,5,0)</f>
        <v>122.46222857142858</v>
      </c>
      <c r="AK29" s="13">
        <f t="shared" si="35"/>
        <v>32.248593066851676</v>
      </c>
      <c r="AL29" s="20">
        <f t="shared" si="4"/>
        <v>269.45468102000478</v>
      </c>
      <c r="AM29" s="59">
        <f t="shared" si="5"/>
        <v>503.23085889291019</v>
      </c>
      <c r="AN29" s="59">
        <f ca="1">AVERAGE(OFFSET($AM$3,0,0,'Données projet'!$E$10+1,1))-AVERAGE(OFFSET($H$3,0,0,'Données projet'!$E$10+1,1))</f>
        <v>382.89338473200229</v>
      </c>
      <c r="AO29" s="59">
        <f t="shared" si="36"/>
        <v>360.46248248971744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55.090472753216638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5.1282051282051295</v>
      </c>
      <c r="BD29" s="12">
        <f>IF('Données projet'!$A$88&gt;35,BD28+BC29-BL28,IF(A29&lt;'Données projet'!$A$88,$BA$205^A29,IF(A29='Données projet'!$A$88,'Données projet'!$B$88,BD28+BC29-BL28)))</f>
        <v>55.769230769230774</v>
      </c>
      <c r="BE29" s="13">
        <f>BD29*VLOOKUP('Données projet'!$B$11,Paramètres!$A$1:$I$89,3,0)*VLOOKUP('Données projet'!$B$11,Paramètres!$A$1:$I$89,5,0)</f>
        <v>48.720000000000013</v>
      </c>
      <c r="BF29" s="13">
        <f t="shared" si="37"/>
        <v>14.282696808795908</v>
      </c>
      <c r="BG29" s="20">
        <f t="shared" si="7"/>
        <v>109.72969694198622</v>
      </c>
      <c r="BH29" s="59">
        <f t="shared" si="8"/>
        <v>343.50587481489163</v>
      </c>
      <c r="BI29" s="59">
        <f ca="1">AVERAGE(OFFSET($BH$3,0,0,'Données projet'!$E$11+1,1))-AVERAGE(OFFSET($H$3,0,0,'Données projet'!$E$11+1,1))</f>
        <v>225.75484198243581</v>
      </c>
      <c r="BJ29" s="59">
        <f t="shared" si="38"/>
        <v>199.49566488421061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5.7054870492400278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5.7054870492400278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55.090472753216638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7</v>
      </c>
      <c r="BY29" s="12">
        <f>IF('Données projet'!$A$114&gt;35,BY28+BX29-CG28,IF(A29&lt;'Données projet'!$A$114,$BV$205^A29,IF(A29='Données projet'!$A$114,'Données projet'!$B$114,BY28+BX29-CG28)))</f>
        <v>69</v>
      </c>
      <c r="BZ29" s="13">
        <f>BY29*VLOOKUP('Données projet'!$B$12,Paramètres!$A$1:$I$89,3,0)*VLOOKUP('Données projet'!$B$12,Paramètres!$A$1:$I$89,5,0)</f>
        <v>65.660399999999996</v>
      </c>
      <c r="CA29" s="13">
        <f t="shared" si="39"/>
        <v>18.591800852927584</v>
      </c>
      <c r="CB29" s="20">
        <f t="shared" si="10"/>
        <v>146.73924981884886</v>
      </c>
      <c r="CC29" s="59">
        <f t="shared" si="11"/>
        <v>380.51542769175433</v>
      </c>
      <c r="CD29" s="59">
        <f ca="1">AVERAGE(OFFSET($CC$3,0,0,'Données projet'!$E$12+1,1))-AVERAGE(OFFSET($H$3,0,0,'Données projet'!$E$12+1,1))</f>
        <v>413.9352601863377</v>
      </c>
      <c r="CE29" s="59">
        <f t="shared" si="40"/>
        <v>255.13997349799286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0.87648691519413968</v>
      </c>
      <c r="CM29" s="21">
        <f>EXP(-LN(2)/2)*CM28+(1-EXP(-LN(2)/2))/(LN(2)/2)*CG29*CJ29*VLOOKUP('Données projet'!$B$12,Paramètres!$A$1:$I$89,3,0)*0.475*44/12</f>
        <v>1.2697660888385904</v>
      </c>
      <c r="CN29" s="22">
        <f t="shared" si="12"/>
        <v>2.1462530040327303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55.090472753216638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9.8000000000000007</v>
      </c>
      <c r="CT29" s="12">
        <f>IF('Données projet'!$A$140&gt;35,CT28+CS29-DB28,IF(A29&lt;'Données projet'!$A$140,$CQ$205^A29,IF(A29='Données projet'!$A$140,'Données projet'!$B$140,CT28+CS29-DB28)))</f>
        <v>74.8</v>
      </c>
      <c r="CU29" s="17">
        <f>CT29*VLOOKUP('Données projet'!$B$13,Paramètres!$A$1:$I$89,3,0)*VLOOKUP('Données projet'!$B$13,Paramètres!$A$1:$I$89,5,0)</f>
        <v>65.345280000000017</v>
      </c>
      <c r="CV29" s="13">
        <f t="shared" si="41"/>
        <v>18.512938248561991</v>
      </c>
      <c r="CW29" s="20">
        <f t="shared" si="13"/>
        <v>146.05306344957884</v>
      </c>
      <c r="CX29" s="59">
        <f t="shared" si="14"/>
        <v>379.82924132248428</v>
      </c>
      <c r="CY29" s="59">
        <f ca="1">AVERAGE(OFFSET($CX$3,0,0,'Données projet'!$E$13+1,1))-AVERAGE(OFFSET($H$3,0,0,'Données projet'!$E$13+1,1))</f>
        <v>280.59827778697775</v>
      </c>
      <c r="CZ29" s="59">
        <f t="shared" si="42"/>
        <v>270.86588231964726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>
        <f>EXP(-LN(2)/35)*DF28+(1-EXP(-LN(2)/35))/(LN(2)/35)*DB29*DC29*VLOOKUP('Données projet'!$B$13,Paramètres!$A$1:$I$89,3,0)*0.475*44/12</f>
        <v>0</v>
      </c>
      <c r="DG29" s="21">
        <f>EXP(-LN(2)/25)*DG28+(1-EXP(-LN(2)/25))/(LN(2)/25)*Calculateur!DB29*Calculateur!DD29*VLOOKUP('Données projet'!$B$13,Paramètres!$A$1:$I$89,3,0)*0.475*44/12</f>
        <v>4.8697851723524925</v>
      </c>
      <c r="DH29" s="21">
        <f>EXP(-LN(2)/2)*DH28+(1-EXP(-LN(2)/2))/(LN(2)/2)*DB29*DE29*VLOOKUP('Données projet'!$B$13,Paramètres!$A$1:$I$89,3,0)*0.475*44/12</f>
        <v>3.6008520958690537</v>
      </c>
      <c r="DI29" s="22">
        <f t="shared" si="15"/>
        <v>8.4706372682215463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55.090472753216638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4.4871794871794872</v>
      </c>
      <c r="DO29" s="12">
        <f>IF('Données projet'!$A$166&gt;35,DO28+DN29-DW28,IF(A29&lt;'Données projet'!$A$166,$DL$205^A29,IF(A29='Données projet'!$A$166,'Données projet'!$B$166,DO28+DN29-DW28)))</f>
        <v>45.512820512820525</v>
      </c>
      <c r="DP29" s="17">
        <f>DO29*VLOOKUP('Données projet'!$B$14,Paramètres!$A$1:$I$89,3,0)*VLOOKUP('Données projet'!$B$14,Paramètres!$A$1:$I$89,5,0)</f>
        <v>30.530000000000008</v>
      </c>
      <c r="DQ29" s="13">
        <f t="shared" si="43"/>
        <v>9.4505409687867896</v>
      </c>
      <c r="DR29" s="20">
        <f t="shared" si="16"/>
        <v>69.632775520636997</v>
      </c>
      <c r="DS29" s="59">
        <f t="shared" si="17"/>
        <v>303.40895339354245</v>
      </c>
      <c r="DT29" s="59">
        <f ca="1">AVERAGE(OFFSET($DS$3,0,0,'Données projet'!$E$14+1,1))-AVERAGE(OFFSET($H$3,0,0,'Données projet'!$E$14+1,1))</f>
        <v>211.42385430331873</v>
      </c>
      <c r="DU29" s="59">
        <f t="shared" si="44"/>
        <v>146.84623106782686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>
        <f>EXP(-LN(2)/35)*EA28+(1-EXP(-LN(2)/35))/(LN(2)/35)*DW29*DX29*VLOOKUP('Données projet'!$B$14,Paramètres!$A$1:$I$89,3,0)*0.475*44/12</f>
        <v>0</v>
      </c>
      <c r="EB29" s="21">
        <f>EXP(-LN(2)/25)*EB28+(1-EXP(-LN(2)/25))/(LN(2)/25)*Calculateur!DW29*Calculateur!DY29*VLOOKUP('Données projet'!$B$14,Paramètres!$A$1:$I$89,3,0)*0.475*44/12</f>
        <v>1.4996471195933936</v>
      </c>
      <c r="EC29" s="21">
        <f>EXP(-LN(2)/2)*EC28+(1-EXP(-LN(2)/2))/(LN(2)/2)*DW29*DZ29*VLOOKUP('Données projet'!$B$14,Paramètres!$A$1:$I$89,3,0)*0.475*44/12</f>
        <v>1.2152835978386627</v>
      </c>
      <c r="ED29" s="22">
        <f t="shared" si="18"/>
        <v>2.7149307174320563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55.090472753216638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2.1794871794871802</v>
      </c>
      <c r="EJ29" s="12">
        <f>IF('Données projet'!$A$192&gt;35,EJ28+EI29-ER28,IF(A29&lt;'Données projet'!$A$192,$EG$205^A29,IF(A29='Données projet'!$A$192,'Données projet'!$B$192,EJ28+EI29-ER28)))</f>
        <v>25.256410256410255</v>
      </c>
      <c r="EK29" s="17">
        <f>EJ29*VLOOKUP('Données projet'!$B$15,Paramètres!$A$1:$I$89,3,0)*VLOOKUP('Données projet'!$B$15,Paramètres!$A$1:$I$89,5,0)</f>
        <v>27.185999999999996</v>
      </c>
      <c r="EL29" s="13">
        <f t="shared" si="45"/>
        <v>8.5298144310632118</v>
      </c>
      <c r="EM29" s="20">
        <f t="shared" si="19"/>
        <v>62.205043467435083</v>
      </c>
      <c r="EN29" s="59">
        <f t="shared" si="20"/>
        <v>295.98122134034054</v>
      </c>
      <c r="EO29" s="59">
        <f ca="1">AVERAGE(OFFSET($EN$3,0,0,'Données projet'!$E$15+1,1))-AVERAGE(OFFSET($H$3,0,0,'Données projet'!$E$15+1,1))</f>
        <v>212.00478362779876</v>
      </c>
      <c r="EP29" s="59">
        <f t="shared" si="46"/>
        <v>133.62262474506707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>
        <f>EXP(-LN(2)/35)*EV28+(1-EXP(-LN(2)/35))/(LN(2)/35)*ER29*ES29*VLOOKUP('Données projet'!$B$15,Paramètres!$A$1:$I$89,3,0)*0.475*44/12</f>
        <v>0</v>
      </c>
      <c r="EW29" s="21">
        <f>EXP(-LN(2)/25)*EW28+(1-EXP(-LN(2)/25))/(LN(2)/25)*Calculateur!ER29*Calculateur!ET29*VLOOKUP('Données projet'!$B$15,Paramètres!$A$1:$I$89,3,0)*0.475*44/12</f>
        <v>0.7149778981919408</v>
      </c>
      <c r="EX29" s="21">
        <f>EXP(-LN(2)/2)*EX28+(1-EXP(-LN(2)/2))/(LN(2)/2)*ER29*EU29*VLOOKUP('Données projet'!$B$15,Paramètres!$A$1:$I$89,3,0)*0.475*44/12</f>
        <v>1.0357880690005838</v>
      </c>
      <c r="EY29" s="22">
        <f t="shared" si="21"/>
        <v>1.7507659671925246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55.090472753216638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2.1794871794871802</v>
      </c>
      <c r="FE29" s="12">
        <f>IF('Données projet'!$A$218&gt;35,FE28+FD29-FM28,IF(A29&lt;'Données projet'!$A$218,$FB$205^A29,IF(A29='Données projet'!$A$218,'Données projet'!$B$218,FE28+FD29-FM28)))</f>
        <v>25.256410256410255</v>
      </c>
      <c r="FF29" s="17">
        <f>FE29*VLOOKUP('Données projet'!$B$16,Paramètres!$A$1:$I$89,3,0)*VLOOKUP('Données projet'!$B$16,Paramètres!$A$1:$I$89,5,0)</f>
        <v>24.428000000000001</v>
      </c>
      <c r="FG29" s="13">
        <f t="shared" si="47"/>
        <v>7.7605021454974521</v>
      </c>
      <c r="FH29" s="20">
        <f t="shared" si="22"/>
        <v>56.061641236741394</v>
      </c>
      <c r="FI29" s="59">
        <f t="shared" si="23"/>
        <v>289.83781910964683</v>
      </c>
      <c r="FJ29" s="59">
        <f ca="1">AVERAGE(OFFSET($FI$3,0,0,'Données projet'!$E$16+1,1))-AVERAGE(OFFSET($H$3,0,0,'Données projet'!$E$16+1,1))</f>
        <v>196.65742339093146</v>
      </c>
      <c r="FK29" s="59">
        <f t="shared" si="48"/>
        <v>125.41980634506001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>
        <f>EXP(-LN(2)/35)*FQ28+(1-EXP(-LN(2)/35))/(LN(2)/35)*FM29*FN29*VLOOKUP('Données projet'!$B$16,Paramètres!$A$1:$I$89,3,0)*0.475*44/12</f>
        <v>0</v>
      </c>
      <c r="FR29" s="21">
        <f>EXP(-LN(2)/25)*FR28+(1-EXP(-LN(2)/25))/(LN(2)/25)*Calculateur!FM29*Calculateur!FO29*VLOOKUP('Données projet'!$B$16,Paramètres!$A$1:$I$89,3,0)*0.475*44/12</f>
        <v>0.64244390852029476</v>
      </c>
      <c r="FS29" s="21">
        <f>EXP(-LN(2)/2)*FS28+(1-EXP(-LN(2)/2))/(LN(2)/2)*FM29*FP29*VLOOKUP('Données projet'!$B$16,Paramètres!$A$1:$I$89,3,0)*0.475*44/12</f>
        <v>0.93070811997153924</v>
      </c>
      <c r="FT29" s="22">
        <f t="shared" si="24"/>
        <v>1.5731520284918341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55.090472753216638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55.090472753216638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>
      <c r="A30" s="10">
        <f t="shared" si="31"/>
        <v>27</v>
      </c>
      <c r="B30" s="73">
        <f>'Scénario référence'!$B$16*5+'Scénario référence'!$B$17*0+'Scénario référence'!$B$18*5</f>
        <v>4.6999999999999993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1.4405040000000002</v>
      </c>
      <c r="D30" s="11">
        <f t="shared" si="32"/>
        <v>0.63623191305394411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17.161189966747791</v>
      </c>
      <c r="H30" s="67">
        <f t="shared" si="1"/>
        <v>191.35031504856897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55.34911971823901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>
        <f>VLOOKUP(A30,'Données projet'!$A$35:$I$55,2,0)</f>
        <v>155.85</v>
      </c>
      <c r="L30" s="12">
        <f>VLOOKUP(A30,'Données projet'!$A$35:$I$55,9,0)</f>
        <v>15.782</v>
      </c>
      <c r="M30" s="12">
        <f t="array" ref="M30">INDEX(L:L,MIN(IF(ISNUMBER(L30:L226),ROW(L30:L226),"")))</f>
        <v>15.782</v>
      </c>
      <c r="N30" s="13">
        <f>IF('Données projet'!$A$36&gt;35,N29+M30-V29,IF(A30&lt;'Données projet'!$A$36,$K$205^A30,IF(A30='Données projet'!$A$36,'Données projet'!$B$36,N29+M30-V29)))</f>
        <v>155.85000000000002</v>
      </c>
      <c r="O30" s="13">
        <f>N30*VLOOKUP('Données projet'!$B$9,Paramètres!$A$1:$I$89,3,0)*VLOOKUP('Données projet'!$B$9,Paramètres!$A$1:$I$89,5,0)</f>
        <v>93.198300000000032</v>
      </c>
      <c r="P30" s="13">
        <f t="shared" si="33"/>
        <v>25.335003309876146</v>
      </c>
      <c r="Q30" s="20">
        <f t="shared" si="2"/>
        <v>206.44550326470099</v>
      </c>
      <c r="R30" s="59">
        <f t="shared" si="0"/>
        <v>442.39227556491068</v>
      </c>
      <c r="S30" s="59">
        <f ca="1">AVERAGE(OFFSET($R$3,0,0,'Données projet'!$E$9+1,1))-AVERAGE(OFFSET($H$3,0,0,'Données projet'!$E$9+1,1))</f>
        <v>366.93249569585623</v>
      </c>
      <c r="T30" s="59">
        <f t="shared" si="34"/>
        <v>272.47262353368501</v>
      </c>
      <c r="U30" s="15">
        <f>IF(ISNA(VLOOKUP(A30,'Données projet'!$A$35:$I$55,3,0)),0,VLOOKUP(A30,'Données projet'!$A$35:$I$55,3,0))</f>
        <v>2</v>
      </c>
      <c r="V30" s="15">
        <f>IF(ISNA(VLOOKUP(A30,'Données projet'!$A$35:$I$55,4,0)),0,VLOOKUP(A30,'Données projet'!$A$35:$I$55,4,0))</f>
        <v>37.929999999999993</v>
      </c>
      <c r="W30" s="16">
        <f>IF(ISNA(VLOOKUP(A30,'Données projet'!$A$35:$I$55,5,0)),0%,VLOOKUP(A30,'Données projet'!$A$35:$I$55,5,0)*VLOOKUP('Données projet'!$B$9,Paramètres!$A$1:$I$89,7,0))</f>
        <v>0.1125</v>
      </c>
      <c r="X30" s="16">
        <f>IF(ISNA(VLOOKUP(A30,'Données projet'!$A$35:$I$55,6,0)),0%,VLOOKUP(A30,'Données projet'!$A$35:$I$55,6,0)*VLOOKUP('Données projet'!$B$9,Paramètres!$A$1:$I$89,7,0))</f>
        <v>0.16650000000000001</v>
      </c>
      <c r="Y30" s="16">
        <f>IF(ISNA(VLOOKUP(A30,'Données projet'!$A$35:$I$55,7,0)),0%,VLOOKUP(A30,'Données projet'!$A$35:$I$55,7,0))</f>
        <v>0.38</v>
      </c>
      <c r="Z30" s="21">
        <f>EXP(-LN(2)/35)*Z29+(1-EXP(-LN(2)/35))/(LN(2)/35)*V30*W30*VLOOKUP('Données projet'!$B$9,Paramètres!$A$1:$I$89,3,0)*0.475*44/12</f>
        <v>7.6383740951040968</v>
      </c>
      <c r="AA30" s="21">
        <f>EXP(-LN(2)/25)*AA29+(1-EXP(-LN(2)/25))/(LN(2)/25)*Calculateur!V30*Calculateur!X30*VLOOKUP('Données projet'!$B$9,Paramètres!$A$1:$I$89,3,0)*0.475*44/12</f>
        <v>11.016786329451062</v>
      </c>
      <c r="AB30" s="21">
        <f>EXP(-LN(2)/2)*AB29+(1-EXP(-LN(2)/2))/(LN(2)/2)*V30*Y30*VLOOKUP('Données projet'!$B$9,Paramètres!$A$1:$I$89,3,0)*0.475*44/12</f>
        <v>12.152246238640709</v>
      </c>
      <c r="AC30" s="22">
        <f t="shared" si="3"/>
        <v>30.80740666319587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55.34911971823901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10.064285714285713</v>
      </c>
      <c r="AI30" s="13">
        <f>IF('Données projet'!$A$62&gt;35,AI29+AH30-AQ29,IF(A30&lt;'Données projet'!$A$62,$AF$205^A30,IF(A30='Données projet'!$A$62,'Données projet'!$B$62,AI29+AH30-AQ29)))</f>
        <v>271.73571428571427</v>
      </c>
      <c r="AJ30" s="13">
        <f>AI30*VLOOKUP('Données projet'!$B$10,Paramètres!$A$1:$I$89,3,0)*VLOOKUP('Données projet'!$B$10,Paramètres!$A$1:$I$89,5,0)</f>
        <v>127.17231428571426</v>
      </c>
      <c r="AK30" s="13">
        <f t="shared" si="35"/>
        <v>33.342130258642648</v>
      </c>
      <c r="AL30" s="20">
        <f t="shared" si="4"/>
        <v>279.5626575814216</v>
      </c>
      <c r="AM30" s="59">
        <f t="shared" si="5"/>
        <v>515.50942988163126</v>
      </c>
      <c r="AN30" s="59">
        <f ca="1">AVERAGE(OFFSET($AM$3,0,0,'Données projet'!$E$10+1,1))-AVERAGE(OFFSET($H$3,0,0,'Données projet'!$E$10+1,1))</f>
        <v>382.89338473200229</v>
      </c>
      <c r="AO30" s="59">
        <f t="shared" si="36"/>
        <v>360.46248248971744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55.34911971823901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5.1282051282051295</v>
      </c>
      <c r="BD30" s="12">
        <f>IF('Données projet'!$A$88&gt;35,BD29+BC30-BL29,IF(A30&lt;'Données projet'!$A$88,$BA$205^A30,IF(A30='Données projet'!$A$88,'Données projet'!$B$88,BD29+BC30-BL29)))</f>
        <v>60.897435897435905</v>
      </c>
      <c r="BE30" s="13">
        <f>BD30*VLOOKUP('Données projet'!$B$11,Paramètres!$A$1:$I$89,3,0)*VLOOKUP('Données projet'!$B$11,Paramètres!$A$1:$I$89,5,0)</f>
        <v>53.20000000000001</v>
      </c>
      <c r="BF30" s="13">
        <f t="shared" si="37"/>
        <v>15.437166316247742</v>
      </c>
      <c r="BG30" s="20">
        <f t="shared" si="7"/>
        <v>119.54306466746483</v>
      </c>
      <c r="BH30" s="59">
        <f t="shared" si="8"/>
        <v>355.48983696767453</v>
      </c>
      <c r="BI30" s="59">
        <f ca="1">AVERAGE(OFFSET($BH$3,0,0,'Données projet'!$E$11+1,1))-AVERAGE(OFFSET($H$3,0,0,'Données projet'!$E$11+1,1))</f>
        <v>225.75484198243581</v>
      </c>
      <c r="BJ30" s="59">
        <f t="shared" si="38"/>
        <v>199.49566488421061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5.5494702058400351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5.5494702058400351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55.34911971823901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7</v>
      </c>
      <c r="BY30" s="12">
        <f>IF('Données projet'!$A$114&gt;35,BY29+BX30-CG29,IF(A30&lt;'Données projet'!$A$114,$BV$205^A30,IF(A30='Données projet'!$A$114,'Données projet'!$B$114,BY29+BX30-CG29)))</f>
        <v>76</v>
      </c>
      <c r="BZ30" s="13">
        <f>BY30*VLOOKUP('Données projet'!$B$12,Paramètres!$A$1:$I$89,3,0)*VLOOKUP('Données projet'!$B$12,Paramètres!$A$1:$I$89,5,0)</f>
        <v>72.321600000000004</v>
      </c>
      <c r="CA30" s="13">
        <f t="shared" si="39"/>
        <v>20.248893319861061</v>
      </c>
      <c r="CB30" s="20">
        <f t="shared" si="10"/>
        <v>161.22694253209136</v>
      </c>
      <c r="CC30" s="59">
        <f t="shared" si="11"/>
        <v>397.17371483230102</v>
      </c>
      <c r="CD30" s="59">
        <f ca="1">AVERAGE(OFFSET($CC$3,0,0,'Données projet'!$E$12+1,1))-AVERAGE(OFFSET($H$3,0,0,'Données projet'!$E$12+1,1))</f>
        <v>413.9352601863377</v>
      </c>
      <c r="CE30" s="59">
        <f t="shared" si="40"/>
        <v>255.13997349799286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0.85251933440571226</v>
      </c>
      <c r="CM30" s="21">
        <f>EXP(-LN(2)/2)*CM29+(1-EXP(-LN(2)/2))/(LN(2)/2)*CG30*CJ30*VLOOKUP('Données projet'!$B$12,Paramètres!$A$1:$I$89,3,0)*0.475*44/12</f>
        <v>0.89786021193848753</v>
      </c>
      <c r="CN30" s="22">
        <f t="shared" si="12"/>
        <v>1.7503795463441998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55.34911971823901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9.8000000000000007</v>
      </c>
      <c r="CT30" s="12">
        <f>IF('Données projet'!$A$140&gt;35,CT29+CS30-DB29,IF(A30&lt;'Données projet'!$A$140,$CQ$205^A30,IF(A30='Données projet'!$A$140,'Données projet'!$B$140,CT29+CS30-DB29)))</f>
        <v>84.6</v>
      </c>
      <c r="CU30" s="17">
        <f>CT30*VLOOKUP('Données projet'!$B$13,Paramètres!$A$1:$I$89,3,0)*VLOOKUP('Données projet'!$B$13,Paramètres!$A$1:$I$89,5,0)</f>
        <v>73.906560000000013</v>
      </c>
      <c r="CV30" s="13">
        <f t="shared" si="41"/>
        <v>20.640506648584481</v>
      </c>
      <c r="CW30" s="20">
        <f t="shared" si="13"/>
        <v>164.6694744129513</v>
      </c>
      <c r="CX30" s="59">
        <f t="shared" si="14"/>
        <v>400.61624671316099</v>
      </c>
      <c r="CY30" s="59">
        <f ca="1">AVERAGE(OFFSET($CX$3,0,0,'Données projet'!$E$13+1,1))-AVERAGE(OFFSET($H$3,0,0,'Données projet'!$E$13+1,1))</f>
        <v>280.59827778697775</v>
      </c>
      <c r="CZ30" s="59">
        <f t="shared" si="42"/>
        <v>270.86588231964726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>
        <f>EXP(-LN(2)/35)*DF29+(1-EXP(-LN(2)/35))/(LN(2)/35)*DB30*DC30*VLOOKUP('Données projet'!$B$13,Paramètres!$A$1:$I$89,3,0)*0.475*44/12</f>
        <v>0</v>
      </c>
      <c r="DG30" s="21">
        <f>EXP(-LN(2)/25)*DG29+(1-EXP(-LN(2)/25))/(LN(2)/25)*Calculateur!DB30*Calculateur!DD30*VLOOKUP('Données projet'!$B$13,Paramètres!$A$1:$I$89,3,0)*0.475*44/12</f>
        <v>4.7366206407236415</v>
      </c>
      <c r="DH30" s="21">
        <f>EXP(-LN(2)/2)*DH29+(1-EXP(-LN(2)/2))/(LN(2)/2)*DB30*DE30*VLOOKUP('Données projet'!$B$13,Paramètres!$A$1:$I$89,3,0)*0.475*44/12</f>
        <v>2.5461869350388002</v>
      </c>
      <c r="DI30" s="22">
        <f t="shared" si="15"/>
        <v>7.2828075757624422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55.34911971823901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4.4871794871794872</v>
      </c>
      <c r="DO30" s="12">
        <f>IF('Données projet'!$A$166&gt;35,DO29+DN30-DW29,IF(A30&lt;'Données projet'!$A$166,$DL$205^A30,IF(A30='Données projet'!$A$166,'Données projet'!$B$166,DO29+DN30-DW29)))</f>
        <v>50.000000000000014</v>
      </c>
      <c r="DP30" s="17">
        <f>DO30*VLOOKUP('Données projet'!$B$14,Paramètres!$A$1:$I$89,3,0)*VLOOKUP('Données projet'!$B$14,Paramètres!$A$1:$I$89,5,0)</f>
        <v>33.540000000000013</v>
      </c>
      <c r="DQ30" s="13">
        <f t="shared" si="43"/>
        <v>10.269270252156671</v>
      </c>
      <c r="DR30" s="20">
        <f t="shared" si="16"/>
        <v>76.301145689172898</v>
      </c>
      <c r="DS30" s="59">
        <f t="shared" si="17"/>
        <v>312.24791798938259</v>
      </c>
      <c r="DT30" s="59">
        <f ca="1">AVERAGE(OFFSET($DS$3,0,0,'Données projet'!$E$14+1,1))-AVERAGE(OFFSET($H$3,0,0,'Données projet'!$E$14+1,1))</f>
        <v>211.42385430331873</v>
      </c>
      <c r="DU30" s="59">
        <f t="shared" si="44"/>
        <v>146.84623106782686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>
        <f>EXP(-LN(2)/35)*EA29+(1-EXP(-LN(2)/35))/(LN(2)/35)*DW30*DX30*VLOOKUP('Données projet'!$B$14,Paramètres!$A$1:$I$89,3,0)*0.475*44/12</f>
        <v>0</v>
      </c>
      <c r="EB30" s="21">
        <f>EXP(-LN(2)/25)*EB29+(1-EXP(-LN(2)/25))/(LN(2)/25)*Calculateur!DW30*Calculateur!DY30*VLOOKUP('Données projet'!$B$14,Paramètres!$A$1:$I$89,3,0)*0.475*44/12</f>
        <v>1.4586391902450977</v>
      </c>
      <c r="EC30" s="21">
        <f>EXP(-LN(2)/2)*EC29+(1-EXP(-LN(2)/2))/(LN(2)/2)*DW30*DZ30*VLOOKUP('Données projet'!$B$14,Paramètres!$A$1:$I$89,3,0)*0.475*44/12</f>
        <v>0.85933527309650348</v>
      </c>
      <c r="ED30" s="22">
        <f t="shared" si="18"/>
        <v>2.3179744633416011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55.34911971823901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2.1794871794871802</v>
      </c>
      <c r="EJ30" s="12">
        <f>IF('Données projet'!$A$192&gt;35,EJ29+EI30-ER29,IF(A30&lt;'Données projet'!$A$192,$EG$205^A30,IF(A30='Données projet'!$A$192,'Données projet'!$B$192,EJ29+EI30-ER29)))</f>
        <v>27.435897435897434</v>
      </c>
      <c r="EK30" s="17">
        <f>EJ30*VLOOKUP('Données projet'!$B$15,Paramètres!$A$1:$I$89,3,0)*VLOOKUP('Données projet'!$B$15,Paramètres!$A$1:$I$89,5,0)</f>
        <v>29.532</v>
      </c>
      <c r="EL30" s="13">
        <f t="shared" si="45"/>
        <v>9.1770444602198857</v>
      </c>
      <c r="EM30" s="20">
        <f t="shared" si="19"/>
        <v>67.418252434882959</v>
      </c>
      <c r="EN30" s="59">
        <f t="shared" si="20"/>
        <v>303.36502473509267</v>
      </c>
      <c r="EO30" s="59">
        <f ca="1">AVERAGE(OFFSET($EN$3,0,0,'Données projet'!$E$15+1,1))-AVERAGE(OFFSET($H$3,0,0,'Données projet'!$E$15+1,1))</f>
        <v>212.00478362779876</v>
      </c>
      <c r="EP30" s="59">
        <f t="shared" si="46"/>
        <v>133.62262474506707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>
        <f>EXP(-LN(2)/35)*EV29+(1-EXP(-LN(2)/35))/(LN(2)/35)*ER30*ES30*VLOOKUP('Données projet'!$B$15,Paramètres!$A$1:$I$89,3,0)*0.475*44/12</f>
        <v>0</v>
      </c>
      <c r="EW30" s="21">
        <f>EXP(-LN(2)/25)*EW29+(1-EXP(-LN(2)/25))/(LN(2)/25)*Calculateur!ER30*Calculateur!ET30*VLOOKUP('Données projet'!$B$15,Paramètres!$A$1:$I$89,3,0)*0.475*44/12</f>
        <v>0.69542678996682861</v>
      </c>
      <c r="EX30" s="21">
        <f>EXP(-LN(2)/2)*EX29+(1-EXP(-LN(2)/2))/(LN(2)/2)*ER30*EU30*VLOOKUP('Données projet'!$B$15,Paramètres!$A$1:$I$89,3,0)*0.475*44/12</f>
        <v>0.73241276746243245</v>
      </c>
      <c r="EY30" s="22">
        <f t="shared" si="21"/>
        <v>1.4278395574292611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55.34911971823901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2.1794871794871802</v>
      </c>
      <c r="FE30" s="12">
        <f>IF('Données projet'!$A$218&gt;35,FE29+FD30-FM29,IF(A30&lt;'Données projet'!$A$218,$FB$205^A30,IF(A30='Données projet'!$A$218,'Données projet'!$B$218,FE29+FD30-FM29)))</f>
        <v>27.435897435897434</v>
      </c>
      <c r="FF30" s="17">
        <f>FE30*VLOOKUP('Données projet'!$B$16,Paramètres!$A$1:$I$89,3,0)*VLOOKUP('Données projet'!$B$16,Paramètres!$A$1:$I$89,5,0)</f>
        <v>26.536000000000001</v>
      </c>
      <c r="FG30" s="13">
        <f t="shared" si="47"/>
        <v>8.3493578668609789</v>
      </c>
      <c r="FH30" s="20">
        <f t="shared" si="22"/>
        <v>60.758664951449532</v>
      </c>
      <c r="FI30" s="59">
        <f t="shared" si="23"/>
        <v>296.70543725165919</v>
      </c>
      <c r="FJ30" s="59">
        <f ca="1">AVERAGE(OFFSET($FI$3,0,0,'Données projet'!$E$16+1,1))-AVERAGE(OFFSET($H$3,0,0,'Données projet'!$E$16+1,1))</f>
        <v>196.65742339093146</v>
      </c>
      <c r="FK30" s="59">
        <f t="shared" si="48"/>
        <v>125.41980634506001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>
        <f>EXP(-LN(2)/35)*FQ29+(1-EXP(-LN(2)/35))/(LN(2)/35)*FM30*FN30*VLOOKUP('Données projet'!$B$16,Paramètres!$A$1:$I$89,3,0)*0.475*44/12</f>
        <v>0</v>
      </c>
      <c r="FR30" s="21">
        <f>EXP(-LN(2)/25)*FR29+(1-EXP(-LN(2)/25))/(LN(2)/25)*Calculateur!FM30*Calculateur!FO30*VLOOKUP('Données projet'!$B$16,Paramètres!$A$1:$I$89,3,0)*0.475*44/12</f>
        <v>0.62487624605715053</v>
      </c>
      <c r="FS30" s="21">
        <f>EXP(-LN(2)/2)*FS29+(1-EXP(-LN(2)/2))/(LN(2)/2)*FM30*FP30*VLOOKUP('Données projet'!$B$16,Paramètres!$A$1:$I$89,3,0)*0.475*44/12</f>
        <v>0.65811002293725829</v>
      </c>
      <c r="FT30" s="22">
        <f t="shared" si="24"/>
        <v>1.2829862689944087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55.34911971823901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55.34911971823901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>
      <c r="A31" s="10">
        <f t="shared" si="31"/>
        <v>28</v>
      </c>
      <c r="B31" s="73">
        <f>'Scénario référence'!$B$16*5+'Scénario référence'!$B$17*0+'Scénario référence'!$B$18*5</f>
        <v>4.6999999999999993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1.4938560000000003</v>
      </c>
      <c r="D31" s="11">
        <f t="shared" si="32"/>
        <v>0.65700891682857998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17.19552340007499</v>
      </c>
      <c r="H31" s="67">
        <f t="shared" si="1"/>
        <v>191.47942306347645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55.603279736666224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16.621666666666666</v>
      </c>
      <c r="N31" s="13">
        <f>IF('Données projet'!$A$36&gt;35,N30+M31-V30,IF(A31&lt;'Données projet'!$A$36,$K$205^A31,IF(A31='Données projet'!$A$36,'Données projet'!$B$36,N30+M31-V30)))</f>
        <v>134.54166666666669</v>
      </c>
      <c r="O31" s="13">
        <f>N31*VLOOKUP('Données projet'!$B$9,Paramètres!$A$1:$I$89,3,0)*VLOOKUP('Données projet'!$B$9,Paramètres!$A$1:$I$89,5,0)</f>
        <v>80.455916666666681</v>
      </c>
      <c r="P31" s="13">
        <f t="shared" si="33"/>
        <v>22.248621228387805</v>
      </c>
      <c r="Q31" s="20">
        <f t="shared" si="2"/>
        <v>178.8770701672199</v>
      </c>
      <c r="R31" s="59">
        <f t="shared" si="0"/>
        <v>416.97798475721828</v>
      </c>
      <c r="S31" s="59">
        <f ca="1">AVERAGE(OFFSET($R$3,0,0,'Données projet'!$E$9+1,1))-AVERAGE(OFFSET($H$3,0,0,'Données projet'!$E$9+1,1))</f>
        <v>366.93249569585623</v>
      </c>
      <c r="T31" s="59">
        <f t="shared" si="34"/>
        <v>272.47262353368501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7.4885902380472702</v>
      </c>
      <c r="AA31" s="21">
        <f>EXP(-LN(2)/25)*AA30+(1-EXP(-LN(2)/25))/(LN(2)/25)*Calculateur!V31*Calculateur!X31*VLOOKUP('Données projet'!$B$9,Paramètres!$A$1:$I$89,3,0)*0.475*44/12</f>
        <v>10.715531727924608</v>
      </c>
      <c r="AB31" s="21">
        <f>EXP(-LN(2)/2)*AB30+(1-EXP(-LN(2)/2))/(LN(2)/2)*V31*Y31*VLOOKUP('Données projet'!$B$9,Paramètres!$A$1:$I$89,3,0)*0.475*44/12</f>
        <v>8.5929357219915623</v>
      </c>
      <c r="AC31" s="22">
        <f t="shared" si="3"/>
        <v>26.797057687963441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55.603279736666224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10.064285714285713</v>
      </c>
      <c r="AI31" s="13">
        <f>IF('Données projet'!$A$62&gt;35,AI30+AH31-AQ30,IF(A31&lt;'Données projet'!$A$62,$AF$205^A31,IF(A31='Données projet'!$A$62,'Données projet'!$B$62,AI30+AH31-AQ30)))</f>
        <v>281.79999999999995</v>
      </c>
      <c r="AJ31" s="13">
        <f>AI31*VLOOKUP('Données projet'!$B$10,Paramètres!$A$1:$I$89,3,0)*VLOOKUP('Données projet'!$B$10,Paramètres!$A$1:$I$89,5,0)</f>
        <v>131.88239999999999</v>
      </c>
      <c r="AK31" s="13">
        <f t="shared" si="35"/>
        <v>34.430962101284734</v>
      </c>
      <c r="AL31" s="20">
        <f t="shared" si="4"/>
        <v>289.66243899307091</v>
      </c>
      <c r="AM31" s="59">
        <f t="shared" si="5"/>
        <v>527.76335358306926</v>
      </c>
      <c r="AN31" s="59">
        <f ca="1">AVERAGE(OFFSET($AM$3,0,0,'Données projet'!$E$10+1,1))-AVERAGE(OFFSET($H$3,0,0,'Données projet'!$E$10+1,1))</f>
        <v>382.89338473200229</v>
      </c>
      <c r="AO31" s="59">
        <f t="shared" si="36"/>
        <v>360.46248248971744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55.603279736666224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5.1282051282051295</v>
      </c>
      <c r="BD31" s="12">
        <f>IF('Données projet'!$A$88&gt;35,BD30+BC31-BL30,IF(A31&lt;'Données projet'!$A$88,$BA$205^A31,IF(A31='Données projet'!$A$88,'Données projet'!$B$88,BD30+BC31-BL30)))</f>
        <v>66.025641025641036</v>
      </c>
      <c r="BE31" s="13">
        <f>BD31*VLOOKUP('Données projet'!$B$11,Paramètres!$A$1:$I$89,3,0)*VLOOKUP('Données projet'!$B$11,Paramètres!$A$1:$I$89,5,0)</f>
        <v>57.680000000000021</v>
      </c>
      <c r="BF31" s="13">
        <f t="shared" si="37"/>
        <v>16.580360816013417</v>
      </c>
      <c r="BG31" s="20">
        <f t="shared" si="7"/>
        <v>129.33679508789007</v>
      </c>
      <c r="BH31" s="59">
        <f t="shared" si="8"/>
        <v>367.43770967788845</v>
      </c>
      <c r="BI31" s="59">
        <f ca="1">AVERAGE(OFFSET($BH$3,0,0,'Données projet'!$E$11+1,1))-AVERAGE(OFFSET($H$3,0,0,'Données projet'!$E$11+1,1))</f>
        <v>225.75484198243581</v>
      </c>
      <c r="BJ31" s="59">
        <f t="shared" si="38"/>
        <v>199.49566488421061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5.3977196512273844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5.3977196512273844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55.603279736666224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7</v>
      </c>
      <c r="BY31" s="12">
        <f>IF('Données projet'!$A$114&gt;35,BY30+BX31-CG30,IF(A31&lt;'Données projet'!$A$114,$BV$205^A31,IF(A31='Données projet'!$A$114,'Données projet'!$B$114,BY30+BX31-CG30)))</f>
        <v>83</v>
      </c>
      <c r="BZ31" s="13">
        <f>BY31*VLOOKUP('Données projet'!$B$12,Paramètres!$A$1:$I$89,3,0)*VLOOKUP('Données projet'!$B$12,Paramètres!$A$1:$I$89,5,0)</f>
        <v>78.982799999999997</v>
      </c>
      <c r="CA31" s="13">
        <f t="shared" si="39"/>
        <v>21.888288514633821</v>
      </c>
      <c r="CB31" s="20">
        <f t="shared" si="10"/>
        <v>175.68381249632054</v>
      </c>
      <c r="CC31" s="59">
        <f t="shared" si="11"/>
        <v>413.78472708631892</v>
      </c>
      <c r="CD31" s="59">
        <f ca="1">AVERAGE(OFFSET($CC$3,0,0,'Données projet'!$E$12+1,1))-AVERAGE(OFFSET($H$3,0,0,'Données projet'!$E$12+1,1))</f>
        <v>413.9352601863377</v>
      </c>
      <c r="CE31" s="59">
        <f t="shared" si="40"/>
        <v>255.13997349799286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0.82920714837434473</v>
      </c>
      <c r="CM31" s="21">
        <f>EXP(-LN(2)/2)*CM30+(1-EXP(-LN(2)/2))/(LN(2)/2)*CG31*CJ31*VLOOKUP('Données projet'!$B$12,Paramètres!$A$1:$I$89,3,0)*0.475*44/12</f>
        <v>0.63488304441929533</v>
      </c>
      <c r="CN31" s="22">
        <f t="shared" si="12"/>
        <v>1.4640901927936401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55.603279736666224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9.8000000000000007</v>
      </c>
      <c r="CT31" s="12">
        <f>IF('Données projet'!$A$140&gt;35,CT30+CS31-DB30,IF(A31&lt;'Données projet'!$A$140,$CQ$205^A31,IF(A31='Données projet'!$A$140,'Données projet'!$B$140,CT30+CS31-DB30)))</f>
        <v>94.399999999999991</v>
      </c>
      <c r="CU31" s="17">
        <f>CT31*VLOOKUP('Données projet'!$B$13,Paramètres!$A$1:$I$89,3,0)*VLOOKUP('Données projet'!$B$13,Paramètres!$A$1:$I$89,5,0)</f>
        <v>82.467839999999995</v>
      </c>
      <c r="CV31" s="13">
        <f t="shared" si="41"/>
        <v>22.739512759227473</v>
      </c>
      <c r="CW31" s="20">
        <f t="shared" si="13"/>
        <v>183.23613938898782</v>
      </c>
      <c r="CX31" s="59">
        <f t="shared" si="14"/>
        <v>421.33705397898621</v>
      </c>
      <c r="CY31" s="59">
        <f ca="1">AVERAGE(OFFSET($CX$3,0,0,'Données projet'!$E$13+1,1))-AVERAGE(OFFSET($H$3,0,0,'Données projet'!$E$13+1,1))</f>
        <v>280.59827778697775</v>
      </c>
      <c r="CZ31" s="59">
        <f t="shared" si="42"/>
        <v>270.86588231964726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>
        <f>EXP(-LN(2)/35)*DF30+(1-EXP(-LN(2)/35))/(LN(2)/35)*DB31*DC31*VLOOKUP('Données projet'!$B$13,Paramètres!$A$1:$I$89,3,0)*0.475*44/12</f>
        <v>0</v>
      </c>
      <c r="DG31" s="21">
        <f>EXP(-LN(2)/25)*DG30+(1-EXP(-LN(2)/25))/(LN(2)/25)*Calculateur!DB31*Calculateur!DD31*VLOOKUP('Données projet'!$B$13,Paramètres!$A$1:$I$89,3,0)*0.475*44/12</f>
        <v>4.6070975002149996</v>
      </c>
      <c r="DH31" s="21">
        <f>EXP(-LN(2)/2)*DH30+(1-EXP(-LN(2)/2))/(LN(2)/2)*DB31*DE31*VLOOKUP('Données projet'!$B$13,Paramètres!$A$1:$I$89,3,0)*0.475*44/12</f>
        <v>1.8004260479345271</v>
      </c>
      <c r="DI31" s="22">
        <f t="shared" si="15"/>
        <v>6.407523548149527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55.603279736666224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4.4871794871794872</v>
      </c>
      <c r="DO31" s="12">
        <f>IF('Données projet'!$A$166&gt;35,DO30+DN31-DW30,IF(A31&lt;'Données projet'!$A$166,$DL$205^A31,IF(A31='Données projet'!$A$166,'Données projet'!$B$166,DO30+DN31-DW30)))</f>
        <v>54.487179487179503</v>
      </c>
      <c r="DP31" s="17">
        <f>DO31*VLOOKUP('Données projet'!$B$14,Paramètres!$A$1:$I$89,3,0)*VLOOKUP('Données projet'!$B$14,Paramètres!$A$1:$I$89,5,0)</f>
        <v>36.550000000000011</v>
      </c>
      <c r="DQ31" s="13">
        <f t="shared" si="43"/>
        <v>11.079479416252299</v>
      </c>
      <c r="DR31" s="20">
        <f t="shared" si="16"/>
        <v>82.954676649972768</v>
      </c>
      <c r="DS31" s="59">
        <f t="shared" si="17"/>
        <v>321.05559123997114</v>
      </c>
      <c r="DT31" s="59">
        <f ca="1">AVERAGE(OFFSET($DS$3,0,0,'Données projet'!$E$14+1,1))-AVERAGE(OFFSET($H$3,0,0,'Données projet'!$E$14+1,1))</f>
        <v>211.42385430331873</v>
      </c>
      <c r="DU31" s="59">
        <f t="shared" si="44"/>
        <v>146.84623106782686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>
        <f>EXP(-LN(2)/35)*EA30+(1-EXP(-LN(2)/35))/(LN(2)/35)*DW31*DX31*VLOOKUP('Données projet'!$B$14,Paramètres!$A$1:$I$89,3,0)*0.475*44/12</f>
        <v>0</v>
      </c>
      <c r="EB31" s="21">
        <f>EXP(-LN(2)/25)*EB30+(1-EXP(-LN(2)/25))/(LN(2)/25)*Calculateur!DW31*Calculateur!DY31*VLOOKUP('Données projet'!$B$14,Paramètres!$A$1:$I$89,3,0)*0.475*44/12</f>
        <v>1.4187526248813442</v>
      </c>
      <c r="EC31" s="21">
        <f>EXP(-LN(2)/2)*EC30+(1-EXP(-LN(2)/2))/(LN(2)/2)*DW31*DZ31*VLOOKUP('Données projet'!$B$14,Paramètres!$A$1:$I$89,3,0)*0.475*44/12</f>
        <v>0.60764179891933134</v>
      </c>
      <c r="ED31" s="22">
        <f t="shared" si="18"/>
        <v>2.0263944238006757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55.603279736666224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2.1794871794871802</v>
      </c>
      <c r="EJ31" s="12">
        <f>IF('Données projet'!$A$192&gt;35,EJ30+EI31-ER30,IF(A31&lt;'Données projet'!$A$192,$EG$205^A31,IF(A31='Données projet'!$A$192,'Données projet'!$B$192,EJ30+EI31-ER30)))</f>
        <v>29.615384615384613</v>
      </c>
      <c r="EK31" s="17">
        <f>EJ31*VLOOKUP('Données projet'!$B$15,Paramètres!$A$1:$I$89,3,0)*VLOOKUP('Données projet'!$B$15,Paramètres!$A$1:$I$89,5,0)</f>
        <v>31.877999999999993</v>
      </c>
      <c r="EL31" s="13">
        <f t="shared" si="45"/>
        <v>9.8183106962867353</v>
      </c>
      <c r="EM31" s="20">
        <f t="shared" si="19"/>
        <v>72.621074462699383</v>
      </c>
      <c r="EN31" s="59">
        <f t="shared" si="20"/>
        <v>310.72198905269778</v>
      </c>
      <c r="EO31" s="59">
        <f ca="1">AVERAGE(OFFSET($EN$3,0,0,'Données projet'!$E$15+1,1))-AVERAGE(OFFSET($H$3,0,0,'Données projet'!$E$15+1,1))</f>
        <v>212.00478362779876</v>
      </c>
      <c r="EP31" s="59">
        <f t="shared" si="46"/>
        <v>133.62262474506707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>
        <f>EXP(-LN(2)/35)*EV30+(1-EXP(-LN(2)/35))/(LN(2)/35)*ER31*ES31*VLOOKUP('Données projet'!$B$15,Paramètres!$A$1:$I$89,3,0)*0.475*44/12</f>
        <v>0</v>
      </c>
      <c r="EW31" s="21">
        <f>EXP(-LN(2)/25)*EW30+(1-EXP(-LN(2)/25))/(LN(2)/25)*Calculateur!ER31*Calculateur!ET31*VLOOKUP('Données projet'!$B$15,Paramètres!$A$1:$I$89,3,0)*0.475*44/12</f>
        <v>0.67641030782428024</v>
      </c>
      <c r="EX31" s="21">
        <f>EXP(-LN(2)/2)*EX30+(1-EXP(-LN(2)/2))/(LN(2)/2)*ER31*EU31*VLOOKUP('Données projet'!$B$15,Paramètres!$A$1:$I$89,3,0)*0.475*44/12</f>
        <v>0.51789403450029192</v>
      </c>
      <c r="EY31" s="22">
        <f t="shared" si="21"/>
        <v>1.1943043423245721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55.603279736666224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2.1794871794871802</v>
      </c>
      <c r="FE31" s="12">
        <f>IF('Données projet'!$A$218&gt;35,FE30+FD31-FM30,IF(A31&lt;'Données projet'!$A$218,$FB$205^A31,IF(A31='Données projet'!$A$218,'Données projet'!$B$218,FE30+FD31-FM30)))</f>
        <v>29.615384615384613</v>
      </c>
      <c r="FF31" s="17">
        <f>FE31*VLOOKUP('Données projet'!$B$16,Paramètres!$A$1:$I$89,3,0)*VLOOKUP('Données projet'!$B$16,Paramètres!$A$1:$I$89,5,0)</f>
        <v>28.643999999999995</v>
      </c>
      <c r="FG31" s="13">
        <f t="shared" si="47"/>
        <v>8.9327876754519622</v>
      </c>
      <c r="FH31" s="20">
        <f t="shared" si="22"/>
        <v>65.446238534745476</v>
      </c>
      <c r="FI31" s="59">
        <f t="shared" si="23"/>
        <v>303.54715312474389</v>
      </c>
      <c r="FJ31" s="59">
        <f ca="1">AVERAGE(OFFSET($FI$3,0,0,'Données projet'!$E$16+1,1))-AVERAGE(OFFSET($H$3,0,0,'Données projet'!$E$16+1,1))</f>
        <v>196.65742339093146</v>
      </c>
      <c r="FK31" s="59">
        <f t="shared" si="48"/>
        <v>125.41980634506001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>
        <f>EXP(-LN(2)/35)*FQ30+(1-EXP(-LN(2)/35))/(LN(2)/35)*FM31*FN31*VLOOKUP('Données projet'!$B$16,Paramètres!$A$1:$I$89,3,0)*0.475*44/12</f>
        <v>0</v>
      </c>
      <c r="FR31" s="21">
        <f>EXP(-LN(2)/25)*FR30+(1-EXP(-LN(2)/25))/(LN(2)/25)*Calculateur!FM31*Calculateur!FO31*VLOOKUP('Données projet'!$B$16,Paramètres!$A$1:$I$89,3,0)*0.475*44/12</f>
        <v>0.60778897224790418</v>
      </c>
      <c r="FS31" s="21">
        <f>EXP(-LN(2)/2)*FS30+(1-EXP(-LN(2)/2))/(LN(2)/2)*FM31*FP31*VLOOKUP('Données projet'!$B$16,Paramètres!$A$1:$I$89,3,0)*0.475*44/12</f>
        <v>0.46535405998576967</v>
      </c>
      <c r="FT31" s="22">
        <f t="shared" si="24"/>
        <v>1.0731430322336739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55.603279736666224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55.603279736666224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>
      <c r="A32" s="10">
        <f t="shared" si="31"/>
        <v>29</v>
      </c>
      <c r="B32" s="73">
        <f>'Scénario référence'!$B$16*5+'Scénario référence'!$B$17*0+'Scénario référence'!$B$18*5</f>
        <v>4.6999999999999993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1.5472080000000004</v>
      </c>
      <c r="D32" s="11">
        <f t="shared" si="32"/>
        <v>0.67769970755427944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17.229816903147945</v>
      </c>
      <c r="H32" s="67">
        <f t="shared" si="1"/>
        <v>191.60838092399038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55.853030646990405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16.621666666666666</v>
      </c>
      <c r="N32" s="13">
        <f>IF('Données projet'!$A$36&gt;35,N31+M32-V31,IF(A32&lt;'Données projet'!$A$36,$K$205^A32,IF(A32='Données projet'!$A$36,'Données projet'!$B$36,N31+M32-V31)))</f>
        <v>151.16333333333336</v>
      </c>
      <c r="O32" s="13">
        <f>N32*VLOOKUP('Données projet'!$B$9,Paramètres!$A$1:$I$89,3,0)*VLOOKUP('Données projet'!$B$9,Paramètres!$A$1:$I$89,5,0)</f>
        <v>90.395673333333363</v>
      </c>
      <c r="P32" s="13">
        <f t="shared" si="33"/>
        <v>24.660627497212822</v>
      </c>
      <c r="Q32" s="20">
        <f t="shared" si="2"/>
        <v>200.38972394653459</v>
      </c>
      <c r="R32" s="59">
        <f t="shared" si="0"/>
        <v>440.62861409661053</v>
      </c>
      <c r="S32" s="59">
        <f ca="1">AVERAGE(OFFSET($R$3,0,0,'Données projet'!$E$9+1,1))-AVERAGE(OFFSET($H$3,0,0,'Données projet'!$E$9+1,1))</f>
        <v>366.93249569585623</v>
      </c>
      <c r="T32" s="59">
        <f t="shared" si="34"/>
        <v>272.47262353368501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7.3417435510681965</v>
      </c>
      <c r="AA32" s="21">
        <f>EXP(-LN(2)/25)*AA31+(1-EXP(-LN(2)/25))/(LN(2)/25)*Calculateur!V32*Calculateur!X32*VLOOKUP('Données projet'!$B$9,Paramètres!$A$1:$I$89,3,0)*0.475*44/12</f>
        <v>10.422514949319186</v>
      </c>
      <c r="AB32" s="21">
        <f>EXP(-LN(2)/2)*AB31+(1-EXP(-LN(2)/2))/(LN(2)/2)*V32*Y32*VLOOKUP('Données projet'!$B$9,Paramètres!$A$1:$I$89,3,0)*0.475*44/12</f>
        <v>6.0761231193203562</v>
      </c>
      <c r="AC32" s="22">
        <f t="shared" si="3"/>
        <v>23.840381619707742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55.853030646990405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10.064285714285713</v>
      </c>
      <c r="AI32" s="13">
        <f>IF('Données projet'!$A$62&gt;35,AI31+AH32-AQ31,IF(A32&lt;'Données projet'!$A$62,$AF$205^A32,IF(A32='Données projet'!$A$62,'Données projet'!$B$62,AI31+AH32-AQ31)))</f>
        <v>291.86428571428564</v>
      </c>
      <c r="AJ32" s="13">
        <f>AI32*VLOOKUP('Données projet'!$B$10,Paramètres!$A$1:$I$89,3,0)*VLOOKUP('Données projet'!$B$10,Paramètres!$A$1:$I$89,5,0)</f>
        <v>136.59248571428569</v>
      </c>
      <c r="AK32" s="13">
        <f t="shared" si="35"/>
        <v>35.515275895321146</v>
      </c>
      <c r="AL32" s="20">
        <f t="shared" si="4"/>
        <v>299.75435147006522</v>
      </c>
      <c r="AM32" s="59">
        <f t="shared" si="5"/>
        <v>539.99324162014113</v>
      </c>
      <c r="AN32" s="59">
        <f ca="1">AVERAGE(OFFSET($AM$3,0,0,'Données projet'!$E$10+1,1))-AVERAGE(OFFSET($H$3,0,0,'Données projet'!$E$10+1,1))</f>
        <v>382.89338473200229</v>
      </c>
      <c r="AO32" s="59">
        <f t="shared" si="36"/>
        <v>360.46248248971744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55.853030646990405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5.1282051282051295</v>
      </c>
      <c r="BD32" s="12">
        <f>IF('Données projet'!$A$88&gt;35,BD31+BC32-BL31,IF(A32&lt;'Données projet'!$A$88,$BA$205^A32,IF(A32='Données projet'!$A$88,'Données projet'!$B$88,BD31+BC32-BL31)))</f>
        <v>71.15384615384616</v>
      </c>
      <c r="BE32" s="13">
        <f>BD32*VLOOKUP('Données projet'!$B$11,Paramètres!$A$1:$I$89,3,0)*VLOOKUP('Données projet'!$B$11,Paramètres!$A$1:$I$89,5,0)</f>
        <v>62.160000000000011</v>
      </c>
      <c r="BF32" s="13">
        <f t="shared" si="37"/>
        <v>17.713255604040903</v>
      </c>
      <c r="BG32" s="20">
        <f t="shared" si="7"/>
        <v>139.11258684370458</v>
      </c>
      <c r="BH32" s="59">
        <f t="shared" si="8"/>
        <v>379.35147699378052</v>
      </c>
      <c r="BI32" s="59">
        <f ca="1">AVERAGE(OFFSET($BH$3,0,0,'Données projet'!$E$11+1,1))-AVERAGE(OFFSET($H$3,0,0,'Données projet'!$E$11+1,1))</f>
        <v>225.75484198243581</v>
      </c>
      <c r="BJ32" s="59">
        <f t="shared" si="38"/>
        <v>199.49566488421061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5.2501187235108322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5.2501187235108322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55.853030646990405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7</v>
      </c>
      <c r="BY32" s="12">
        <f>IF('Données projet'!$A$114&gt;35,BY31+BX32-CG31,IF(A32&lt;'Données projet'!$A$114,$BV$205^A32,IF(A32='Données projet'!$A$114,'Données projet'!$B$114,BY31+BX32-CG31)))</f>
        <v>90</v>
      </c>
      <c r="BZ32" s="13">
        <f>BY32*VLOOKUP('Données projet'!$B$12,Paramètres!$A$1:$I$89,3,0)*VLOOKUP('Données projet'!$B$12,Paramètres!$A$1:$I$89,5,0)</f>
        <v>85.644000000000005</v>
      </c>
      <c r="CA32" s="13">
        <f t="shared" si="39"/>
        <v>23.511648669822069</v>
      </c>
      <c r="CB32" s="20">
        <f t="shared" si="10"/>
        <v>190.1127547666068</v>
      </c>
      <c r="CC32" s="59">
        <f t="shared" si="11"/>
        <v>430.35164491668274</v>
      </c>
      <c r="CD32" s="59">
        <f ca="1">AVERAGE(OFFSET($CC$3,0,0,'Données projet'!$E$12+1,1))-AVERAGE(OFFSET($H$3,0,0,'Données projet'!$E$12+1,1))</f>
        <v>413.9352601863377</v>
      </c>
      <c r="CE32" s="59">
        <f t="shared" si="40"/>
        <v>255.13997349799286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0.80653243529593954</v>
      </c>
      <c r="CM32" s="21">
        <f>EXP(-LN(2)/2)*CM31+(1-EXP(-LN(2)/2))/(LN(2)/2)*CG32*CJ32*VLOOKUP('Données projet'!$B$12,Paramètres!$A$1:$I$89,3,0)*0.475*44/12</f>
        <v>0.44893010596924382</v>
      </c>
      <c r="CN32" s="22">
        <f t="shared" si="12"/>
        <v>1.2554625412651834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55.853030646990405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9.8000000000000007</v>
      </c>
      <c r="CT32" s="12">
        <f>IF('Données projet'!$A$140&gt;35,CT31+CS32-DB31,IF(A32&lt;'Données projet'!$A$140,$CQ$205^A32,IF(A32='Données projet'!$A$140,'Données projet'!$B$140,CT31+CS32-DB31)))</f>
        <v>104.19999999999999</v>
      </c>
      <c r="CU32" s="17">
        <f>CT32*VLOOKUP('Données projet'!$B$13,Paramètres!$A$1:$I$89,3,0)*VLOOKUP('Données projet'!$B$13,Paramètres!$A$1:$I$89,5,0)</f>
        <v>91.029119999999992</v>
      </c>
      <c r="CV32" s="13">
        <f t="shared" si="41"/>
        <v>24.813259479575809</v>
      </c>
      <c r="CW32" s="20">
        <f t="shared" si="13"/>
        <v>201.75881092692782</v>
      </c>
      <c r="CX32" s="59">
        <f t="shared" si="14"/>
        <v>441.99770107700374</v>
      </c>
      <c r="CY32" s="59">
        <f ca="1">AVERAGE(OFFSET($CX$3,0,0,'Données projet'!$E$13+1,1))-AVERAGE(OFFSET($H$3,0,0,'Données projet'!$E$13+1,1))</f>
        <v>280.59827778697775</v>
      </c>
      <c r="CZ32" s="59">
        <f t="shared" si="42"/>
        <v>270.86588231964726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>
        <f>EXP(-LN(2)/35)*DF31+(1-EXP(-LN(2)/35))/(LN(2)/35)*DB32*DC32*VLOOKUP('Données projet'!$B$13,Paramètres!$A$1:$I$89,3,0)*0.475*44/12</f>
        <v>0</v>
      </c>
      <c r="DG32" s="21">
        <f>EXP(-LN(2)/25)*DG31+(1-EXP(-LN(2)/25))/(LN(2)/25)*Calculateur!DB32*Calculateur!DD32*VLOOKUP('Données projet'!$B$13,Paramètres!$A$1:$I$89,3,0)*0.475*44/12</f>
        <v>4.4811161767948926</v>
      </c>
      <c r="DH32" s="21">
        <f>EXP(-LN(2)/2)*DH31+(1-EXP(-LN(2)/2))/(LN(2)/2)*DB32*DE32*VLOOKUP('Données projet'!$B$13,Paramètres!$A$1:$I$89,3,0)*0.475*44/12</f>
        <v>1.2730934675194003</v>
      </c>
      <c r="DI32" s="22">
        <f t="shared" si="15"/>
        <v>5.7542096443142929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55.853030646990405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4.4871794871794872</v>
      </c>
      <c r="DO32" s="12">
        <f>IF('Données projet'!$A$166&gt;35,DO31+DN32-DW31,IF(A32&lt;'Données projet'!$A$166,$DL$205^A32,IF(A32='Données projet'!$A$166,'Données projet'!$B$166,DO31+DN32-DW31)))</f>
        <v>58.974358974358992</v>
      </c>
      <c r="DP32" s="17">
        <f>DO32*VLOOKUP('Données projet'!$B$14,Paramètres!$A$1:$I$89,3,0)*VLOOKUP('Données projet'!$B$14,Paramètres!$A$1:$I$89,5,0)</f>
        <v>39.560000000000009</v>
      </c>
      <c r="DQ32" s="13">
        <f t="shared" si="43"/>
        <v>11.881949889371608</v>
      </c>
      <c r="DR32" s="20">
        <f t="shared" si="16"/>
        <v>89.594729390655559</v>
      </c>
      <c r="DS32" s="59">
        <f t="shared" si="17"/>
        <v>329.83361954073149</v>
      </c>
      <c r="DT32" s="59">
        <f ca="1">AVERAGE(OFFSET($DS$3,0,0,'Données projet'!$E$14+1,1))-AVERAGE(OFFSET($H$3,0,0,'Données projet'!$E$14+1,1))</f>
        <v>211.42385430331873</v>
      </c>
      <c r="DU32" s="59">
        <f t="shared" si="44"/>
        <v>146.84623106782686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>
        <f>EXP(-LN(2)/35)*EA31+(1-EXP(-LN(2)/35))/(LN(2)/35)*DW32*DX32*VLOOKUP('Données projet'!$B$14,Paramètres!$A$1:$I$89,3,0)*0.475*44/12</f>
        <v>0</v>
      </c>
      <c r="EB32" s="21">
        <f>EXP(-LN(2)/25)*EB31+(1-EXP(-LN(2)/25))/(LN(2)/25)*Calculateur!DW32*Calculateur!DY32*VLOOKUP('Données projet'!$B$14,Paramètres!$A$1:$I$89,3,0)*0.475*44/12</f>
        <v>1.379956759745006</v>
      </c>
      <c r="EC32" s="21">
        <f>EXP(-LN(2)/2)*EC31+(1-EXP(-LN(2)/2))/(LN(2)/2)*DW32*DZ32*VLOOKUP('Données projet'!$B$14,Paramètres!$A$1:$I$89,3,0)*0.475*44/12</f>
        <v>0.42966763654825174</v>
      </c>
      <c r="ED32" s="22">
        <f t="shared" si="18"/>
        <v>1.8096243962932577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55.853030646990405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2.1794871794871802</v>
      </c>
      <c r="EJ32" s="12">
        <f>IF('Données projet'!$A$192&gt;35,EJ31+EI32-ER31,IF(A32&lt;'Données projet'!$A$192,$EG$205^A32,IF(A32='Données projet'!$A$192,'Données projet'!$B$192,EJ31+EI32-ER31)))</f>
        <v>31.794871794871792</v>
      </c>
      <c r="EK32" s="17">
        <f>EJ32*VLOOKUP('Données projet'!$B$15,Paramètres!$A$1:$I$89,3,0)*VLOOKUP('Données projet'!$B$15,Paramètres!$A$1:$I$89,5,0)</f>
        <v>34.223999999999997</v>
      </c>
      <c r="EL32" s="13">
        <f t="shared" si="45"/>
        <v>10.454101942855115</v>
      </c>
      <c r="EM32" s="20">
        <f t="shared" si="19"/>
        <v>77.814360883805975</v>
      </c>
      <c r="EN32" s="59">
        <f t="shared" si="20"/>
        <v>318.05325103388191</v>
      </c>
      <c r="EO32" s="59">
        <f ca="1">AVERAGE(OFFSET($EN$3,0,0,'Données projet'!$E$15+1,1))-AVERAGE(OFFSET($H$3,0,0,'Données projet'!$E$15+1,1))</f>
        <v>212.00478362779876</v>
      </c>
      <c r="EP32" s="59">
        <f t="shared" si="46"/>
        <v>133.62262474506707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>
        <f>EXP(-LN(2)/35)*EV31+(1-EXP(-LN(2)/35))/(LN(2)/35)*ER32*ES32*VLOOKUP('Données projet'!$B$15,Paramètres!$A$1:$I$89,3,0)*0.475*44/12</f>
        <v>0</v>
      </c>
      <c r="EW32" s="21">
        <f>EXP(-LN(2)/25)*EW31+(1-EXP(-LN(2)/25))/(LN(2)/25)*Calculateur!ER32*Calculateur!ET32*VLOOKUP('Données projet'!$B$15,Paramètres!$A$1:$I$89,3,0)*0.475*44/12</f>
        <v>0.65791383238595313</v>
      </c>
      <c r="EX32" s="21">
        <f>EXP(-LN(2)/2)*EX31+(1-EXP(-LN(2)/2))/(LN(2)/2)*ER32*EU32*VLOOKUP('Données projet'!$B$15,Paramètres!$A$1:$I$89,3,0)*0.475*44/12</f>
        <v>0.36620638373121622</v>
      </c>
      <c r="EY32" s="22">
        <f t="shared" si="21"/>
        <v>1.0241202161171694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55.853030646990405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2.1794871794871802</v>
      </c>
      <c r="FE32" s="12">
        <f>IF('Données projet'!$A$218&gt;35,FE31+FD32-FM31,IF(A32&lt;'Données projet'!$A$218,$FB$205^A32,IF(A32='Données projet'!$A$218,'Données projet'!$B$218,FE31+FD32-FM31)))</f>
        <v>31.794871794871792</v>
      </c>
      <c r="FF32" s="17">
        <f>FE32*VLOOKUP('Données projet'!$B$16,Paramètres!$A$1:$I$89,3,0)*VLOOKUP('Données projet'!$B$16,Paramètres!$A$1:$I$89,5,0)</f>
        <v>30.751999999999995</v>
      </c>
      <c r="FG32" s="13">
        <f t="shared" si="47"/>
        <v>9.5112362891889681</v>
      </c>
      <c r="FH32" s="20">
        <f t="shared" si="22"/>
        <v>70.12513653700411</v>
      </c>
      <c r="FI32" s="59">
        <f t="shared" si="23"/>
        <v>310.36402668708007</v>
      </c>
      <c r="FJ32" s="59">
        <f ca="1">AVERAGE(OFFSET($FI$3,0,0,'Données projet'!$E$16+1,1))-AVERAGE(OFFSET($H$3,0,0,'Données projet'!$E$16+1,1))</f>
        <v>196.65742339093146</v>
      </c>
      <c r="FK32" s="59">
        <f t="shared" si="48"/>
        <v>125.41980634506001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>
        <f>EXP(-LN(2)/35)*FQ31+(1-EXP(-LN(2)/35))/(LN(2)/35)*FM32*FN32*VLOOKUP('Données projet'!$B$16,Paramètres!$A$1:$I$89,3,0)*0.475*44/12</f>
        <v>0</v>
      </c>
      <c r="FR32" s="21">
        <f>EXP(-LN(2)/25)*FR31+(1-EXP(-LN(2)/25))/(LN(2)/25)*Calculateur!FM32*Calculateur!FO32*VLOOKUP('Données projet'!$B$16,Paramètres!$A$1:$I$89,3,0)*0.475*44/12</f>
        <v>0.59116895083955234</v>
      </c>
      <c r="FS32" s="21">
        <f>EXP(-LN(2)/2)*FS31+(1-EXP(-LN(2)/2))/(LN(2)/2)*FM32*FP32*VLOOKUP('Données projet'!$B$16,Paramètres!$A$1:$I$89,3,0)*0.475*44/12</f>
        <v>0.32905501146862914</v>
      </c>
      <c r="FT32" s="22">
        <f t="shared" si="24"/>
        <v>0.92022396230818149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55.853030646990405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55.853030646990405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>
      <c r="A33" s="10">
        <f t="shared" si="31"/>
        <v>30</v>
      </c>
      <c r="B33" s="73">
        <f>'Scénario référence'!$B$16*5+'Scénario référence'!$B$17*0+'Scénario référence'!$B$18*5</f>
        <v>4.6999999999999993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1.6005600000000004</v>
      </c>
      <c r="D33" s="11">
        <f t="shared" si="32"/>
        <v>0.69830759881890703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17.264072010681037</v>
      </c>
      <c r="H33" s="67">
        <f t="shared" si="1"/>
        <v>191.73719440127627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56.09844893737985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16.621666666666666</v>
      </c>
      <c r="N33" s="13">
        <f>IF('Données projet'!$A$36&gt;35,N32+M33-V32,IF(A33&lt;'Données projet'!$A$36,$K$205^A33,IF(A33='Données projet'!$A$36,'Données projet'!$B$36,N32+M33-V32)))</f>
        <v>167.78500000000003</v>
      </c>
      <c r="O33" s="13">
        <f>N33*VLOOKUP('Données projet'!$B$9,Paramètres!$A$1:$I$89,3,0)*VLOOKUP('Données projet'!$B$9,Paramètres!$A$1:$I$89,5,0)</f>
        <v>100.33543000000002</v>
      </c>
      <c r="P33" s="13">
        <f t="shared" si="33"/>
        <v>27.041893539465132</v>
      </c>
      <c r="Q33" s="20">
        <f t="shared" si="2"/>
        <v>221.84883849790182</v>
      </c>
      <c r="R33" s="59">
        <f t="shared" si="0"/>
        <v>464.20981793496128</v>
      </c>
      <c r="S33" s="59">
        <f ca="1">AVERAGE(OFFSET($R$3,0,0,'Données projet'!$E$9+1,1))-AVERAGE(OFFSET($H$3,0,0,'Données projet'!$E$9+1,1))</f>
        <v>366.93249569585623</v>
      </c>
      <c r="T33" s="59">
        <f t="shared" si="34"/>
        <v>272.47262353368501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7.1977764380531477</v>
      </c>
      <c r="AA33" s="21">
        <f>EXP(-LN(2)/25)*AA32+(1-EXP(-LN(2)/25))/(LN(2)/25)*Calculateur!V33*Calculateur!X33*VLOOKUP('Données projet'!$B$9,Paramètres!$A$1:$I$89,3,0)*0.475*44/12</f>
        <v>10.137510729933814</v>
      </c>
      <c r="AB33" s="21">
        <f>EXP(-LN(2)/2)*AB32+(1-EXP(-LN(2)/2))/(LN(2)/2)*V33*Y33*VLOOKUP('Données projet'!$B$9,Paramètres!$A$1:$I$89,3,0)*0.475*44/12</f>
        <v>4.296467860995782</v>
      </c>
      <c r="AC33" s="22">
        <f t="shared" si="3"/>
        <v>21.631755028982745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56.09844893737985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 t="e">
        <f>VLOOKUP(A33,'Données projet'!$A$61:$I$81,2,0)</f>
        <v>#N/A</v>
      </c>
      <c r="AG33" s="12" t="e">
        <f>VLOOKUP(A33,'Données projet'!$A$61:$I$81,9,0)</f>
        <v>#N/A</v>
      </c>
      <c r="AH33" s="12">
        <f t="array" ref="AH33">INDEX(AG:AG,MIN(IF(ISNUMBER(AG33:AG229),ROW(AG33:AG229),"")))</f>
        <v>10.064285714285713</v>
      </c>
      <c r="AI33" s="13">
        <f>IF('Données projet'!$A$62&gt;35,AI32+AH33-AQ32,IF(A33&lt;'Données projet'!$A$62,$AF$205^A33,IF(A33='Données projet'!$A$62,'Données projet'!$B$62,AI32+AH33-AQ32)))</f>
        <v>301.92857142857133</v>
      </c>
      <c r="AJ33" s="13">
        <f>AI33*VLOOKUP('Données projet'!$B$10,Paramètres!$A$1:$I$89,3,0)*VLOOKUP('Données projet'!$B$10,Paramètres!$A$1:$I$89,5,0)</f>
        <v>141.30257142857138</v>
      </c>
      <c r="AK33" s="13">
        <f t="shared" si="35"/>
        <v>36.595245291390874</v>
      </c>
      <c r="AL33" s="20">
        <f t="shared" si="4"/>
        <v>309.83869745393423</v>
      </c>
      <c r="AM33" s="59">
        <f t="shared" si="5"/>
        <v>552.19967689099371</v>
      </c>
      <c r="AN33" s="59">
        <f ca="1">AVERAGE(OFFSET($AM$3,0,0,'Données projet'!$E$10+1,1))-AVERAGE(OFFSET($H$3,0,0,'Données projet'!$E$10+1,1))</f>
        <v>382.89338473200229</v>
      </c>
      <c r="AO33" s="59">
        <f t="shared" si="36"/>
        <v>360.46248248971744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56.09844893737985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76.282051282051285</v>
      </c>
      <c r="BB33" s="12">
        <f>VLOOKUP(A33,'Données projet'!$A$87:$I$107,9,0)</f>
        <v>5.1282051282051295</v>
      </c>
      <c r="BC33" s="12">
        <f t="array" ref="BC33">INDEX(BB:BB,MIN(IF(ISNUMBER(BB33:BB229),ROW(BB33:BB229),"")))</f>
        <v>5.1282051282051295</v>
      </c>
      <c r="BD33" s="12">
        <f>IF('Données projet'!$A$88&gt;35,BD32+BC33-BL32,IF(A33&lt;'Données projet'!$A$88,$BA$205^A33,IF(A33='Données projet'!$A$88,'Données projet'!$B$88,BD32+BC33-BL32)))</f>
        <v>76.282051282051285</v>
      </c>
      <c r="BE33" s="13">
        <f>BD33*VLOOKUP('Données projet'!$B$11,Paramètres!$A$1:$I$89,3,0)*VLOOKUP('Données projet'!$B$11,Paramètres!$A$1:$I$89,5,0)</f>
        <v>66.640000000000015</v>
      </c>
      <c r="BF33" s="13">
        <f t="shared" si="37"/>
        <v>18.836677424934397</v>
      </c>
      <c r="BG33" s="20">
        <f t="shared" si="7"/>
        <v>148.87187984842743</v>
      </c>
      <c r="BH33" s="59">
        <f t="shared" si="8"/>
        <v>391.23285928548688</v>
      </c>
      <c r="BI33" s="59">
        <f ca="1">AVERAGE(OFFSET($BH$3,0,0,'Données projet'!$E$11+1,1))-AVERAGE(OFFSET($H$3,0,0,'Données projet'!$E$11+1,1))</f>
        <v>225.75484198243581</v>
      </c>
      <c r="BJ33" s="59">
        <f t="shared" si="38"/>
        <v>199.49566488421061</v>
      </c>
      <c r="BK33" s="15">
        <f>IF(ISNA(VLOOKUP(A33,'Données projet'!$A$87:$I$107,3,0)),0,VLOOKUP(A33,'Données projet'!$A$87:$I$107,3,0))</f>
        <v>3</v>
      </c>
      <c r="BL33" s="15">
        <f>IF(ISNA(VLOOKUP(A33,'Données projet'!$A$87:$I$107,4,0)),0,VLOOKUP(A33,'Données projet'!$A$87:$I$107,4,0))</f>
        <v>12.820512820512819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0.215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7.7580454241317156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7.7580454241317156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56.09844893737985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97</v>
      </c>
      <c r="BW33" s="12">
        <f>VLOOKUP(A33,'Données projet'!$A$113:$I$133,9,0)</f>
        <v>7</v>
      </c>
      <c r="BX33" s="12">
        <f t="array" ref="BX33">INDEX(BW:BW,MIN(IF(ISNUMBER(BW33:BW229),ROW(BW33:BW229),"")))</f>
        <v>7</v>
      </c>
      <c r="BY33" s="12">
        <f>IF('Données projet'!$A$114&gt;35,BY32+BX33-CG32,IF(A33&lt;'Données projet'!$A$114,$BV$205^A33,IF(A33='Données projet'!$A$114,'Données projet'!$B$114,BY32+BX33-CG32)))</f>
        <v>97</v>
      </c>
      <c r="BZ33" s="13">
        <f>BY33*VLOOKUP('Données projet'!$B$12,Paramètres!$A$1:$I$89,3,0)*VLOOKUP('Données projet'!$B$12,Paramètres!$A$1:$I$89,5,0)</f>
        <v>92.305199999999999</v>
      </c>
      <c r="CA33" s="13">
        <f t="shared" si="39"/>
        <v>25.12036275342183</v>
      </c>
      <c r="CB33" s="20">
        <f t="shared" si="10"/>
        <v>204.51618846220967</v>
      </c>
      <c r="CC33" s="59">
        <f t="shared" si="11"/>
        <v>446.87716789926912</v>
      </c>
      <c r="CD33" s="59">
        <f ca="1">AVERAGE(OFFSET($CC$3,0,0,'Données projet'!$E$12+1,1))-AVERAGE(OFFSET($H$3,0,0,'Données projet'!$E$12+1,1))</f>
        <v>413.9352601863377</v>
      </c>
      <c r="CE33" s="59">
        <f t="shared" si="40"/>
        <v>255.13997349799286</v>
      </c>
      <c r="CF33" s="15">
        <f>IF(ISNA(VLOOKUP(A33,'Données projet'!$A$113:$I$133,3,0)),0,VLOOKUP(A33,'Données projet'!$A$113:$I$133,3,0))</f>
        <v>2</v>
      </c>
      <c r="CG33" s="15">
        <f>IF(ISNA(VLOOKUP(A33,'Données projet'!$A$113:$I$133,4,0)),0,VLOOKUP(A33,'Données projet'!$A$113:$I$133,4,0))</f>
        <v>21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0.1075</v>
      </c>
      <c r="CJ33" s="16">
        <f>IF(ISNA(VLOOKUP(A33,'Données projet'!$A$113:$I$133,7,0)),0%,VLOOKUP(A33,'Données projet'!$A$113:$I$133,7,0))</f>
        <v>0.25</v>
      </c>
      <c r="CK33" s="21">
        <f>EXP(-LN(2)/35)*CK32+(1-EXP(-LN(2)/35))/(LN(2)/35)*CG33*CH33*VLOOKUP('Données projet'!$B$12,Paramètres!$A$1:$I$89,3,0)*0.475*44/12</f>
        <v>0</v>
      </c>
      <c r="CL33" s="21">
        <f>EXP(-LN(2)/25)*CL32+(1-EXP(-LN(2)/25))/(LN(2)/25)*Calculateur!CG33*Calculateur!CI33*VLOOKUP('Données projet'!$B$12,Paramètres!$A$1:$I$89,3,0)*0.475*44/12</f>
        <v>3.149939593973897</v>
      </c>
      <c r="CM33" s="21">
        <f>EXP(-LN(2)/2)*CM32+(1-EXP(-LN(2)/2))/(LN(2)/2)*CG33*CJ33*VLOOKUP('Données projet'!$B$12,Paramètres!$A$1:$I$89,3,0)*0.475*44/12</f>
        <v>5.031207634886707</v>
      </c>
      <c r="CN33" s="22">
        <f t="shared" si="12"/>
        <v>8.1811472288606044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56.09844893737985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>
        <f>VLOOKUP(A33,'Données projet'!$A$139:$I$159,2,0)</f>
        <v>114</v>
      </c>
      <c r="CR33" s="12">
        <f>VLOOKUP(A33,'Données projet'!$A$139:$I$159,9,0)</f>
        <v>9.8000000000000007</v>
      </c>
      <c r="CS33" s="12">
        <f t="array" ref="CS33">INDEX(CR:CR,MIN(IF(ISNUMBER(CR33:CR229),ROW(CR33:CR229),"")))</f>
        <v>9.8000000000000007</v>
      </c>
      <c r="CT33" s="12">
        <f>IF('Données projet'!$A$140&gt;35,CT32+CS33-DB32,IF(A33&lt;'Données projet'!$A$140,$CQ$205^A33,IF(A33='Données projet'!$A$140,'Données projet'!$B$140,CT32+CS33-DB32)))</f>
        <v>113.99999999999999</v>
      </c>
      <c r="CU33" s="17">
        <f>CT33*VLOOKUP('Données projet'!$B$13,Paramètres!$A$1:$I$89,3,0)*VLOOKUP('Données projet'!$B$13,Paramètres!$A$1:$I$89,5,0)</f>
        <v>99.590400000000002</v>
      </c>
      <c r="CV33" s="13">
        <f t="shared" si="41"/>
        <v>26.864392698869324</v>
      </c>
      <c r="CW33" s="20">
        <f t="shared" si="13"/>
        <v>220.24209728386407</v>
      </c>
      <c r="CX33" s="59">
        <f t="shared" si="14"/>
        <v>462.60307672092353</v>
      </c>
      <c r="CY33" s="59">
        <f ca="1">AVERAGE(OFFSET($CX$3,0,0,'Données projet'!$E$13+1,1))-AVERAGE(OFFSET($H$3,0,0,'Données projet'!$E$13+1,1))</f>
        <v>280.59827778697775</v>
      </c>
      <c r="CZ33" s="59">
        <f t="shared" si="42"/>
        <v>270.86588231964726</v>
      </c>
      <c r="DA33" s="15">
        <f>IF(ISNA(VLOOKUP(A33,'Données projet'!$A$139:$I$159,3,0)),0,VLOOKUP(A33,'Données projet'!$A$139:$I$159,3,0))</f>
        <v>3</v>
      </c>
      <c r="DB33" s="15">
        <f>IF(ISNA(VLOOKUP(A33,'Données projet'!$A$139:$I$159,4,0)),0,VLOOKUP(A33,'Données projet'!$A$139:$I$159,4,0))</f>
        <v>21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0.13250000000000001</v>
      </c>
      <c r="DE33" s="16">
        <f>IF(ISNA(VLOOKUP(A33,'Données projet'!$A$139:$I$159,7,0)),0%,VLOOKUP(A33,'Données projet'!$A$139:$I$159,7,0))</f>
        <v>0.25</v>
      </c>
      <c r="DF33" s="21">
        <f>EXP(-LN(2)/35)*DF32+(1-EXP(-LN(2)/35))/(LN(2)/35)*DB33*DC33*VLOOKUP('Données projet'!$B$13,Paramètres!$A$1:$I$89,3,0)*0.475*44/12</f>
        <v>0</v>
      </c>
      <c r="DG33" s="21">
        <f>EXP(-LN(2)/25)*DG32+(1-EXP(-LN(2)/25))/(LN(2)/25)*Calculateur!DB33*Calculateur!DD33*VLOOKUP('Données projet'!$B$13,Paramètres!$A$1:$I$89,3,0)*0.475*44/12</f>
        <v>7.0351679676026766</v>
      </c>
      <c r="DH33" s="21">
        <f>EXP(-LN(2)/2)*DH32+(1-EXP(-LN(2)/2))/(LN(2)/2)*DB33*DE33*VLOOKUP('Données projet'!$B$13,Paramètres!$A$1:$I$89,3,0)*0.475*44/12</f>
        <v>5.2276048651134168</v>
      </c>
      <c r="DI33" s="22">
        <f t="shared" si="15"/>
        <v>12.262772832716093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56.09844893737985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>
        <f>VLOOKUP(A33,'Données projet'!$A$165:$I$185,2,0)</f>
        <v>63.46153846153846</v>
      </c>
      <c r="DM33" s="12">
        <f>VLOOKUP(A33,'Données projet'!$A$165:$I$185,9,0)</f>
        <v>4.4871794871794872</v>
      </c>
      <c r="DN33" s="12">
        <f t="array" ref="DN33">INDEX(DM:DM,MIN(IF(ISNUMBER(DM33:DM229),ROW(DM33:DM229),"")))</f>
        <v>4.4871794871794872</v>
      </c>
      <c r="DO33" s="12">
        <f>IF('Données projet'!$A$166&gt;35,DO32+DN33-DW32,IF(A33&lt;'Données projet'!$A$166,$DL$205^A33,IF(A33='Données projet'!$A$166,'Données projet'!$B$166,DO32+DN33-DW32)))</f>
        <v>63.461538461538481</v>
      </c>
      <c r="DP33" s="17">
        <f>DO33*VLOOKUP('Données projet'!$B$14,Paramètres!$A$1:$I$89,3,0)*VLOOKUP('Données projet'!$B$14,Paramètres!$A$1:$I$89,5,0)</f>
        <v>42.570000000000014</v>
      </c>
      <c r="DQ33" s="13">
        <f t="shared" si="43"/>
        <v>12.677337434666208</v>
      </c>
      <c r="DR33" s="20">
        <f t="shared" si="16"/>
        <v>96.222446032043663</v>
      </c>
      <c r="DS33" s="59">
        <f t="shared" si="17"/>
        <v>338.58342546910313</v>
      </c>
      <c r="DT33" s="59">
        <f ca="1">AVERAGE(OFFSET($DS$3,0,0,'Données projet'!$E$14+1,1))-AVERAGE(OFFSET($H$3,0,0,'Données projet'!$E$14+1,1))</f>
        <v>211.42385430331873</v>
      </c>
      <c r="DU33" s="59">
        <f t="shared" si="44"/>
        <v>146.84623106782686</v>
      </c>
      <c r="DV33" s="15">
        <f>IF(ISNA(VLOOKUP(A33,'Données projet'!$A$165:$I$185,3,0)),0,VLOOKUP(A33,'Données projet'!$A$165:$I$185,3,0))</f>
        <v>3</v>
      </c>
      <c r="DW33" s="15">
        <f>IF(ISNA(VLOOKUP(A33,'Données projet'!$A$165:$I$185,4,0)),0,VLOOKUP(A33,'Données projet'!$A$165:$I$185,4,0))</f>
        <v>10.897435897435898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0.13250000000000001</v>
      </c>
      <c r="DZ33" s="16">
        <f>IF(ISNA(VLOOKUP(A33,'Données projet'!$A$165:$I$185,7,0)),0%,VLOOKUP(A33,'Données projet'!$A$165:$I$185,7,0))</f>
        <v>0.25</v>
      </c>
      <c r="EA33" s="21">
        <f>EXP(-LN(2)/35)*EA32+(1-EXP(-LN(2)/35))/(LN(2)/35)*DW33*DX33*VLOOKUP('Données projet'!$B$14,Paramètres!$A$1:$I$89,3,0)*0.475*44/12</f>
        <v>0</v>
      </c>
      <c r="EB33" s="21">
        <f>EXP(-LN(2)/25)*EB32+(1-EXP(-LN(2)/25))/(LN(2)/25)*Calculateur!DW33*Calculateur!DY33*VLOOKUP('Données projet'!$B$14,Paramètres!$A$1:$I$89,3,0)*0.475*44/12</f>
        <v>2.4087368666165139</v>
      </c>
      <c r="EC33" s="21">
        <f>EXP(-LN(2)/2)*EC32+(1-EXP(-LN(2)/2))/(LN(2)/2)*DW33*DZ33*VLOOKUP('Données projet'!$B$14,Paramètres!$A$1:$I$89,3,0)*0.475*44/12</f>
        <v>2.0281163359010126</v>
      </c>
      <c r="ED33" s="22">
        <f t="shared" si="18"/>
        <v>4.4368532025175265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56.09844893737985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>
        <f>VLOOKUP(A33,'Données projet'!$A$191:$I$211,2,0)</f>
        <v>33.974358974358978</v>
      </c>
      <c r="EH33" s="12">
        <f>VLOOKUP(A33,'Données projet'!$A$191:$I$211,9,0)</f>
        <v>2.1794871794871802</v>
      </c>
      <c r="EI33" s="12">
        <f t="array" ref="EI33">INDEX(EH:EH,MIN(IF(ISNUMBER(EH33:EH229),ROW(EH33:EH229),"")))</f>
        <v>2.1794871794871802</v>
      </c>
      <c r="EJ33" s="12">
        <f>IF('Données projet'!$A$192&gt;35,EJ32+EI33-ER32,IF(A33&lt;'Données projet'!$A$192,$EG$205^A33,IF(A33='Données projet'!$A$192,'Données projet'!$B$192,EJ32+EI33-ER32)))</f>
        <v>33.974358974358971</v>
      </c>
      <c r="EK33" s="17">
        <f>EJ33*VLOOKUP('Données projet'!$B$15,Paramètres!$A$1:$I$89,3,0)*VLOOKUP('Données projet'!$B$15,Paramètres!$A$1:$I$89,5,0)</f>
        <v>36.57</v>
      </c>
      <c r="EL33" s="13">
        <f t="shared" si="45"/>
        <v>11.084836196718024</v>
      </c>
      <c r="EM33" s="20">
        <f t="shared" si="19"/>
        <v>82.998839709283871</v>
      </c>
      <c r="EN33" s="59">
        <f t="shared" si="20"/>
        <v>325.35981914634334</v>
      </c>
      <c r="EO33" s="59">
        <f ca="1">AVERAGE(OFFSET($EN$3,0,0,'Données projet'!$E$15+1,1))-AVERAGE(OFFSET($H$3,0,0,'Données projet'!$E$15+1,1))</f>
        <v>212.00478362779876</v>
      </c>
      <c r="EP33" s="59">
        <f t="shared" si="46"/>
        <v>133.62262474506707</v>
      </c>
      <c r="EQ33" s="15">
        <f>IF(ISNA(VLOOKUP(A33,'Données projet'!$A$191:$I$211,3,0)),0,VLOOKUP(A33,'Données projet'!$A$191:$I$211,3,0))</f>
        <v>2</v>
      </c>
      <c r="ER33" s="15">
        <f>IF(ISNA(VLOOKUP(A33,'Données projet'!$A$191:$I$211,4,0)),0,VLOOKUP(A33,'Données projet'!$A$191:$I$211,4,0))</f>
        <v>5.1282051282051277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0.1075</v>
      </c>
      <c r="EU33" s="16">
        <f>IF(ISNA(VLOOKUP(A33,'Données projet'!$A$191:$I$211,7,0)),0%,VLOOKUP(A33,'Données projet'!$A$191:$I$211,7,0))</f>
        <v>0.25</v>
      </c>
      <c r="EV33" s="21">
        <f>EXP(-LN(2)/35)*EV32+(1-EXP(-LN(2)/35))/(LN(2)/35)*ER33*ES33*VLOOKUP('Données projet'!$B$15,Paramètres!$A$1:$I$89,3,0)*0.475*44/12</f>
        <v>0</v>
      </c>
      <c r="EW33" s="21">
        <f>EXP(-LN(2)/25)*EW32+(1-EXP(-LN(2)/25))/(LN(2)/25)*Calculateur!ER33*Calculateur!ET33*VLOOKUP('Données projet'!$B$15,Paramètres!$A$1:$I$89,3,0)*0.475*44/12</f>
        <v>1.2933263999386213</v>
      </c>
      <c r="EX33" s="21">
        <f>EXP(-LN(2)/2)*EX32+(1-EXP(-LN(2)/2))/(LN(2)/2)*ER33*EU33*VLOOKUP('Données projet'!$B$15,Paramètres!$A$1:$I$89,3,0)*0.475*44/12</f>
        <v>1.5610141594055815</v>
      </c>
      <c r="EY33" s="22">
        <f t="shared" si="21"/>
        <v>2.8543405593442026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56.09844893737985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>
        <f>VLOOKUP(A33,'Données projet'!$A$217:$I$237,2,0)</f>
        <v>33.974358974358978</v>
      </c>
      <c r="FC33" s="12">
        <f>VLOOKUP(A33,'Données projet'!$A$217:$I$237,9,0)</f>
        <v>2.1794871794871802</v>
      </c>
      <c r="FD33" s="12">
        <f t="array" ref="FD33">INDEX(FC:FC,MIN(IF(ISNUMBER(FC33:FC229),ROW(FC33:FC229),"")))</f>
        <v>2.1794871794871802</v>
      </c>
      <c r="FE33" s="12">
        <f>IF('Données projet'!$A$218&gt;35,FE32+FD33-FM32,IF(A33&lt;'Données projet'!$A$218,$FB$205^A33,IF(A33='Données projet'!$A$218,'Données projet'!$B$218,FE32+FD33-FM32)))</f>
        <v>33.974358974358971</v>
      </c>
      <c r="FF33" s="17">
        <f>FE33*VLOOKUP('Données projet'!$B$16,Paramètres!$A$1:$I$89,3,0)*VLOOKUP('Données projet'!$B$16,Paramètres!$A$1:$I$89,5,0)</f>
        <v>32.86</v>
      </c>
      <c r="FG33" s="13">
        <f t="shared" si="47"/>
        <v>10.085084005326417</v>
      </c>
      <c r="FH33" s="20">
        <f t="shared" si="22"/>
        <v>74.796021309276838</v>
      </c>
      <c r="FI33" s="59">
        <f t="shared" si="23"/>
        <v>317.15700074633628</v>
      </c>
      <c r="FJ33" s="59">
        <f ca="1">AVERAGE(OFFSET($FI$3,0,0,'Données projet'!$E$16+1,1))-AVERAGE(OFFSET($H$3,0,0,'Données projet'!$E$16+1,1))</f>
        <v>196.65742339093146</v>
      </c>
      <c r="FK33" s="59">
        <f t="shared" si="48"/>
        <v>125.41980634506001</v>
      </c>
      <c r="FL33" s="15">
        <f>IF(ISNA(VLOOKUP(A33,'Données projet'!$A$217:$I$237,3,0)),0,VLOOKUP(A33,'Données projet'!$A$217:$I$237,3,0))</f>
        <v>2</v>
      </c>
      <c r="FM33" s="15">
        <f>IF(ISNA(VLOOKUP(A33,'Données projet'!$A$217:$I$237,4,0)),0,VLOOKUP(A33,'Données projet'!$A$217:$I$237,4,0))</f>
        <v>5.1282051282051277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0.1075</v>
      </c>
      <c r="FP33" s="16">
        <f>IF(ISNA(VLOOKUP(A33,'Données projet'!$A$217:$I$237,7,0)),0%,VLOOKUP(A33,'Données projet'!$A$217:$I$237,7,0))</f>
        <v>0.25</v>
      </c>
      <c r="FQ33" s="21">
        <f>EXP(-LN(2)/35)*FQ32+(1-EXP(-LN(2)/35))/(LN(2)/35)*FM33*FN33*VLOOKUP('Données projet'!$B$16,Paramètres!$A$1:$I$89,3,0)*0.475*44/12</f>
        <v>0</v>
      </c>
      <c r="FR33" s="21">
        <f>EXP(-LN(2)/25)*FR32+(1-EXP(-LN(2)/25))/(LN(2)/25)*Calculateur!FM33*Calculateur!FO33*VLOOKUP('Données projet'!$B$16,Paramètres!$A$1:$I$89,3,0)*0.475*44/12</f>
        <v>1.1621193738578919</v>
      </c>
      <c r="FS33" s="21">
        <f>EXP(-LN(2)/2)*FS32+(1-EXP(-LN(2)/2))/(LN(2)/2)*FM33*FP33*VLOOKUP('Données projet'!$B$16,Paramètres!$A$1:$I$89,3,0)*0.475*44/12</f>
        <v>1.4026504041035663</v>
      </c>
      <c r="FT33" s="22">
        <f t="shared" si="24"/>
        <v>2.564769777961458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56.09844893737985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56.09844893737985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>
      <c r="A34" s="10">
        <f t="shared" si="31"/>
        <v>31</v>
      </c>
      <c r="B34" s="73">
        <f>'Scénario référence'!$B$16*5+'Scénario référence'!$B$17*0+'Scénario référence'!$B$18*5</f>
        <v>4.6999999999999993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1.6539120000000005</v>
      </c>
      <c r="D34" s="11">
        <f t="shared" si="32"/>
        <v>0.7188356707692094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17.298290149268546</v>
      </c>
      <c r="H34" s="67">
        <f t="shared" si="1"/>
        <v>191.86586885992307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56.339609769104129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16.621666666666666</v>
      </c>
      <c r="N34" s="13">
        <f>IF('Données projet'!$A$36&gt;35,N33+M34-V33,IF(A34&lt;'Données projet'!$A$36,$K$205^A34,IF(A34='Données projet'!$A$36,'Données projet'!$B$36,N33+M34-V33)))</f>
        <v>184.40666666666669</v>
      </c>
      <c r="O34" s="13">
        <f>N34*VLOOKUP('Données projet'!$B$9,Paramètres!$A$1:$I$89,3,0)*VLOOKUP('Données projet'!$B$9,Paramètres!$A$1:$I$89,5,0)</f>
        <v>110.27518666666668</v>
      </c>
      <c r="P34" s="13">
        <f t="shared" si="33"/>
        <v>29.395811266319566</v>
      </c>
      <c r="Q34" s="20">
        <f t="shared" si="2"/>
        <v>243.26032139995104</v>
      </c>
      <c r="R34" s="59">
        <f t="shared" si="0"/>
        <v>486.50555721999956</v>
      </c>
      <c r="S34" s="59">
        <f ca="1">AVERAGE(OFFSET($R$3,0,0,'Données projet'!$E$9+1,1))-AVERAGE(OFFSET($H$3,0,0,'Données projet'!$E$9+1,1))</f>
        <v>366.93249569585623</v>
      </c>
      <c r="T34" s="59">
        <f t="shared" si="34"/>
        <v>272.47262353368501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7.0566324323130551</v>
      </c>
      <c r="AA34" s="21">
        <f>EXP(-LN(2)/25)*AA33+(1-EXP(-LN(2)/25))/(LN(2)/25)*Calculateur!V34*Calculateur!X34*VLOOKUP('Données projet'!$B$9,Paramètres!$A$1:$I$89,3,0)*0.475*44/12</f>
        <v>9.860299965915253</v>
      </c>
      <c r="AB34" s="21">
        <f>EXP(-LN(2)/2)*AB33+(1-EXP(-LN(2)/2))/(LN(2)/2)*V34*Y34*VLOOKUP('Données projet'!$B$9,Paramètres!$A$1:$I$89,3,0)*0.475*44/12</f>
        <v>3.0380615596601785</v>
      </c>
      <c r="AC34" s="22">
        <f t="shared" si="3"/>
        <v>19.954993957888487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56.339609769104129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10.064285714285713</v>
      </c>
      <c r="AI34" s="13">
        <f>IF('Données projet'!$A$62&gt;35,AI33+AH34-AQ33,IF(A34&lt;'Données projet'!$A$62,$AF$205^A34,IF(A34='Données projet'!$A$62,'Données projet'!$B$62,AI33+AH34-AQ33)))</f>
        <v>311.99285714285702</v>
      </c>
      <c r="AJ34" s="13">
        <f>AI34*VLOOKUP('Données projet'!$B$10,Paramètres!$A$1:$I$89,3,0)*VLOOKUP('Données projet'!$B$10,Paramètres!$A$1:$I$89,5,0)</f>
        <v>146.01265714285708</v>
      </c>
      <c r="AK34" s="13">
        <f t="shared" si="35"/>
        <v>37.671031706505445</v>
      </c>
      <c r="AL34" s="20">
        <f t="shared" si="4"/>
        <v>319.91575807930639</v>
      </c>
      <c r="AM34" s="59">
        <f t="shared" si="5"/>
        <v>563.16099389935493</v>
      </c>
      <c r="AN34" s="59">
        <f ca="1">AVERAGE(OFFSET($AM$3,0,0,'Données projet'!$E$10+1,1))-AVERAGE(OFFSET($H$3,0,0,'Données projet'!$E$10+1,1))</f>
        <v>382.89338473200229</v>
      </c>
      <c r="AO34" s="59">
        <f t="shared" si="36"/>
        <v>360.46248248971744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56.339609769104129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4.6153846153846132</v>
      </c>
      <c r="BD34" s="12">
        <f>IF('Données projet'!$A$88&gt;35,BD33+BC34-BL33,IF(A34&lt;'Données projet'!$A$88,$BA$205^A34,IF(A34='Données projet'!$A$88,'Données projet'!$B$88,BD33+BC34-BL33)))</f>
        <v>68.07692307692308</v>
      </c>
      <c r="BE34" s="13">
        <f>BD34*VLOOKUP('Données projet'!$B$11,Paramètres!$A$1:$I$89,3,0)*VLOOKUP('Données projet'!$B$11,Paramètres!$A$1:$I$89,5,0)</f>
        <v>59.472000000000016</v>
      </c>
      <c r="BF34" s="13">
        <f t="shared" si="37"/>
        <v>17.034705450773373</v>
      </c>
      <c r="BG34" s="20">
        <f t="shared" si="7"/>
        <v>133.24917866009699</v>
      </c>
      <c r="BH34" s="59">
        <f t="shared" si="8"/>
        <v>376.49441448014545</v>
      </c>
      <c r="BI34" s="59">
        <f ca="1">AVERAGE(OFFSET($BH$3,0,0,'Données projet'!$E$11+1,1))-AVERAGE(OFFSET($H$3,0,0,'Données projet'!$E$11+1,1))</f>
        <v>225.75484198243581</v>
      </c>
      <c r="BJ34" s="59">
        <f t="shared" si="38"/>
        <v>199.49566488421061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7.545901264030956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7.545901264030956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56.339609769104129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8</v>
      </c>
      <c r="BY34" s="12">
        <f>IF('Données projet'!$A$114&gt;35,BY33+BX34-CG33,IF(A34&lt;'Données projet'!$A$114,$BV$205^A34,IF(A34='Données projet'!$A$114,'Données projet'!$B$114,BY33+BX34-CG33)))</f>
        <v>84</v>
      </c>
      <c r="BZ34" s="13">
        <f>BY34*VLOOKUP('Données projet'!$B$12,Paramètres!$A$1:$I$89,3,0)*VLOOKUP('Données projet'!$B$12,Paramètres!$A$1:$I$89,5,0)</f>
        <v>79.934400000000011</v>
      </c>
      <c r="CA34" s="13">
        <f t="shared" si="39"/>
        <v>22.121143821921812</v>
      </c>
      <c r="CB34" s="20">
        <f t="shared" si="10"/>
        <v>177.74673882318049</v>
      </c>
      <c r="CC34" s="59">
        <f t="shared" si="11"/>
        <v>420.99197464322901</v>
      </c>
      <c r="CD34" s="59">
        <f ca="1">AVERAGE(OFFSET($CC$3,0,0,'Données projet'!$E$12+1,1))-AVERAGE(OFFSET($H$3,0,0,'Données projet'!$E$12+1,1))</f>
        <v>413.9352601863377</v>
      </c>
      <c r="CE34" s="59">
        <f t="shared" si="40"/>
        <v>255.13997349799286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0</v>
      </c>
      <c r="CL34" s="21">
        <f>EXP(-LN(2)/25)*CL33+(1-EXP(-LN(2)/25))/(LN(2)/25)*Calculateur!CG34*Calculateur!CI34*VLOOKUP('Données projet'!$B$12,Paramètres!$A$1:$I$89,3,0)*0.475*44/12</f>
        <v>3.0638043301285567</v>
      </c>
      <c r="CM34" s="21">
        <f>EXP(-LN(2)/2)*CM33+(1-EXP(-LN(2)/2))/(LN(2)/2)*CG34*CJ34*VLOOKUP('Données projet'!$B$12,Paramètres!$A$1:$I$89,3,0)*0.475*44/12</f>
        <v>3.5576010361859223</v>
      </c>
      <c r="CN34" s="22">
        <f t="shared" si="12"/>
        <v>6.6214053663144785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56.339609769104129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8.6</v>
      </c>
      <c r="CT34" s="12">
        <f>IF('Données projet'!$A$140&gt;35,CT33+CS34-DB33,IF(A34&lt;'Données projet'!$A$140,$CQ$205^A34,IF(A34='Données projet'!$A$140,'Données projet'!$B$140,CT33+CS34-DB33)))</f>
        <v>101.59999999999998</v>
      </c>
      <c r="CU34" s="17">
        <f>CT34*VLOOKUP('Données projet'!$B$13,Paramètres!$A$1:$I$89,3,0)*VLOOKUP('Données projet'!$B$13,Paramètres!$A$1:$I$89,5,0)</f>
        <v>88.75775999999999</v>
      </c>
      <c r="CV34" s="13">
        <f t="shared" si="41"/>
        <v>24.265384701755004</v>
      </c>
      <c r="CW34" s="20">
        <f t="shared" si="13"/>
        <v>196.84864368888995</v>
      </c>
      <c r="CX34" s="59">
        <f t="shared" si="14"/>
        <v>440.09387950893847</v>
      </c>
      <c r="CY34" s="59">
        <f ca="1">AVERAGE(OFFSET($CX$3,0,0,'Données projet'!$E$13+1,1))-AVERAGE(OFFSET($H$3,0,0,'Données projet'!$E$13+1,1))</f>
        <v>280.59827778697775</v>
      </c>
      <c r="CZ34" s="59">
        <f t="shared" si="42"/>
        <v>270.86588231964726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>
        <f>EXP(-LN(2)/35)*DF33+(1-EXP(-LN(2)/35))/(LN(2)/35)*DB34*DC34*VLOOKUP('Données projet'!$B$13,Paramètres!$A$1:$I$89,3,0)*0.475*44/12</f>
        <v>0</v>
      </c>
      <c r="DG34" s="21">
        <f>EXP(-LN(2)/25)*DG33+(1-EXP(-LN(2)/25))/(LN(2)/25)*Calculateur!DB34*Calculateur!DD34*VLOOKUP('Données projet'!$B$13,Paramètres!$A$1:$I$89,3,0)*0.475*44/12</f>
        <v>6.8427909295651768</v>
      </c>
      <c r="DH34" s="21">
        <f>EXP(-LN(2)/2)*DH33+(1-EXP(-LN(2)/2))/(LN(2)/2)*DB34*DE34*VLOOKUP('Données projet'!$B$13,Paramètres!$A$1:$I$89,3,0)*0.475*44/12</f>
        <v>3.6964748494854844</v>
      </c>
      <c r="DI34" s="22">
        <f t="shared" si="15"/>
        <v>10.539265779050661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56.339609769104129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4.7435897435897445</v>
      </c>
      <c r="DO34" s="12">
        <f>IF('Données projet'!$A$166&gt;35,DO33+DN34-DW33,IF(A34&lt;'Données projet'!$A$166,$DL$205^A34,IF(A34='Données projet'!$A$166,'Données projet'!$B$166,DO33+DN34-DW33)))</f>
        <v>57.307692307692335</v>
      </c>
      <c r="DP34" s="17">
        <f>DO34*VLOOKUP('Données projet'!$B$14,Paramètres!$A$1:$I$89,3,0)*VLOOKUP('Données projet'!$B$14,Paramètres!$A$1:$I$89,5,0)</f>
        <v>38.442000000000021</v>
      </c>
      <c r="DQ34" s="13">
        <f t="shared" si="43"/>
        <v>11.584748872095675</v>
      </c>
      <c r="DR34" s="20">
        <f t="shared" si="16"/>
        <v>87.12992095223332</v>
      </c>
      <c r="DS34" s="59">
        <f t="shared" si="17"/>
        <v>330.3751567722818</v>
      </c>
      <c r="DT34" s="59">
        <f ca="1">AVERAGE(OFFSET($DS$3,0,0,'Données projet'!$E$14+1,1))-AVERAGE(OFFSET($H$3,0,0,'Données projet'!$E$14+1,1))</f>
        <v>211.42385430331873</v>
      </c>
      <c r="DU34" s="59">
        <f t="shared" si="44"/>
        <v>146.84623106782686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>
        <f>EXP(-LN(2)/35)*EA33+(1-EXP(-LN(2)/35))/(LN(2)/35)*DW34*DX34*VLOOKUP('Données projet'!$B$14,Paramètres!$A$1:$I$89,3,0)*0.475*44/12</f>
        <v>0</v>
      </c>
      <c r="EB34" s="21">
        <f>EXP(-LN(2)/25)*EB33+(1-EXP(-LN(2)/25))/(LN(2)/25)*Calculateur!DW34*Calculateur!DY34*VLOOKUP('Données projet'!$B$14,Paramètres!$A$1:$I$89,3,0)*0.475*44/12</f>
        <v>2.3428698303289188</v>
      </c>
      <c r="EC34" s="21">
        <f>EXP(-LN(2)/2)*EC33+(1-EXP(-LN(2)/2))/(LN(2)/2)*DW34*DZ34*VLOOKUP('Données projet'!$B$14,Paramètres!$A$1:$I$89,3,0)*0.475*44/12</f>
        <v>1.4340948141508199</v>
      </c>
      <c r="ED34" s="22">
        <f t="shared" si="18"/>
        <v>3.7769646444797385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56.339609769104129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2.4358974358974343</v>
      </c>
      <c r="EJ34" s="12">
        <f>IF('Données projet'!$A$192&gt;35,EJ33+EI34-ER33,IF(A34&lt;'Données projet'!$A$192,$EG$205^A34,IF(A34='Données projet'!$A$192,'Données projet'!$B$192,EJ33+EI34-ER33)))</f>
        <v>31.282051282051281</v>
      </c>
      <c r="EK34" s="17">
        <f>EJ34*VLOOKUP('Données projet'!$B$15,Paramètres!$A$1:$I$89,3,0)*VLOOKUP('Données projet'!$B$15,Paramètres!$A$1:$I$89,5,0)</f>
        <v>33.671999999999997</v>
      </c>
      <c r="EL34" s="13">
        <f t="shared" si="45"/>
        <v>10.304973425736666</v>
      </c>
      <c r="EM34" s="20">
        <f t="shared" si="19"/>
        <v>76.593228716491353</v>
      </c>
      <c r="EN34" s="59">
        <f t="shared" si="20"/>
        <v>319.83846453653985</v>
      </c>
      <c r="EO34" s="59">
        <f ca="1">AVERAGE(OFFSET($EN$3,0,0,'Données projet'!$E$15+1,1))-AVERAGE(OFFSET($H$3,0,0,'Données projet'!$E$15+1,1))</f>
        <v>212.00478362779876</v>
      </c>
      <c r="EP34" s="59">
        <f t="shared" si="46"/>
        <v>133.62262474506707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>
        <f>EXP(-LN(2)/35)*EV33+(1-EXP(-LN(2)/35))/(LN(2)/35)*ER34*ES34*VLOOKUP('Données projet'!$B$15,Paramètres!$A$1:$I$89,3,0)*0.475*44/12</f>
        <v>0</v>
      </c>
      <c r="EW34" s="21">
        <f>EXP(-LN(2)/25)*EW33+(1-EXP(-LN(2)/25))/(LN(2)/25)*Calculateur!ER34*Calculateur!ET34*VLOOKUP('Données projet'!$B$15,Paramètres!$A$1:$I$89,3,0)*0.475*44/12</f>
        <v>1.2579603215192203</v>
      </c>
      <c r="EX34" s="21">
        <f>EXP(-LN(2)/2)*EX33+(1-EXP(-LN(2)/2))/(LN(2)/2)*ER34*EU34*VLOOKUP('Données projet'!$B$15,Paramètres!$A$1:$I$89,3,0)*0.475*44/12</f>
        <v>1.103803697643905</v>
      </c>
      <c r="EY34" s="22">
        <f t="shared" si="21"/>
        <v>2.3617640191631253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56.339609769104129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2.4358974358974343</v>
      </c>
      <c r="FE34" s="12">
        <f>IF('Données projet'!$A$218&gt;35,FE33+FD34-FM33,IF(A34&lt;'Données projet'!$A$218,$FB$205^A34,IF(A34='Données projet'!$A$218,'Données projet'!$B$218,FE33+FD34-FM33)))</f>
        <v>31.282051282051281</v>
      </c>
      <c r="FF34" s="17">
        <f>FE34*VLOOKUP('Données projet'!$B$16,Paramètres!$A$1:$I$89,3,0)*VLOOKUP('Données projet'!$B$16,Paramètres!$A$1:$I$89,5,0)</f>
        <v>30.256</v>
      </c>
      <c r="FG34" s="13">
        <f t="shared" si="47"/>
        <v>9.3755578185251789</v>
      </c>
      <c r="FH34" s="20">
        <f t="shared" si="22"/>
        <v>69.024963200598023</v>
      </c>
      <c r="FI34" s="59">
        <f t="shared" si="23"/>
        <v>312.27019902064649</v>
      </c>
      <c r="FJ34" s="59">
        <f ca="1">AVERAGE(OFFSET($FI$3,0,0,'Données projet'!$E$16+1,1))-AVERAGE(OFFSET($H$3,0,0,'Données projet'!$E$16+1,1))</f>
        <v>196.65742339093146</v>
      </c>
      <c r="FK34" s="59">
        <f t="shared" si="48"/>
        <v>125.41980634506001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>
        <f>EXP(-LN(2)/35)*FQ33+(1-EXP(-LN(2)/35))/(LN(2)/35)*FM34*FN34*VLOOKUP('Données projet'!$B$16,Paramètres!$A$1:$I$89,3,0)*0.475*44/12</f>
        <v>0</v>
      </c>
      <c r="FR34" s="21">
        <f>EXP(-LN(2)/25)*FR33+(1-EXP(-LN(2)/25))/(LN(2)/25)*Calculateur!FM34*Calculateur!FO34*VLOOKUP('Données projet'!$B$16,Paramètres!$A$1:$I$89,3,0)*0.475*44/12</f>
        <v>1.1303411584665459</v>
      </c>
      <c r="FS34" s="21">
        <f>EXP(-LN(2)/2)*FS33+(1-EXP(-LN(2)/2))/(LN(2)/2)*FM34*FP34*VLOOKUP('Données projet'!$B$16,Paramètres!$A$1:$I$89,3,0)*0.475*44/12</f>
        <v>0.99182361237568306</v>
      </c>
      <c r="FT34" s="22">
        <f t="shared" si="24"/>
        <v>2.1221647708422289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56.339609769104129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56.339609769104129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>
      <c r="A35" s="10">
        <f t="shared" si="31"/>
        <v>32</v>
      </c>
      <c r="B35" s="73">
        <f>'Scénario référence'!$B$16*5+'Scénario référence'!$B$17*0+'Scénario référence'!$B$18*5</f>
        <v>4.6999999999999993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1.7072640000000006</v>
      </c>
      <c r="D35" s="11">
        <f t="shared" si="32"/>
        <v>0.73928679355100912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17.332472648241168</v>
      </c>
      <c r="H35" s="67">
        <f t="shared" si="1"/>
        <v>191.99440929876803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56.576586999552852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16.621666666666666</v>
      </c>
      <c r="N35" s="13">
        <f>IF('Données projet'!$A$36&gt;35,N34+M35-V34,IF(A35&lt;'Données projet'!$A$36,$K$205^A35,IF(A35='Données projet'!$A$36,'Données projet'!$B$36,N34+M35-V34)))</f>
        <v>201.02833333333336</v>
      </c>
      <c r="O35" s="13">
        <f>N35*VLOOKUP('Données projet'!$B$9,Paramètres!$A$1:$I$89,3,0)*VLOOKUP('Données projet'!$B$9,Paramètres!$A$1:$I$89,5,0)</f>
        <v>120.21494333333335</v>
      </c>
      <c r="P35" s="13">
        <f t="shared" si="33"/>
        <v>31.725126074196275</v>
      </c>
      <c r="Q35" s="20">
        <f t="shared" ref="Q35:Q66" si="53">(O35+P35)*0.475*44/12</f>
        <v>264.62895421811407</v>
      </c>
      <c r="R35" s="59">
        <f t="shared" si="0"/>
        <v>508.74310654980786</v>
      </c>
      <c r="S35" s="59">
        <f ca="1">AVERAGE(OFFSET($R$3,0,0,'Données projet'!$E$9+1,1))-AVERAGE(OFFSET($H$3,0,0,'Données projet'!$E$9+1,1))</f>
        <v>366.93249569585623</v>
      </c>
      <c r="T35" s="59">
        <f t="shared" si="34"/>
        <v>272.47262353368501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6.9182561744361832</v>
      </c>
      <c r="AA35" s="21">
        <f>EXP(-LN(2)/25)*AA34+(1-EXP(-LN(2)/25))/(LN(2)/25)*Calculateur!V35*Calculateur!X35*VLOOKUP('Données projet'!$B$9,Paramètres!$A$1:$I$89,3,0)*0.475*44/12</f>
        <v>9.5906695448166612</v>
      </c>
      <c r="AB35" s="21">
        <f>EXP(-LN(2)/2)*AB34+(1-EXP(-LN(2)/2))/(LN(2)/2)*V35*Y35*VLOOKUP('Données projet'!$B$9,Paramètres!$A$1:$I$89,3,0)*0.475*44/12</f>
        <v>2.1482339304978915</v>
      </c>
      <c r="AC35" s="22">
        <f t="shared" si="3"/>
        <v>18.657159649750735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56.576586999552852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10.064285714285713</v>
      </c>
      <c r="AI35" s="13">
        <f>IF('Données projet'!$A$62&gt;35,AI34+AH35-AQ34,IF(A35&lt;'Données projet'!$A$62,$AF$205^A35,IF(A35='Données projet'!$A$62,'Données projet'!$B$62,AI34+AH35-AQ34)))</f>
        <v>322.05714285714271</v>
      </c>
      <c r="AJ35" s="13">
        <f>AI35*VLOOKUP('Données projet'!$B$10,Paramètres!$A$1:$I$89,3,0)*VLOOKUP('Données projet'!$B$10,Paramètres!$A$1:$I$89,5,0)</f>
        <v>150.7227428571428</v>
      </c>
      <c r="AK35" s="13">
        <f t="shared" si="35"/>
        <v>38.742785552446897</v>
      </c>
      <c r="AL35" s="20">
        <f t="shared" si="4"/>
        <v>329.98579531336867</v>
      </c>
      <c r="AM35" s="59">
        <f t="shared" si="5"/>
        <v>574.09994764506246</v>
      </c>
      <c r="AN35" s="59">
        <f ca="1">AVERAGE(OFFSET($AM$3,0,0,'Données projet'!$E$10+1,1))-AVERAGE(OFFSET($H$3,0,0,'Données projet'!$E$10+1,1))</f>
        <v>382.89338473200229</v>
      </c>
      <c r="AO35" s="59">
        <f t="shared" si="36"/>
        <v>360.46248248971744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56.576586999552852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4.6153846153846132</v>
      </c>
      <c r="BD35" s="12">
        <f>IF('Données projet'!$A$88&gt;35,BD34+BC35-BL34,IF(A35&lt;'Données projet'!$A$88,$BA$205^A35,IF(A35='Données projet'!$A$88,'Données projet'!$B$88,BD34+BC35-BL34)))</f>
        <v>72.692307692307693</v>
      </c>
      <c r="BE35" s="13">
        <f>BD35*VLOOKUP('Données projet'!$B$11,Paramètres!$A$1:$I$89,3,0)*VLOOKUP('Données projet'!$B$11,Paramètres!$A$1:$I$89,5,0)</f>
        <v>63.504000000000012</v>
      </c>
      <c r="BF35" s="13">
        <f t="shared" si="37"/>
        <v>18.051242499399113</v>
      </c>
      <c r="BG35" s="20">
        <f t="shared" si="7"/>
        <v>142.04204735312013</v>
      </c>
      <c r="BH35" s="59">
        <f t="shared" si="8"/>
        <v>386.15619968481394</v>
      </c>
      <c r="BI35" s="59">
        <f ca="1">AVERAGE(OFFSET($BH$3,0,0,'Données projet'!$E$11+1,1))-AVERAGE(OFFSET($H$3,0,0,'Données projet'!$E$11+1,1))</f>
        <v>225.75484198243581</v>
      </c>
      <c r="BJ35" s="59">
        <f t="shared" si="38"/>
        <v>199.49566488421061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7.3395581971443287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7.3395581971443287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56.576586999552852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8</v>
      </c>
      <c r="BY35" s="12">
        <f>IF('Données projet'!$A$114&gt;35,BY34+BX35-CG34,IF(A35&lt;'Données projet'!$A$114,$BV$205^A35,IF(A35='Données projet'!$A$114,'Données projet'!$B$114,BY34+BX35-CG34)))</f>
        <v>92</v>
      </c>
      <c r="BZ35" s="13">
        <f>BY35*VLOOKUP('Données projet'!$B$12,Paramètres!$A$1:$I$89,3,0)*VLOOKUP('Données projet'!$B$12,Paramètres!$A$1:$I$89,5,0)</f>
        <v>87.547200000000004</v>
      </c>
      <c r="CA35" s="13">
        <f t="shared" si="39"/>
        <v>23.972720748088616</v>
      </c>
      <c r="CB35" s="20">
        <f t="shared" si="10"/>
        <v>194.23052863625435</v>
      </c>
      <c r="CC35" s="59">
        <f t="shared" si="11"/>
        <v>438.34468096794819</v>
      </c>
      <c r="CD35" s="59">
        <f ca="1">AVERAGE(OFFSET($CC$3,0,0,'Données projet'!$E$12+1,1))-AVERAGE(OFFSET($H$3,0,0,'Données projet'!$E$12+1,1))</f>
        <v>413.9352601863377</v>
      </c>
      <c r="CE35" s="59">
        <f t="shared" si="40"/>
        <v>255.13997349799286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0</v>
      </c>
      <c r="CL35" s="21">
        <f>EXP(-LN(2)/25)*CL34+(1-EXP(-LN(2)/25))/(LN(2)/25)*Calculateur!CG35*Calculateur!CI35*VLOOKUP('Données projet'!$B$12,Paramètres!$A$1:$I$89,3,0)*0.475*44/12</f>
        <v>2.9800244396027238</v>
      </c>
      <c r="CM35" s="21">
        <f>EXP(-LN(2)/2)*CM34+(1-EXP(-LN(2)/2))/(LN(2)/2)*CG35*CJ35*VLOOKUP('Données projet'!$B$12,Paramètres!$A$1:$I$89,3,0)*0.475*44/12</f>
        <v>2.5156038174433539</v>
      </c>
      <c r="CN35" s="22">
        <f t="shared" si="12"/>
        <v>5.4956282570460777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56.576586999552852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8.6</v>
      </c>
      <c r="CT35" s="12">
        <f>IF('Données projet'!$A$140&gt;35,CT34+CS35-DB34,IF(A35&lt;'Données projet'!$A$140,$CQ$205^A35,IF(A35='Données projet'!$A$140,'Données projet'!$B$140,CT34+CS35-DB34)))</f>
        <v>110.19999999999997</v>
      </c>
      <c r="CU35" s="17">
        <f>CT35*VLOOKUP('Données projet'!$B$13,Paramètres!$A$1:$I$89,3,0)*VLOOKUP('Données projet'!$B$13,Paramètres!$A$1:$I$89,5,0)</f>
        <v>96.270719999999983</v>
      </c>
      <c r="CV35" s="13">
        <f t="shared" si="41"/>
        <v>26.071592384845928</v>
      </c>
      <c r="CW35" s="20">
        <f t="shared" si="13"/>
        <v>213.07952740360665</v>
      </c>
      <c r="CX35" s="59">
        <f t="shared" si="14"/>
        <v>457.19367973530046</v>
      </c>
      <c r="CY35" s="59">
        <f ca="1">AVERAGE(OFFSET($CX$3,0,0,'Données projet'!$E$13+1,1))-AVERAGE(OFFSET($H$3,0,0,'Données projet'!$E$13+1,1))</f>
        <v>280.59827778697775</v>
      </c>
      <c r="CZ35" s="59">
        <f t="shared" si="42"/>
        <v>270.86588231964726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>
        <f>EXP(-LN(2)/35)*DF34+(1-EXP(-LN(2)/35))/(LN(2)/35)*DB35*DC35*VLOOKUP('Données projet'!$B$13,Paramètres!$A$1:$I$89,3,0)*0.475*44/12</f>
        <v>0</v>
      </c>
      <c r="DG35" s="21">
        <f>EXP(-LN(2)/25)*DG34+(1-EXP(-LN(2)/25))/(LN(2)/25)*Calculateur!DB35*Calculateur!DD35*VLOOKUP('Données projet'!$B$13,Paramètres!$A$1:$I$89,3,0)*0.475*44/12</f>
        <v>6.6556744517494817</v>
      </c>
      <c r="DH35" s="21">
        <f>EXP(-LN(2)/2)*DH34+(1-EXP(-LN(2)/2))/(LN(2)/2)*DB35*DE35*VLOOKUP('Données projet'!$B$13,Paramètres!$A$1:$I$89,3,0)*0.475*44/12</f>
        <v>2.6138024325567089</v>
      </c>
      <c r="DI35" s="22">
        <f t="shared" si="15"/>
        <v>9.2694768843061901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56.576586999552852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4.7435897435897445</v>
      </c>
      <c r="DO35" s="12">
        <f>IF('Données projet'!$A$166&gt;35,DO34+DN35-DW34,IF(A35&lt;'Données projet'!$A$166,$DL$205^A35,IF(A35='Données projet'!$A$166,'Données projet'!$B$166,DO34+DN35-DW34)))</f>
        <v>62.05128205128208</v>
      </c>
      <c r="DP35" s="17">
        <f>DO35*VLOOKUP('Données projet'!$B$14,Paramètres!$A$1:$I$89,3,0)*VLOOKUP('Données projet'!$B$14,Paramètres!$A$1:$I$89,5,0)</f>
        <v>41.624000000000017</v>
      </c>
      <c r="DQ35" s="13">
        <f t="shared" si="43"/>
        <v>12.428086232039275</v>
      </c>
      <c r="DR35" s="20">
        <f t="shared" si="16"/>
        <v>94.140716854135107</v>
      </c>
      <c r="DS35" s="59">
        <f t="shared" si="17"/>
        <v>338.25486918582891</v>
      </c>
      <c r="DT35" s="59">
        <f ca="1">AVERAGE(OFFSET($DS$3,0,0,'Données projet'!$E$14+1,1))-AVERAGE(OFFSET($H$3,0,0,'Données projet'!$E$14+1,1))</f>
        <v>211.42385430331873</v>
      </c>
      <c r="DU35" s="59">
        <f t="shared" si="44"/>
        <v>146.84623106782686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>
        <f>EXP(-LN(2)/35)*EA34+(1-EXP(-LN(2)/35))/(LN(2)/35)*DW35*DX35*VLOOKUP('Données projet'!$B$14,Paramètres!$A$1:$I$89,3,0)*0.475*44/12</f>
        <v>0</v>
      </c>
      <c r="EB35" s="21">
        <f>EXP(-LN(2)/25)*EB34+(1-EXP(-LN(2)/25))/(LN(2)/25)*Calculateur!DW35*Calculateur!DY35*VLOOKUP('Données projet'!$B$14,Paramètres!$A$1:$I$89,3,0)*0.475*44/12</f>
        <v>2.2788039316124049</v>
      </c>
      <c r="EC35" s="21">
        <f>EXP(-LN(2)/2)*EC34+(1-EXP(-LN(2)/2))/(LN(2)/2)*DW35*DZ35*VLOOKUP('Données projet'!$B$14,Paramètres!$A$1:$I$89,3,0)*0.475*44/12</f>
        <v>1.0140581679505063</v>
      </c>
      <c r="ED35" s="22">
        <f t="shared" si="18"/>
        <v>3.2928620995629112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56.576586999552852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2.4358974358974343</v>
      </c>
      <c r="EJ35" s="12">
        <f>IF('Données projet'!$A$192&gt;35,EJ34+EI35-ER34,IF(A35&lt;'Données projet'!$A$192,$EG$205^A35,IF(A35='Données projet'!$A$192,'Données projet'!$B$192,EJ34+EI35-ER34)))</f>
        <v>33.717948717948715</v>
      </c>
      <c r="EK35" s="17">
        <f>EJ35*VLOOKUP('Données projet'!$B$15,Paramètres!$A$1:$I$89,3,0)*VLOOKUP('Données projet'!$B$15,Paramètres!$A$1:$I$89,5,0)</f>
        <v>36.293999999999997</v>
      </c>
      <c r="EL35" s="13">
        <f t="shared" si="45"/>
        <v>11.010882418531365</v>
      </c>
      <c r="EM35" s="20">
        <f t="shared" si="19"/>
        <v>82.389336878942132</v>
      </c>
      <c r="EN35" s="59">
        <f t="shared" si="20"/>
        <v>326.50348921063596</v>
      </c>
      <c r="EO35" s="59">
        <f ca="1">AVERAGE(OFFSET($EN$3,0,0,'Données projet'!$E$15+1,1))-AVERAGE(OFFSET($H$3,0,0,'Données projet'!$E$15+1,1))</f>
        <v>212.00478362779876</v>
      </c>
      <c r="EP35" s="59">
        <f t="shared" si="46"/>
        <v>133.62262474506707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>
        <f>EXP(-LN(2)/35)*EV34+(1-EXP(-LN(2)/35))/(LN(2)/35)*ER35*ES35*VLOOKUP('Données projet'!$B$15,Paramètres!$A$1:$I$89,3,0)*0.475*44/12</f>
        <v>0</v>
      </c>
      <c r="EW35" s="21">
        <f>EXP(-LN(2)/25)*EW34+(1-EXP(-LN(2)/25))/(LN(2)/25)*Calculateur!ER35*Calculateur!ET35*VLOOKUP('Données projet'!$B$15,Paramètres!$A$1:$I$89,3,0)*0.475*44/12</f>
        <v>1.2235613303740192</v>
      </c>
      <c r="EX35" s="21">
        <f>EXP(-LN(2)/2)*EX34+(1-EXP(-LN(2)/2))/(LN(2)/2)*ER35*EU35*VLOOKUP('Données projet'!$B$15,Paramètres!$A$1:$I$89,3,0)*0.475*44/12</f>
        <v>0.78050707970279087</v>
      </c>
      <c r="EY35" s="22">
        <f t="shared" si="21"/>
        <v>2.00406841007681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56.576586999552852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2.4358974358974343</v>
      </c>
      <c r="FE35" s="12">
        <f>IF('Données projet'!$A$218&gt;35,FE34+FD35-FM34,IF(A35&lt;'Données projet'!$A$218,$FB$205^A35,IF(A35='Données projet'!$A$218,'Données projet'!$B$218,FE34+FD35-FM34)))</f>
        <v>33.717948717948715</v>
      </c>
      <c r="FF35" s="17">
        <f>FE35*VLOOKUP('Données projet'!$B$16,Paramètres!$A$1:$I$89,3,0)*VLOOKUP('Données projet'!$B$16,Paramètres!$A$1:$I$89,5,0)</f>
        <v>32.612000000000002</v>
      </c>
      <c r="FG35" s="13">
        <f t="shared" si="47"/>
        <v>10.017800190546676</v>
      </c>
      <c r="FH35" s="20">
        <f t="shared" si="22"/>
        <v>74.246901998535463</v>
      </c>
      <c r="FI35" s="59">
        <f t="shared" si="23"/>
        <v>318.36105433022931</v>
      </c>
      <c r="FJ35" s="59">
        <f ca="1">AVERAGE(OFFSET($FI$3,0,0,'Données projet'!$E$16+1,1))-AVERAGE(OFFSET($H$3,0,0,'Données projet'!$E$16+1,1))</f>
        <v>196.65742339093146</v>
      </c>
      <c r="FK35" s="59">
        <f t="shared" si="48"/>
        <v>125.41980634506001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>
        <f>EXP(-LN(2)/35)*FQ34+(1-EXP(-LN(2)/35))/(LN(2)/35)*FM35*FN35*VLOOKUP('Données projet'!$B$16,Paramètres!$A$1:$I$89,3,0)*0.475*44/12</f>
        <v>0</v>
      </c>
      <c r="FR35" s="21">
        <f>EXP(-LN(2)/25)*FR34+(1-EXP(-LN(2)/25))/(LN(2)/25)*Calculateur!FM35*Calculateur!FO35*VLOOKUP('Données projet'!$B$16,Paramètres!$A$1:$I$89,3,0)*0.475*44/12</f>
        <v>1.0994319200462201</v>
      </c>
      <c r="FS35" s="21">
        <f>EXP(-LN(2)/2)*FS34+(1-EXP(-LN(2)/2))/(LN(2)/2)*FM35*FP35*VLOOKUP('Données projet'!$B$16,Paramètres!$A$1:$I$89,3,0)*0.475*44/12</f>
        <v>0.70132520205178328</v>
      </c>
      <c r="FT35" s="22">
        <f t="shared" si="24"/>
        <v>1.8007571220980034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56.576586999552852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56.576586999552852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>
      <c r="A36" s="10">
        <f t="shared" si="31"/>
        <v>33</v>
      </c>
      <c r="B36" s="73">
        <f>'Scénario référence'!$B$16*5+'Scénario référence'!$B$17*0+'Scénario référence'!$B$18*5</f>
        <v>4.6999999999999993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1.7606160000000006</v>
      </c>
      <c r="D36" s="11">
        <f t="shared" si="32"/>
        <v>0.75966364773706485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17.366620749127343</v>
      </c>
      <c r="H36" s="67">
        <f t="shared" si="1"/>
        <v>192.12282038647541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56.809453204854996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>
        <f>VLOOKUP(A36,'Données projet'!$A$35:$I$55,2,0)</f>
        <v>217.65</v>
      </c>
      <c r="L36" s="12">
        <f>VLOOKUP(A36,'Données projet'!$A$35:$I$55,9,0)</f>
        <v>16.621666666666666</v>
      </c>
      <c r="M36" s="12">
        <f t="array" ref="M36">INDEX(L:L,MIN(IF(ISNUMBER(L36:L232),ROW(L36:L232),"")))</f>
        <v>16.621666666666666</v>
      </c>
      <c r="N36" s="13">
        <f>IF('Données projet'!$A$36&gt;35,N35+M36-V35,IF(A36&lt;'Données projet'!$A$36,$K$205^A36,IF(A36='Données projet'!$A$36,'Données projet'!$B$36,N35+M36-V35)))</f>
        <v>217.65000000000003</v>
      </c>
      <c r="O36" s="13">
        <f>N36*VLOOKUP('Données projet'!$B$9,Paramètres!$A$1:$I$89,3,0)*VLOOKUP('Données projet'!$B$9,Paramètres!$A$1:$I$89,5,0)</f>
        <v>130.15470000000002</v>
      </c>
      <c r="P36" s="13">
        <f t="shared" si="33"/>
        <v>34.032103485601695</v>
      </c>
      <c r="Q36" s="20">
        <f t="shared" si="53"/>
        <v>285.95868273742298</v>
      </c>
      <c r="R36" s="59">
        <f t="shared" si="0"/>
        <v>530.9266778218913</v>
      </c>
      <c r="S36" s="59">
        <f ca="1">AVERAGE(OFFSET($R$3,0,0,'Données projet'!$E$9+1,1))-AVERAGE(OFFSET($H$3,0,0,'Données projet'!$E$9+1,1))</f>
        <v>366.93249569585623</v>
      </c>
      <c r="T36" s="59">
        <f t="shared" si="34"/>
        <v>272.47262353368501</v>
      </c>
      <c r="U36" s="15">
        <f>IF(ISNA(VLOOKUP(A36,'Données projet'!$A$35:$I$55,3,0)),0,VLOOKUP(A36,'Données projet'!$A$35:$I$55,3,0))</f>
        <v>3</v>
      </c>
      <c r="V36" s="15">
        <f>IF(ISNA(VLOOKUP(A36,'Données projet'!$A$35:$I$55,4,0)),0,VLOOKUP(A36,'Données projet'!$A$35:$I$55,4,0))</f>
        <v>50.460000000000008</v>
      </c>
      <c r="W36" s="16">
        <f>IF(ISNA(VLOOKUP(A36,'Données projet'!$A$35:$I$55,5,0)),0%,VLOOKUP(A36,'Données projet'!$A$35:$I$55,5,0)*VLOOKUP('Données projet'!$B$9,Paramètres!$A$1:$I$89,7,0))</f>
        <v>0.1125</v>
      </c>
      <c r="X36" s="16">
        <f>IF(ISNA(VLOOKUP(A36,'Données projet'!$A$35:$I$55,6,0)),0%,VLOOKUP(A36,'Données projet'!$A$35:$I$55,6,0)*VLOOKUP('Données projet'!$B$9,Paramètres!$A$1:$I$89,7,0))</f>
        <v>0.16650000000000001</v>
      </c>
      <c r="Y36" s="16">
        <f>IF(ISNA(VLOOKUP(A36,'Données projet'!$A$35:$I$55,7,0)),0%,VLOOKUP(A36,'Données projet'!$A$35:$I$55,7,0))</f>
        <v>0.38</v>
      </c>
      <c r="Z36" s="21">
        <f>EXP(-LN(2)/35)*Z35+(1-EXP(-LN(2)/35))/(LN(2)/35)*V36*W36*VLOOKUP('Données projet'!$B$9,Paramètres!$A$1:$I$89,3,0)*0.475*44/12</f>
        <v>11.285877104480107</v>
      </c>
      <c r="AA36" s="21">
        <f>EXP(-LN(2)/25)*AA35+(1-EXP(-LN(2)/25))/(LN(2)/25)*Calculateur!V36*Calculateur!X36*VLOOKUP('Données projet'!$B$9,Paramètres!$A$1:$I$89,3,0)*0.475*44/12</f>
        <v>15.967029985418133</v>
      </c>
      <c r="AB36" s="21">
        <f>EXP(-LN(2)/2)*AB35+(1-EXP(-LN(2)/2))/(LN(2)/2)*V36*Y36*VLOOKUP('Données projet'!$B$9,Paramètres!$A$1:$I$89,3,0)*0.475*44/12</f>
        <v>14.501806839279157</v>
      </c>
      <c r="AC36" s="22">
        <f t="shared" si="3"/>
        <v>41.754713929177399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56.809453204854996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10.064285714285713</v>
      </c>
      <c r="AI36" s="13">
        <f>IF('Données projet'!$A$62&gt;35,AI35+AH36-AQ35,IF(A36&lt;'Données projet'!$A$62,$AF$205^A36,IF(A36='Données projet'!$A$62,'Données projet'!$B$62,AI35+AH36-AQ35)))</f>
        <v>332.1214285714284</v>
      </c>
      <c r="AJ36" s="13">
        <f>AI36*VLOOKUP('Données projet'!$B$10,Paramètres!$A$1:$I$89,3,0)*VLOOKUP('Données projet'!$B$10,Paramètres!$A$1:$I$89,5,0)</f>
        <v>155.43282857142847</v>
      </c>
      <c r="AK36" s="13">
        <f t="shared" si="35"/>
        <v>39.810647306302705</v>
      </c>
      <c r="AL36" s="20">
        <f t="shared" si="4"/>
        <v>340.0490538203818</v>
      </c>
      <c r="AM36" s="59">
        <f t="shared" si="5"/>
        <v>585.01704890485018</v>
      </c>
      <c r="AN36" s="59">
        <f ca="1">AVERAGE(OFFSET($AM$3,0,0,'Données projet'!$E$10+1,1))-AVERAGE(OFFSET($H$3,0,0,'Données projet'!$E$10+1,1))</f>
        <v>382.89338473200229</v>
      </c>
      <c r="AO36" s="59">
        <f t="shared" si="36"/>
        <v>360.46248248971744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56.809453204854996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4.6153846153846132</v>
      </c>
      <c r="BD36" s="12">
        <f>IF('Données projet'!$A$88&gt;35,BD35+BC36-BL35,IF(A36&lt;'Données projet'!$A$88,$BA$205^A36,IF(A36='Données projet'!$A$88,'Données projet'!$B$88,BD35+BC36-BL35)))</f>
        <v>77.307692307692307</v>
      </c>
      <c r="BE36" s="13">
        <f>BD36*VLOOKUP('Données projet'!$B$11,Paramètres!$A$1:$I$89,3,0)*VLOOKUP('Données projet'!$B$11,Paramètres!$A$1:$I$89,5,0)</f>
        <v>67.536000000000001</v>
      </c>
      <c r="BF36" s="13">
        <f t="shared" si="37"/>
        <v>19.060289237119235</v>
      </c>
      <c r="BG36" s="20">
        <f t="shared" si="7"/>
        <v>150.82187042131599</v>
      </c>
      <c r="BH36" s="59">
        <f t="shared" si="8"/>
        <v>395.78986550578435</v>
      </c>
      <c r="BI36" s="59">
        <f ca="1">AVERAGE(OFFSET($BH$3,0,0,'Données projet'!$E$11+1,1))-AVERAGE(OFFSET($H$3,0,0,'Données projet'!$E$11+1,1))</f>
        <v>225.75484198243581</v>
      </c>
      <c r="BJ36" s="59">
        <f t="shared" si="38"/>
        <v>199.49566488421061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7.1388575922728261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7.1388575922728261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56.809453204854996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8</v>
      </c>
      <c r="BY36" s="12">
        <f>IF('Données projet'!$A$114&gt;35,BY35+BX36-CG35,IF(A36&lt;'Données projet'!$A$114,$BV$205^A36,IF(A36='Données projet'!$A$114,'Données projet'!$B$114,BY35+BX36-CG35)))</f>
        <v>100</v>
      </c>
      <c r="BZ36" s="13">
        <f>BY36*VLOOKUP('Données projet'!$B$12,Paramètres!$A$1:$I$89,3,0)*VLOOKUP('Données projet'!$B$12,Paramètres!$A$1:$I$89,5,0)</f>
        <v>95.16</v>
      </c>
      <c r="CA36" s="13">
        <f t="shared" si="39"/>
        <v>25.80562620332617</v>
      </c>
      <c r="CB36" s="20">
        <f t="shared" si="10"/>
        <v>210.68179897079304</v>
      </c>
      <c r="CC36" s="59">
        <f t="shared" si="11"/>
        <v>455.6497940552614</v>
      </c>
      <c r="CD36" s="59">
        <f ca="1">AVERAGE(OFFSET($CC$3,0,0,'Données projet'!$E$12+1,1))-AVERAGE(OFFSET($H$3,0,0,'Données projet'!$E$12+1,1))</f>
        <v>413.9352601863377</v>
      </c>
      <c r="CE36" s="59">
        <f t="shared" si="40"/>
        <v>255.13997349799286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0</v>
      </c>
      <c r="CL36" s="21">
        <f>EXP(-LN(2)/25)*CL35+(1-EXP(-LN(2)/25))/(LN(2)/25)*Calculateur!CG36*Calculateur!CI36*VLOOKUP('Données projet'!$B$12,Paramètres!$A$1:$I$89,3,0)*0.475*44/12</f>
        <v>2.898535514589113</v>
      </c>
      <c r="CM36" s="21">
        <f>EXP(-LN(2)/2)*CM35+(1-EXP(-LN(2)/2))/(LN(2)/2)*CG36*CJ36*VLOOKUP('Données projet'!$B$12,Paramètres!$A$1:$I$89,3,0)*0.475*44/12</f>
        <v>1.7788005180929614</v>
      </c>
      <c r="CN36" s="22">
        <f t="shared" si="12"/>
        <v>4.6773360326820743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56.809453204854996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8.6</v>
      </c>
      <c r="CT36" s="12">
        <f>IF('Données projet'!$A$140&gt;35,CT35+CS36-DB35,IF(A36&lt;'Données projet'!$A$140,$CQ$205^A36,IF(A36='Données projet'!$A$140,'Données projet'!$B$140,CT35+CS36-DB35)))</f>
        <v>118.79999999999997</v>
      </c>
      <c r="CU36" s="17">
        <f>CT36*VLOOKUP('Données projet'!$B$13,Paramètres!$A$1:$I$89,3,0)*VLOOKUP('Données projet'!$B$13,Paramètres!$A$1:$I$89,5,0)</f>
        <v>103.78367999999999</v>
      </c>
      <c r="CV36" s="13">
        <f t="shared" si="41"/>
        <v>27.861449539780477</v>
      </c>
      <c r="CW36" s="20">
        <f t="shared" si="13"/>
        <v>229.28193394845096</v>
      </c>
      <c r="CX36" s="59">
        <f t="shared" si="14"/>
        <v>474.24992903291934</v>
      </c>
      <c r="CY36" s="59">
        <f ca="1">AVERAGE(OFFSET($CX$3,0,0,'Données projet'!$E$13+1,1))-AVERAGE(OFFSET($H$3,0,0,'Données projet'!$E$13+1,1))</f>
        <v>280.59827778697775</v>
      </c>
      <c r="CZ36" s="59">
        <f t="shared" si="42"/>
        <v>270.86588231964726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>
        <f>EXP(-LN(2)/35)*DF35+(1-EXP(-LN(2)/35))/(LN(2)/35)*DB36*DC36*VLOOKUP('Données projet'!$B$13,Paramètres!$A$1:$I$89,3,0)*0.475*44/12</f>
        <v>0</v>
      </c>
      <c r="DG36" s="21">
        <f>EXP(-LN(2)/25)*DG35+(1-EXP(-LN(2)/25))/(LN(2)/25)*Calculateur!DB36*Calculateur!DD36*VLOOKUP('Données projet'!$B$13,Paramètres!$A$1:$I$89,3,0)*0.475*44/12</f>
        <v>6.4736746838596844</v>
      </c>
      <c r="DH36" s="21">
        <f>EXP(-LN(2)/2)*DH35+(1-EXP(-LN(2)/2))/(LN(2)/2)*DB36*DE36*VLOOKUP('Données projet'!$B$13,Paramètres!$A$1:$I$89,3,0)*0.475*44/12</f>
        <v>1.8482374247427424</v>
      </c>
      <c r="DI36" s="22">
        <f t="shared" si="15"/>
        <v>8.3219121086024259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56.809453204854996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4.7435897435897445</v>
      </c>
      <c r="DO36" s="12">
        <f>IF('Données projet'!$A$166&gt;35,DO35+DN36-DW35,IF(A36&lt;'Données projet'!$A$166,$DL$205^A36,IF(A36='Données projet'!$A$166,'Données projet'!$B$166,DO35+DN36-DW35)))</f>
        <v>66.794871794871824</v>
      </c>
      <c r="DP36" s="17">
        <f>DO36*VLOOKUP('Données projet'!$B$14,Paramètres!$A$1:$I$89,3,0)*VLOOKUP('Données projet'!$B$14,Paramètres!$A$1:$I$89,5,0)</f>
        <v>44.806000000000019</v>
      </c>
      <c r="DQ36" s="13">
        <f t="shared" si="43"/>
        <v>13.263944887681435</v>
      </c>
      <c r="DR36" s="20">
        <f t="shared" si="16"/>
        <v>101.13848734604518</v>
      </c>
      <c r="DS36" s="59">
        <f t="shared" si="17"/>
        <v>346.10648243051355</v>
      </c>
      <c r="DT36" s="59">
        <f ca="1">AVERAGE(OFFSET($DS$3,0,0,'Données projet'!$E$14+1,1))-AVERAGE(OFFSET($H$3,0,0,'Données projet'!$E$14+1,1))</f>
        <v>211.42385430331873</v>
      </c>
      <c r="DU36" s="59">
        <f t="shared" si="44"/>
        <v>146.84623106782686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>
        <f>EXP(-LN(2)/35)*EA35+(1-EXP(-LN(2)/35))/(LN(2)/35)*DW36*DX36*VLOOKUP('Données projet'!$B$14,Paramètres!$A$1:$I$89,3,0)*0.475*44/12</f>
        <v>0</v>
      </c>
      <c r="EB36" s="21">
        <f>EXP(-LN(2)/25)*EB35+(1-EXP(-LN(2)/25))/(LN(2)/25)*Calculateur!DW36*Calculateur!DY36*VLOOKUP('Données projet'!$B$14,Paramètres!$A$1:$I$89,3,0)*0.475*44/12</f>
        <v>2.2164899182653732</v>
      </c>
      <c r="EC36" s="21">
        <f>EXP(-LN(2)/2)*EC35+(1-EXP(-LN(2)/2))/(LN(2)/2)*DW36*DZ36*VLOOKUP('Données projet'!$B$14,Paramètres!$A$1:$I$89,3,0)*0.475*44/12</f>
        <v>0.71704740707540993</v>
      </c>
      <c r="ED36" s="22">
        <f t="shared" si="18"/>
        <v>2.933537325340783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56.809453204854996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2.4358974358974343</v>
      </c>
      <c r="EJ36" s="12">
        <f>IF('Données projet'!$A$192&gt;35,EJ35+EI36-ER35,IF(A36&lt;'Données projet'!$A$192,$EG$205^A36,IF(A36='Données projet'!$A$192,'Données projet'!$B$192,EJ35+EI36-ER35)))</f>
        <v>36.153846153846146</v>
      </c>
      <c r="EK36" s="17">
        <f>EJ36*VLOOKUP('Données projet'!$B$15,Paramètres!$A$1:$I$89,3,0)*VLOOKUP('Données projet'!$B$15,Paramètres!$A$1:$I$89,5,0)</f>
        <v>38.91599999999999</v>
      </c>
      <c r="EL36" s="13">
        <f t="shared" si="45"/>
        <v>11.710874792714328</v>
      </c>
      <c r="EM36" s="20">
        <f t="shared" si="19"/>
        <v>88.17514026397744</v>
      </c>
      <c r="EN36" s="59">
        <f t="shared" si="20"/>
        <v>333.14313534844581</v>
      </c>
      <c r="EO36" s="59">
        <f ca="1">AVERAGE(OFFSET($EN$3,0,0,'Données projet'!$E$15+1,1))-AVERAGE(OFFSET($H$3,0,0,'Données projet'!$E$15+1,1))</f>
        <v>212.00478362779876</v>
      </c>
      <c r="EP36" s="59">
        <f t="shared" si="46"/>
        <v>133.62262474506707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>
        <f>EXP(-LN(2)/35)*EV35+(1-EXP(-LN(2)/35))/(LN(2)/35)*ER36*ES36*VLOOKUP('Données projet'!$B$15,Paramètres!$A$1:$I$89,3,0)*0.475*44/12</f>
        <v>0</v>
      </c>
      <c r="EW36" s="21">
        <f>EXP(-LN(2)/25)*EW35+(1-EXP(-LN(2)/25))/(LN(2)/25)*Calculateur!ER36*Calculateur!ET36*VLOOKUP('Données projet'!$B$15,Paramètres!$A$1:$I$89,3,0)*0.475*44/12</f>
        <v>1.1901029814506476</v>
      </c>
      <c r="EX36" s="21">
        <f>EXP(-LN(2)/2)*EX35+(1-EXP(-LN(2)/2))/(LN(2)/2)*ER36*EU36*VLOOKUP('Données projet'!$B$15,Paramètres!$A$1:$I$89,3,0)*0.475*44/12</f>
        <v>0.55190184882195259</v>
      </c>
      <c r="EY36" s="22">
        <f t="shared" si="21"/>
        <v>1.7420048302726001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56.809453204854996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2.4358974358974343</v>
      </c>
      <c r="FE36" s="12">
        <f>IF('Données projet'!$A$218&gt;35,FE35+FD36-FM35,IF(A36&lt;'Données projet'!$A$218,$FB$205^A36,IF(A36='Données projet'!$A$218,'Données projet'!$B$218,FE35+FD36-FM35)))</f>
        <v>36.153846153846146</v>
      </c>
      <c r="FF36" s="17">
        <f>FE36*VLOOKUP('Données projet'!$B$16,Paramètres!$A$1:$I$89,3,0)*VLOOKUP('Données projet'!$B$16,Paramètres!$A$1:$I$89,5,0)</f>
        <v>34.967999999999996</v>
      </c>
      <c r="FG36" s="13">
        <f t="shared" si="47"/>
        <v>10.654659569561517</v>
      </c>
      <c r="FH36" s="20">
        <f t="shared" si="22"/>
        <v>79.459465416986305</v>
      </c>
      <c r="FI36" s="59">
        <f t="shared" si="23"/>
        <v>324.42746050145468</v>
      </c>
      <c r="FJ36" s="59">
        <f ca="1">AVERAGE(OFFSET($FI$3,0,0,'Données projet'!$E$16+1,1))-AVERAGE(OFFSET($H$3,0,0,'Données projet'!$E$16+1,1))</f>
        <v>196.65742339093146</v>
      </c>
      <c r="FK36" s="59">
        <f t="shared" si="48"/>
        <v>125.41980634506001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>
        <f>EXP(-LN(2)/35)*FQ35+(1-EXP(-LN(2)/35))/(LN(2)/35)*FM36*FN36*VLOOKUP('Données projet'!$B$16,Paramètres!$A$1:$I$89,3,0)*0.475*44/12</f>
        <v>0</v>
      </c>
      <c r="FR36" s="21">
        <f>EXP(-LN(2)/25)*FR35+(1-EXP(-LN(2)/25))/(LN(2)/25)*Calculateur!FM36*Calculateur!FO36*VLOOKUP('Données projet'!$B$16,Paramètres!$A$1:$I$89,3,0)*0.475*44/12</f>
        <v>1.0693678963759443</v>
      </c>
      <c r="FS36" s="21">
        <f>EXP(-LN(2)/2)*FS35+(1-EXP(-LN(2)/2))/(LN(2)/2)*FM36*FP36*VLOOKUP('Données projet'!$B$16,Paramètres!$A$1:$I$89,3,0)*0.475*44/12</f>
        <v>0.49591180618784159</v>
      </c>
      <c r="FT36" s="22">
        <f t="shared" si="24"/>
        <v>1.5652797025637859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56.809453204854996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56.809453204854996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>
      <c r="A37" s="10">
        <f t="shared" si="31"/>
        <v>34</v>
      </c>
      <c r="B37" s="73">
        <f>'Scénario référence'!$B$16*5+'Scénario référence'!$B$17*0+'Scénario référence'!$B$18*5</f>
        <v>4.6999999999999993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1.8139680000000007</v>
      </c>
      <c r="D37" s="11">
        <f t="shared" si="32"/>
        <v>0.77996874220925738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17.400735613935513</v>
      </c>
      <c r="H37" s="67">
        <f t="shared" si="1"/>
        <v>192.25110649268115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57.038279702106003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16.693750000000001</v>
      </c>
      <c r="N37" s="13">
        <f>IF('Données projet'!$A$36&gt;35,N36+M37-V36,IF(A37&lt;'Données projet'!$A$36,$K$205^A37,IF(A37='Données projet'!$A$36,'Données projet'!$B$36,N36+M37-V36)))</f>
        <v>183.88375000000002</v>
      </c>
      <c r="O37" s="13">
        <f>N37*VLOOKUP('Données projet'!$B$9,Paramètres!$A$1:$I$89,3,0)*VLOOKUP('Données projet'!$B$9,Paramètres!$A$1:$I$89,5,0)</f>
        <v>109.96248250000002</v>
      </c>
      <c r="P37" s="13">
        <f t="shared" si="33"/>
        <v>29.322144981447174</v>
      </c>
      <c r="Q37" s="20">
        <f t="shared" si="53"/>
        <v>242.58739286352048</v>
      </c>
      <c r="R37" s="59">
        <f t="shared" si="0"/>
        <v>488.39441843790911</v>
      </c>
      <c r="S37" s="59">
        <f ca="1">AVERAGE(OFFSET($R$3,0,0,'Données projet'!$E$9+1,1))-AVERAGE(OFFSET($H$3,0,0,'Données projet'!$E$9+1,1))</f>
        <v>366.93249569585623</v>
      </c>
      <c r="T37" s="59">
        <f t="shared" si="34"/>
        <v>272.47262353368501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11.064567938166578</v>
      </c>
      <c r="AA37" s="21">
        <f>EXP(-LN(2)/25)*AA36+(1-EXP(-LN(2)/25))/(LN(2)/25)*Calculateur!V37*Calculateur!X37*VLOOKUP('Données projet'!$B$9,Paramètres!$A$1:$I$89,3,0)*0.475*44/12</f>
        <v>15.530410710797261</v>
      </c>
      <c r="AB37" s="21">
        <f>EXP(-LN(2)/2)*AB36+(1-EXP(-LN(2)/2))/(LN(2)/2)*V37*Y37*VLOOKUP('Données projet'!$B$9,Paramètres!$A$1:$I$89,3,0)*0.475*44/12</f>
        <v>10.254325955511746</v>
      </c>
      <c r="AC37" s="22">
        <f t="shared" si="3"/>
        <v>36.849304604475584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57.038279702106003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10.064285714285713</v>
      </c>
      <c r="AI37" s="13">
        <f>IF('Données projet'!$A$62&gt;35,AI36+AH37-AQ36,IF(A37&lt;'Données projet'!$A$62,$AF$205^A37,IF(A37='Données projet'!$A$62,'Données projet'!$B$62,AI36+AH37-AQ36)))</f>
        <v>342.18571428571408</v>
      </c>
      <c r="AJ37" s="13">
        <f>AI37*VLOOKUP('Données projet'!$B$10,Paramètres!$A$1:$I$89,3,0)*VLOOKUP('Données projet'!$B$10,Paramètres!$A$1:$I$89,5,0)</f>
        <v>160.1429142857142</v>
      </c>
      <c r="AK37" s="13">
        <f t="shared" si="35"/>
        <v>40.8747484475928</v>
      </c>
      <c r="AL37" s="20">
        <f t="shared" si="4"/>
        <v>350.10576259384294</v>
      </c>
      <c r="AM37" s="59">
        <f t="shared" si="5"/>
        <v>595.9127881682316</v>
      </c>
      <c r="AN37" s="59">
        <f ca="1">AVERAGE(OFFSET($AM$3,0,0,'Données projet'!$E$10+1,1))-AVERAGE(OFFSET($H$3,0,0,'Données projet'!$E$10+1,1))</f>
        <v>382.89338473200229</v>
      </c>
      <c r="AO37" s="59">
        <f t="shared" si="36"/>
        <v>360.46248248971744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57.038279702106003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4.6153846153846132</v>
      </c>
      <c r="BD37" s="12">
        <f>IF('Données projet'!$A$88&gt;35,BD36+BC37-BL36,IF(A37&lt;'Données projet'!$A$88,$BA$205^A37,IF(A37='Données projet'!$A$88,'Données projet'!$B$88,BD36+BC37-BL36)))</f>
        <v>81.92307692307692</v>
      </c>
      <c r="BE37" s="13">
        <f>BD37*VLOOKUP('Données projet'!$B$11,Paramètres!$A$1:$I$89,3,0)*VLOOKUP('Données projet'!$B$11,Paramètres!$A$1:$I$89,5,0)</f>
        <v>71.567999999999998</v>
      </c>
      <c r="BF37" s="13">
        <f t="shared" si="37"/>
        <v>20.062343777240766</v>
      </c>
      <c r="BG37" s="20">
        <f t="shared" si="7"/>
        <v>159.58951541202768</v>
      </c>
      <c r="BH37" s="59">
        <f t="shared" si="8"/>
        <v>405.39654098641631</v>
      </c>
      <c r="BI37" s="59">
        <f ca="1">AVERAGE(OFFSET($BH$3,0,0,'Données projet'!$E$11+1,1))-AVERAGE(OFFSET($H$3,0,0,'Données projet'!$E$11+1,1))</f>
        <v>225.75484198243581</v>
      </c>
      <c r="BJ37" s="59">
        <f t="shared" si="38"/>
        <v>199.49566488421061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6.9436451559959211</v>
      </c>
      <c r="BR37" s="21">
        <f>EXP(-LN(2)/2)*BR36+(1-EXP(-LN(2)/2))/(LN(2)/2)*BL37*BO37*VLOOKUP('Données projet'!$B$11,Paramètres!$A$1:$I$89,3,0)*0.475*44/12</f>
        <v>0</v>
      </c>
      <c r="BS37" s="22">
        <f t="shared" si="9"/>
        <v>6.9436451559959211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57.038279702106003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8</v>
      </c>
      <c r="BY37" s="12">
        <f>IF('Données projet'!$A$114&gt;35,BY36+BX37-CG36,IF(A37&lt;'Données projet'!$A$114,$BV$205^A37,IF(A37='Données projet'!$A$114,'Données projet'!$B$114,BY36+BX37-CG36)))</f>
        <v>108</v>
      </c>
      <c r="BZ37" s="13">
        <f>BY37*VLOOKUP('Données projet'!$B$12,Paramètres!$A$1:$I$89,3,0)*VLOOKUP('Données projet'!$B$12,Paramètres!$A$1:$I$89,5,0)</f>
        <v>102.77279999999999</v>
      </c>
      <c r="CA37" s="13">
        <f t="shared" si="39"/>
        <v>27.621523727415045</v>
      </c>
      <c r="CB37" s="20">
        <f t="shared" si="10"/>
        <v>227.10344715858119</v>
      </c>
      <c r="CC37" s="59">
        <f t="shared" si="11"/>
        <v>472.91047273296982</v>
      </c>
      <c r="CD37" s="59">
        <f ca="1">AVERAGE(OFFSET($CC$3,0,0,'Données projet'!$E$12+1,1))-AVERAGE(OFFSET($H$3,0,0,'Données projet'!$E$12+1,1))</f>
        <v>413.9352601863377</v>
      </c>
      <c r="CE37" s="59">
        <f t="shared" si="40"/>
        <v>255.13997349799286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0</v>
      </c>
      <c r="CL37" s="21">
        <f>EXP(-LN(2)/25)*CL36+(1-EXP(-LN(2)/25))/(LN(2)/25)*Calculateur!CG37*Calculateur!CI37*VLOOKUP('Données projet'!$B$12,Paramètres!$A$1:$I$89,3,0)*0.475*44/12</f>
        <v>2.8192749085153155</v>
      </c>
      <c r="CM37" s="21">
        <f>EXP(-LN(2)/2)*CM36+(1-EXP(-LN(2)/2))/(LN(2)/2)*CG37*CJ37*VLOOKUP('Données projet'!$B$12,Paramètres!$A$1:$I$89,3,0)*0.475*44/12</f>
        <v>1.2578019087216772</v>
      </c>
      <c r="CN37" s="22">
        <f t="shared" si="12"/>
        <v>4.0770768172369927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57.038279702106003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8.6</v>
      </c>
      <c r="CT37" s="12">
        <f>IF('Données projet'!$A$140&gt;35,CT36+CS37-DB36,IF(A37&lt;'Données projet'!$A$140,$CQ$205^A37,IF(A37='Données projet'!$A$140,'Données projet'!$B$140,CT36+CS37-DB36)))</f>
        <v>127.39999999999996</v>
      </c>
      <c r="CU37" s="17">
        <f>CT37*VLOOKUP('Données projet'!$B$13,Paramètres!$A$1:$I$89,3,0)*VLOOKUP('Données projet'!$B$13,Paramètres!$A$1:$I$89,5,0)</f>
        <v>111.29663999999997</v>
      </c>
      <c r="CV37" s="13">
        <f t="shared" si="41"/>
        <v>29.636274399319749</v>
      </c>
      <c r="CW37" s="20">
        <f t="shared" si="13"/>
        <v>245.45815924548182</v>
      </c>
      <c r="CX37" s="59">
        <f t="shared" si="14"/>
        <v>491.26518481987046</v>
      </c>
      <c r="CY37" s="59">
        <f ca="1">AVERAGE(OFFSET($CX$3,0,0,'Données projet'!$E$13+1,1))-AVERAGE(OFFSET($H$3,0,0,'Données projet'!$E$13+1,1))</f>
        <v>280.59827778697775</v>
      </c>
      <c r="CZ37" s="59">
        <f t="shared" si="42"/>
        <v>270.86588231964726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>
        <f>EXP(-LN(2)/35)*DF36+(1-EXP(-LN(2)/35))/(LN(2)/35)*DB37*DC37*VLOOKUP('Données projet'!$B$13,Paramètres!$A$1:$I$89,3,0)*0.475*44/12</f>
        <v>0</v>
      </c>
      <c r="DG37" s="21">
        <f>EXP(-LN(2)/25)*DG36+(1-EXP(-LN(2)/25))/(LN(2)/25)*Calculateur!DB37*Calculateur!DD37*VLOOKUP('Données projet'!$B$13,Paramètres!$A$1:$I$89,3,0)*0.475*44/12</f>
        <v>6.2966517091937853</v>
      </c>
      <c r="DH37" s="21">
        <f>EXP(-LN(2)/2)*DH36+(1-EXP(-LN(2)/2))/(LN(2)/2)*DB37*DE37*VLOOKUP('Données projet'!$B$13,Paramètres!$A$1:$I$89,3,0)*0.475*44/12</f>
        <v>1.3069012162783546</v>
      </c>
      <c r="DI37" s="22">
        <f t="shared" si="15"/>
        <v>7.6035529254721403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57.038279702106003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4.7435897435897445</v>
      </c>
      <c r="DO37" s="12">
        <f>IF('Données projet'!$A$166&gt;35,DO36+DN37-DW36,IF(A37&lt;'Données projet'!$A$166,$DL$205^A37,IF(A37='Données projet'!$A$166,'Données projet'!$B$166,DO36+DN37-DW36)))</f>
        <v>71.538461538461576</v>
      </c>
      <c r="DP37" s="17">
        <f>DO37*VLOOKUP('Données projet'!$B$14,Paramètres!$A$1:$I$89,3,0)*VLOOKUP('Données projet'!$B$14,Paramètres!$A$1:$I$89,5,0)</f>
        <v>47.988000000000028</v>
      </c>
      <c r="DQ37" s="13">
        <f t="shared" si="43"/>
        <v>14.092916364095769</v>
      </c>
      <c r="DR37" s="20">
        <f t="shared" si="16"/>
        <v>108.12426266746684</v>
      </c>
      <c r="DS37" s="59">
        <f t="shared" si="17"/>
        <v>353.93128824185544</v>
      </c>
      <c r="DT37" s="59">
        <f ca="1">AVERAGE(OFFSET($DS$3,0,0,'Données projet'!$E$14+1,1))-AVERAGE(OFFSET($H$3,0,0,'Données projet'!$E$14+1,1))</f>
        <v>211.42385430331873</v>
      </c>
      <c r="DU37" s="59">
        <f t="shared" si="44"/>
        <v>146.84623106782686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>
        <f>EXP(-LN(2)/35)*EA36+(1-EXP(-LN(2)/35))/(LN(2)/35)*DW37*DX37*VLOOKUP('Données projet'!$B$14,Paramètres!$A$1:$I$89,3,0)*0.475*44/12</f>
        <v>0</v>
      </c>
      <c r="EB37" s="21">
        <f>EXP(-LN(2)/25)*EB36+(1-EXP(-LN(2)/25))/(LN(2)/25)*Calculateur!DW37*Calculateur!DY37*VLOOKUP('Données projet'!$B$14,Paramètres!$A$1:$I$89,3,0)*0.475*44/12</f>
        <v>2.1558798848902678</v>
      </c>
      <c r="EC37" s="21">
        <f>EXP(-LN(2)/2)*EC36+(1-EXP(-LN(2)/2))/(LN(2)/2)*DW37*DZ37*VLOOKUP('Données projet'!$B$14,Paramètres!$A$1:$I$89,3,0)*0.475*44/12</f>
        <v>0.50702908397525315</v>
      </c>
      <c r="ED37" s="22">
        <f t="shared" si="18"/>
        <v>2.662908968865521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57.038279702106003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2.4358974358974343</v>
      </c>
      <c r="EJ37" s="12">
        <f>IF('Données projet'!$A$192&gt;35,EJ36+EI37-ER36,IF(A37&lt;'Données projet'!$A$192,$EG$205^A37,IF(A37='Données projet'!$A$192,'Données projet'!$B$192,EJ36+EI37-ER36)))</f>
        <v>38.589743589743577</v>
      </c>
      <c r="EK37" s="17">
        <f>EJ37*VLOOKUP('Données projet'!$B$15,Paramètres!$A$1:$I$89,3,0)*VLOOKUP('Données projet'!$B$15,Paramètres!$A$1:$I$89,5,0)</f>
        <v>41.537999999999982</v>
      </c>
      <c r="EL37" s="13">
        <f t="shared" si="45"/>
        <v>12.405394540905903</v>
      </c>
      <c r="EM37" s="20">
        <f t="shared" si="19"/>
        <v>93.951412158744404</v>
      </c>
      <c r="EN37" s="59">
        <f t="shared" si="20"/>
        <v>339.75843773313306</v>
      </c>
      <c r="EO37" s="59">
        <f ca="1">AVERAGE(OFFSET($EN$3,0,0,'Données projet'!$E$15+1,1))-AVERAGE(OFFSET($H$3,0,0,'Données projet'!$E$15+1,1))</f>
        <v>212.00478362779876</v>
      </c>
      <c r="EP37" s="59">
        <f t="shared" si="46"/>
        <v>133.62262474506707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>
        <f>EXP(-LN(2)/35)*EV36+(1-EXP(-LN(2)/35))/(LN(2)/35)*ER37*ES37*VLOOKUP('Données projet'!$B$15,Paramètres!$A$1:$I$89,3,0)*0.475*44/12</f>
        <v>0</v>
      </c>
      <c r="EW37" s="21">
        <f>EXP(-LN(2)/25)*EW36+(1-EXP(-LN(2)/25))/(LN(2)/25)*Calculateur!ER37*Calculateur!ET37*VLOOKUP('Données projet'!$B$15,Paramètres!$A$1:$I$89,3,0)*0.475*44/12</f>
        <v>1.157559552838084</v>
      </c>
      <c r="EX37" s="21">
        <f>EXP(-LN(2)/2)*EX36+(1-EXP(-LN(2)/2))/(LN(2)/2)*ER37*EU37*VLOOKUP('Données projet'!$B$15,Paramètres!$A$1:$I$89,3,0)*0.475*44/12</f>
        <v>0.39025353985139549</v>
      </c>
      <c r="EY37" s="22">
        <f t="shared" si="21"/>
        <v>1.5478130926894795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57.038279702106003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2.4358974358974343</v>
      </c>
      <c r="FE37" s="12">
        <f>IF('Données projet'!$A$218&gt;35,FE36+FD37-FM36,IF(A37&lt;'Données projet'!$A$218,$FB$205^A37,IF(A37='Données projet'!$A$218,'Données projet'!$B$218,FE36+FD37-FM36)))</f>
        <v>38.589743589743577</v>
      </c>
      <c r="FF37" s="17">
        <f>FE37*VLOOKUP('Données projet'!$B$16,Paramètres!$A$1:$I$89,3,0)*VLOOKUP('Données projet'!$B$16,Paramètres!$A$1:$I$89,5,0)</f>
        <v>37.323999999999991</v>
      </c>
      <c r="FG37" s="13">
        <f t="shared" si="47"/>
        <v>11.286539904062446</v>
      </c>
      <c r="FH37" s="20">
        <f t="shared" si="22"/>
        <v>84.663356999575399</v>
      </c>
      <c r="FI37" s="59">
        <f t="shared" si="23"/>
        <v>330.470382573964</v>
      </c>
      <c r="FJ37" s="59">
        <f ca="1">AVERAGE(OFFSET($FI$3,0,0,'Données projet'!$E$16+1,1))-AVERAGE(OFFSET($H$3,0,0,'Données projet'!$E$16+1,1))</f>
        <v>196.65742339093146</v>
      </c>
      <c r="FK37" s="59">
        <f t="shared" si="48"/>
        <v>125.41980634506001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>
        <f>EXP(-LN(2)/35)*FQ36+(1-EXP(-LN(2)/35))/(LN(2)/35)*FM37*FN37*VLOOKUP('Données projet'!$B$16,Paramètres!$A$1:$I$89,3,0)*0.475*44/12</f>
        <v>0</v>
      </c>
      <c r="FR37" s="21">
        <f>EXP(-LN(2)/25)*FR36+(1-EXP(-LN(2)/25))/(LN(2)/25)*Calculateur!FM37*Calculateur!FO37*VLOOKUP('Données projet'!$B$16,Paramètres!$A$1:$I$89,3,0)*0.475*44/12</f>
        <v>1.0401259750139304</v>
      </c>
      <c r="FS37" s="21">
        <f>EXP(-LN(2)/2)*FS36+(1-EXP(-LN(2)/2))/(LN(2)/2)*FM37*FP37*VLOOKUP('Données projet'!$B$16,Paramètres!$A$1:$I$89,3,0)*0.475*44/12</f>
        <v>0.3506626010258917</v>
      </c>
      <c r="FT37" s="22">
        <f t="shared" si="24"/>
        <v>1.3907885760398222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57.038279702106003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57.038279702106003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>
      <c r="A38" s="10">
        <f t="shared" si="31"/>
        <v>35</v>
      </c>
      <c r="B38" s="73">
        <f>'Scénario référence'!$B$16*5+'Scénario référence'!$B$17*0+'Scénario référence'!$B$18*5</f>
        <v>4.6999999999999993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1.8673200000000008</v>
      </c>
      <c r="D38" s="11">
        <f t="shared" si="32"/>
        <v>0.80020442987787133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17.434818332434663</v>
      </c>
      <c r="H38" s="67">
        <f t="shared" si="1"/>
        <v>192.37927171537063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57.263136571209095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16.693750000000001</v>
      </c>
      <c r="N38" s="13">
        <f>IF('Données projet'!$A$36&gt;35,N37+M38-V37,IF(A38&lt;'Données projet'!$A$36,$K$205^A38,IF(A38='Données projet'!$A$36,'Données projet'!$B$36,N37+M38-V37)))</f>
        <v>200.57750000000001</v>
      </c>
      <c r="O38" s="13">
        <f>N38*VLOOKUP('Données projet'!$B$9,Paramètres!$A$1:$I$89,3,0)*VLOOKUP('Données projet'!$B$9,Paramètres!$A$1:$I$89,5,0)</f>
        <v>119.94534500000002</v>
      </c>
      <c r="P38" s="13">
        <f t="shared" si="33"/>
        <v>31.662251574949313</v>
      </c>
      <c r="Q38" s="20">
        <f t="shared" si="53"/>
        <v>264.04989736803674</v>
      </c>
      <c r="R38" s="59">
        <f t="shared" si="0"/>
        <v>510.68139812913671</v>
      </c>
      <c r="S38" s="59">
        <f ca="1">AVERAGE(OFFSET($R$3,0,0,'Données projet'!$E$9+1,1))-AVERAGE(OFFSET($H$3,0,0,'Données projet'!$E$9+1,1))</f>
        <v>366.93249569585623</v>
      </c>
      <c r="T38" s="59">
        <f t="shared" si="34"/>
        <v>272.47262353368501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10.847598509619193</v>
      </c>
      <c r="AA38" s="21">
        <f>EXP(-LN(2)/25)*AA37+(1-EXP(-LN(2)/25))/(LN(2)/25)*Calculateur!V38*Calculateur!X38*VLOOKUP('Données projet'!$B$9,Paramètres!$A$1:$I$89,3,0)*0.475*44/12</f>
        <v>15.105730813201706</v>
      </c>
      <c r="AB38" s="21">
        <f>EXP(-LN(2)/2)*AB37+(1-EXP(-LN(2)/2))/(LN(2)/2)*V38*Y38*VLOOKUP('Données projet'!$B$9,Paramètres!$A$1:$I$89,3,0)*0.475*44/12</f>
        <v>7.2509034196395792</v>
      </c>
      <c r="AC38" s="22">
        <f t="shared" si="3"/>
        <v>33.204232742460476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57.263136571209095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10.064285714285713</v>
      </c>
      <c r="AI38" s="13">
        <f>IF('Données projet'!$A$62&gt;35,AI37+AH38-AQ37,IF(A38&lt;'Données projet'!$A$62,$AF$205^A38,IF(A38='Données projet'!$A$62,'Données projet'!$B$62,AI37+AH38-AQ37)))</f>
        <v>352.24999999999977</v>
      </c>
      <c r="AJ38" s="13">
        <f>AI38*VLOOKUP('Données projet'!$B$10,Paramètres!$A$1:$I$89,3,0)*VLOOKUP('Données projet'!$B$10,Paramètres!$A$1:$I$89,5,0)</f>
        <v>164.85299999999989</v>
      </c>
      <c r="AK38" s="13">
        <f t="shared" si="35"/>
        <v>41.935212282048305</v>
      </c>
      <c r="AL38" s="20">
        <f t="shared" si="4"/>
        <v>360.15613639123393</v>
      </c>
      <c r="AM38" s="59">
        <f t="shared" si="5"/>
        <v>606.7876371523339</v>
      </c>
      <c r="AN38" s="59">
        <f ca="1">AVERAGE(OFFSET($AM$3,0,0,'Données projet'!$E$10+1,1))-AVERAGE(OFFSET($H$3,0,0,'Données projet'!$E$10+1,1))</f>
        <v>382.89338473200229</v>
      </c>
      <c r="AO38" s="59">
        <f t="shared" si="36"/>
        <v>360.46248248971744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0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57.263136571209095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>
        <f>VLOOKUP(A38,'Données projet'!$A$87:$I$107,2,0)</f>
        <v>86.538461538461533</v>
      </c>
      <c r="BB38" s="12">
        <f>VLOOKUP(A38,'Données projet'!$A$87:$I$107,9,0)</f>
        <v>4.6153846153846132</v>
      </c>
      <c r="BC38" s="12">
        <f t="array" ref="BC38">INDEX(BB:BB,MIN(IF(ISNUMBER(BB38:BB234),ROW(BB38:BB234),"")))</f>
        <v>4.6153846153846132</v>
      </c>
      <c r="BD38" s="12">
        <f>IF('Données projet'!$A$88&gt;35,BD37+BC38-BL37,IF(A38&lt;'Données projet'!$A$88,$BA$205^A38,IF(A38='Données projet'!$A$88,'Données projet'!$B$88,BD37+BC38-BL37)))</f>
        <v>86.538461538461533</v>
      </c>
      <c r="BE38" s="13">
        <f>BD38*VLOOKUP('Données projet'!$B$11,Paramètres!$A$1:$I$89,3,0)*VLOOKUP('Données projet'!$B$11,Paramètres!$A$1:$I$89,5,0)</f>
        <v>75.599999999999994</v>
      </c>
      <c r="BF38" s="13">
        <f t="shared" si="37"/>
        <v>21.057844937632133</v>
      </c>
      <c r="BG38" s="20">
        <f t="shared" si="7"/>
        <v>168.34574659970926</v>
      </c>
      <c r="BH38" s="59">
        <f t="shared" si="8"/>
        <v>414.97724736080926</v>
      </c>
      <c r="BI38" s="59">
        <f ca="1">AVERAGE(OFFSET($BH$3,0,0,'Données projet'!$E$11+1,1))-AVERAGE(OFFSET($H$3,0,0,'Données projet'!$E$11+1,1))</f>
        <v>225.75484198243581</v>
      </c>
      <c r="BJ38" s="59">
        <f t="shared" si="38"/>
        <v>199.49566488421061</v>
      </c>
      <c r="BK38" s="15">
        <f>IF(ISNA(VLOOKUP(A38,'Données projet'!$A$87:$I$107,3,0)),0,VLOOKUP(A38,'Données projet'!$A$87:$I$107,3,0))</f>
        <v>4</v>
      </c>
      <c r="BL38" s="15">
        <f>IF(ISNA(VLOOKUP(A38,'Données projet'!$A$87:$I$107,4,0)),0,VLOOKUP(A38,'Données projet'!$A$87:$I$107,4,0))</f>
        <v>12.820512820512819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0.215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0</v>
      </c>
      <c r="BQ38" s="21">
        <f>EXP(-LN(2)/25)*BQ37+(1-EXP(-LN(2)/25))/(LN(2)/25)*Calculateur!BL38*Calculateur!BN38*VLOOKUP('Données projet'!$B$11,Paramètres!$A$1:$I$89,3,0)*0.475*44/12</f>
        <v>9.4052622872618148</v>
      </c>
      <c r="BR38" s="21">
        <f>EXP(-LN(2)/2)*BR37+(1-EXP(-LN(2)/2))/(LN(2)/2)*BL38*BO38*VLOOKUP('Données projet'!$B$11,Paramètres!$A$1:$I$89,3,0)*0.475*44/12</f>
        <v>0</v>
      </c>
      <c r="BS38" s="22">
        <f t="shared" si="9"/>
        <v>9.4052622872618148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57.263136571209095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>
        <f>VLOOKUP(A38,'Données projet'!$A$113:$I$133,2,0)</f>
        <v>116</v>
      </c>
      <c r="BW38" s="12">
        <f>VLOOKUP(A38,'Données projet'!$A$113:$I$133,9,0)</f>
        <v>8</v>
      </c>
      <c r="BX38" s="12">
        <f t="array" ref="BX38">INDEX(BW:BW,MIN(IF(ISNUMBER(BW38:BW234),ROW(BW38:BW234),"")))</f>
        <v>8</v>
      </c>
      <c r="BY38" s="12">
        <f>IF('Données projet'!$A$114&gt;35,BY37+BX38-CG37,IF(A38&lt;'Données projet'!$A$114,$BV$205^A38,IF(A38='Données projet'!$A$114,'Données projet'!$B$114,BY37+BX38-CG37)))</f>
        <v>116</v>
      </c>
      <c r="BZ38" s="13">
        <f>BY38*VLOOKUP('Données projet'!$B$12,Paramètres!$A$1:$I$89,3,0)*VLOOKUP('Données projet'!$B$12,Paramètres!$A$1:$I$89,5,0)</f>
        <v>110.38560000000001</v>
      </c>
      <c r="CA38" s="13">
        <f t="shared" si="39"/>
        <v>29.421816429201407</v>
      </c>
      <c r="CB38" s="20">
        <f t="shared" si="10"/>
        <v>243.49791694752579</v>
      </c>
      <c r="CC38" s="59">
        <f t="shared" si="11"/>
        <v>490.12941770862579</v>
      </c>
      <c r="CD38" s="59">
        <f ca="1">AVERAGE(OFFSET($CC$3,0,0,'Données projet'!$E$12+1,1))-AVERAGE(OFFSET($H$3,0,0,'Données projet'!$E$12+1,1))</f>
        <v>413.9352601863377</v>
      </c>
      <c r="CE38" s="59">
        <f t="shared" si="40"/>
        <v>255.13997349799286</v>
      </c>
      <c r="CF38" s="15">
        <f>IF(ISNA(VLOOKUP(A38,'Données projet'!$A$113:$I$133,3,0)),0,VLOOKUP(A38,'Données projet'!$A$113:$I$133,3,0))</f>
        <v>3</v>
      </c>
      <c r="CG38" s="15">
        <f>IF(ISNA(VLOOKUP(A38,'Données projet'!$A$113:$I$133,4,0)),0,VLOOKUP(A38,'Données projet'!$A$113:$I$133,4,0))</f>
        <v>21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0.1075</v>
      </c>
      <c r="CJ38" s="16">
        <f>IF(ISNA(VLOOKUP(A38,'Données projet'!$A$113:$I$133,7,0)),0%,VLOOKUP(A38,'Données projet'!$A$113:$I$133,7,0))</f>
        <v>0.25</v>
      </c>
      <c r="CK38" s="21">
        <f>EXP(-LN(2)/35)*CK37+(1-EXP(-LN(2)/35))/(LN(2)/35)*CG38*CH38*VLOOKUP('Données projet'!$B$12,Paramètres!$A$1:$I$89,3,0)*0.475*44/12</f>
        <v>0</v>
      </c>
      <c r="CL38" s="21">
        <f>EXP(-LN(2)/25)*CL37+(1-EXP(-LN(2)/25))/(LN(2)/25)*Calculateur!CG38*Calculateur!CI38*VLOOKUP('Données projet'!$B$12,Paramètres!$A$1:$I$89,3,0)*0.475*44/12</f>
        <v>5.1076435184175626</v>
      </c>
      <c r="CM38" s="21">
        <f>EXP(-LN(2)/2)*CM37+(1-EXP(-LN(2)/2))/(LN(2)/2)*CG38*CJ38*VLOOKUP('Données projet'!$B$12,Paramètres!$A$1:$I$89,3,0)*0.475*44/12</f>
        <v>5.6031663717235407</v>
      </c>
      <c r="CN38" s="22">
        <f t="shared" si="12"/>
        <v>10.710809890141103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57.263136571209095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>
        <f>VLOOKUP(A38,'Données projet'!$A$139:$I$159,2,0)</f>
        <v>136</v>
      </c>
      <c r="CR38" s="12">
        <f>VLOOKUP(A38,'Données projet'!$A$139:$I$159,9,0)</f>
        <v>8.6</v>
      </c>
      <c r="CS38" s="12">
        <f t="array" ref="CS38">INDEX(CR:CR,MIN(IF(ISNUMBER(CR38:CR234),ROW(CR38:CR234),"")))</f>
        <v>8.6</v>
      </c>
      <c r="CT38" s="12">
        <f>IF('Données projet'!$A$140&gt;35,CT37+CS38-DB37,IF(A38&lt;'Données projet'!$A$140,$CQ$205^A38,IF(A38='Données projet'!$A$140,'Données projet'!$B$140,CT37+CS38-DB37)))</f>
        <v>135.99999999999997</v>
      </c>
      <c r="CU38" s="17">
        <f>CT38*VLOOKUP('Données projet'!$B$13,Paramètres!$A$1:$I$89,3,0)*VLOOKUP('Données projet'!$B$13,Paramètres!$A$1:$I$89,5,0)</f>
        <v>118.8096</v>
      </c>
      <c r="CV38" s="13">
        <f t="shared" si="41"/>
        <v>31.39719715333722</v>
      </c>
      <c r="CW38" s="20">
        <f t="shared" si="13"/>
        <v>261.61017170872896</v>
      </c>
      <c r="CX38" s="59">
        <f t="shared" si="14"/>
        <v>508.24167246982893</v>
      </c>
      <c r="CY38" s="59">
        <f ca="1">AVERAGE(OFFSET($CX$3,0,0,'Données projet'!$E$13+1,1))-AVERAGE(OFFSET($H$3,0,0,'Données projet'!$E$13+1,1))</f>
        <v>280.59827778697775</v>
      </c>
      <c r="CZ38" s="59">
        <f t="shared" si="42"/>
        <v>270.86588231964726</v>
      </c>
      <c r="DA38" s="15">
        <f>IF(ISNA(VLOOKUP(A38,'Données projet'!$A$139:$I$159,3,0)),0,VLOOKUP(A38,'Données projet'!$A$139:$I$159,3,0))</f>
        <v>4</v>
      </c>
      <c r="DB38" s="15">
        <f>IF(ISNA(VLOOKUP(A38,'Données projet'!$A$139:$I$159,4,0)),0,VLOOKUP(A38,'Données projet'!$A$139:$I$159,4,0))</f>
        <v>21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0.13250000000000001</v>
      </c>
      <c r="DE38" s="16">
        <f>IF(ISNA(VLOOKUP(A38,'Données projet'!$A$139:$I$159,7,0)),0%,VLOOKUP(A38,'Données projet'!$A$139:$I$159,7,0))</f>
        <v>0.25</v>
      </c>
      <c r="DF38" s="21">
        <f>EXP(-LN(2)/35)*DF37+(1-EXP(-LN(2)/35))/(LN(2)/35)*DB38*DC38*VLOOKUP('Données projet'!$B$13,Paramètres!$A$1:$I$89,3,0)*0.475*44/12</f>
        <v>0</v>
      </c>
      <c r="DG38" s="21">
        <f>EXP(-LN(2)/25)*DG37+(1-EXP(-LN(2)/25))/(LN(2)/25)*Calculateur!DB38*Calculateur!DD38*VLOOKUP('Données projet'!$B$13,Paramètres!$A$1:$I$89,3,0)*0.475*44/12</f>
        <v>8.8010575853932576</v>
      </c>
      <c r="DH38" s="21">
        <f>EXP(-LN(2)/2)*DH37+(1-EXP(-LN(2)/2))/(LN(2)/2)*DB38*DE38*VLOOKUP('Données projet'!$B$13,Paramètres!$A$1:$I$89,3,0)*0.475*44/12</f>
        <v>5.2515105535175248</v>
      </c>
      <c r="DI38" s="22">
        <f t="shared" si="15"/>
        <v>14.052568138910782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57.263136571209095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>
        <f>VLOOKUP(A38,'Données projet'!$A$165:$I$185,2,0)</f>
        <v>76.282051282051285</v>
      </c>
      <c r="DM38" s="12">
        <f>VLOOKUP(A38,'Données projet'!$A$165:$I$185,9,0)</f>
        <v>4.7435897435897445</v>
      </c>
      <c r="DN38" s="12">
        <f t="array" ref="DN38">INDEX(DM:DM,MIN(IF(ISNUMBER(DM38:DM234),ROW(DM38:DM234),"")))</f>
        <v>4.7435897435897445</v>
      </c>
      <c r="DO38" s="12">
        <f>IF('Données projet'!$A$166&gt;35,DO37+DN38-DW37,IF(A38&lt;'Données projet'!$A$166,$DL$205^A38,IF(A38='Données projet'!$A$166,'Données projet'!$B$166,DO37+DN38-DW37)))</f>
        <v>76.282051282051327</v>
      </c>
      <c r="DP38" s="17">
        <f>DO38*VLOOKUP('Données projet'!$B$14,Paramètres!$A$1:$I$89,3,0)*VLOOKUP('Données projet'!$B$14,Paramètres!$A$1:$I$89,5,0)</f>
        <v>51.170000000000037</v>
      </c>
      <c r="DQ38" s="13">
        <f t="shared" si="43"/>
        <v>14.915509302764322</v>
      </c>
      <c r="DR38" s="20">
        <f t="shared" si="16"/>
        <v>115.09892870231459</v>
      </c>
      <c r="DS38" s="59">
        <f t="shared" si="17"/>
        <v>361.73042946341457</v>
      </c>
      <c r="DT38" s="59">
        <f ca="1">AVERAGE(OFFSET($DS$3,0,0,'Données projet'!$E$14+1,1))-AVERAGE(OFFSET($H$3,0,0,'Données projet'!$E$14+1,1))</f>
        <v>211.42385430331873</v>
      </c>
      <c r="DU38" s="59">
        <f t="shared" si="44"/>
        <v>146.84623106782686</v>
      </c>
      <c r="DV38" s="15">
        <f>IF(ISNA(VLOOKUP(A38,'Données projet'!$A$165:$I$185,3,0)),0,VLOOKUP(A38,'Données projet'!$A$165:$I$185,3,0))</f>
        <v>4</v>
      </c>
      <c r="DW38" s="15">
        <f>IF(ISNA(VLOOKUP(A38,'Données projet'!$A$165:$I$185,4,0)),0,VLOOKUP(A38,'Données projet'!$A$165:$I$185,4,0))</f>
        <v>12.179487179487179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0.13250000000000001</v>
      </c>
      <c r="DZ38" s="16">
        <f>IF(ISNA(VLOOKUP(A38,'Données projet'!$A$165:$I$185,7,0)),0%,VLOOKUP(A38,'Données projet'!$A$165:$I$185,7,0))</f>
        <v>0.25</v>
      </c>
      <c r="EA38" s="21">
        <f>EXP(-LN(2)/35)*EA37+(1-EXP(-LN(2)/35))/(LN(2)/35)*DW38*DX38*VLOOKUP('Données projet'!$B$14,Paramètres!$A$1:$I$89,3,0)*0.475*44/12</f>
        <v>0</v>
      </c>
      <c r="EB38" s="21">
        <f>EXP(-LN(2)/25)*EB37+(1-EXP(-LN(2)/25))/(LN(2)/25)*Calculateur!DW38*Calculateur!DY38*VLOOKUP('Données projet'!$B$14,Paramètres!$A$1:$I$89,3,0)*0.475*44/12</f>
        <v>3.2889146974577725</v>
      </c>
      <c r="EC38" s="21">
        <f>EXP(-LN(2)/2)*EC37+(1-EXP(-LN(2)/2))/(LN(2)/2)*DW38*DZ38*VLOOKUP('Données projet'!$B$14,Paramètres!$A$1:$I$89,3,0)*0.475*44/12</f>
        <v>2.2856774266192104</v>
      </c>
      <c r="ED38" s="22">
        <f t="shared" si="18"/>
        <v>5.5745921240769825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57.263136571209095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>
        <f>VLOOKUP(A38,'Données projet'!$A$191:$I$211,2,0)</f>
        <v>41.025641025641022</v>
      </c>
      <c r="EH38" s="12">
        <f>VLOOKUP(A38,'Données projet'!$A$191:$I$211,9,0)</f>
        <v>2.4358974358974343</v>
      </c>
      <c r="EI38" s="12">
        <f t="array" ref="EI38">INDEX(EH:EH,MIN(IF(ISNUMBER(EH38:EH234),ROW(EH38:EH234),"")))</f>
        <v>2.4358974358974343</v>
      </c>
      <c r="EJ38" s="12">
        <f>IF('Données projet'!$A$192&gt;35,EJ37+EI38-ER37,IF(A38&lt;'Données projet'!$A$192,$EG$205^A38,IF(A38='Données projet'!$A$192,'Données projet'!$B$192,EJ37+EI38-ER37)))</f>
        <v>41.025641025641008</v>
      </c>
      <c r="EK38" s="17">
        <f>EJ38*VLOOKUP('Données projet'!$B$15,Paramètres!$A$1:$I$89,3,0)*VLOOKUP('Données projet'!$B$15,Paramètres!$A$1:$I$89,5,0)</f>
        <v>44.159999999999975</v>
      </c>
      <c r="EL38" s="13">
        <f t="shared" si="45"/>
        <v>13.094826435044038</v>
      </c>
      <c r="EM38" s="20">
        <f t="shared" si="19"/>
        <v>99.718822707701648</v>
      </c>
      <c r="EN38" s="59">
        <f t="shared" si="20"/>
        <v>346.35032346880166</v>
      </c>
      <c r="EO38" s="59">
        <f ca="1">AVERAGE(OFFSET($EN$3,0,0,'Données projet'!$E$15+1,1))-AVERAGE(OFFSET($H$3,0,0,'Données projet'!$E$15+1,1))</f>
        <v>212.00478362779876</v>
      </c>
      <c r="EP38" s="59">
        <f t="shared" si="46"/>
        <v>133.62262474506707</v>
      </c>
      <c r="EQ38" s="15">
        <f>IF(ISNA(VLOOKUP(A38,'Données projet'!$A$191:$I$211,3,0)),0,VLOOKUP(A38,'Données projet'!$A$191:$I$211,3,0))</f>
        <v>3</v>
      </c>
      <c r="ER38" s="15">
        <f>IF(ISNA(VLOOKUP(A38,'Données projet'!$A$191:$I$211,4,0)),0,VLOOKUP(A38,'Données projet'!$A$191:$I$211,4,0))</f>
        <v>5.7692307692307692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0.1075</v>
      </c>
      <c r="EU38" s="16">
        <f>IF(ISNA(VLOOKUP(A38,'Données projet'!$A$191:$I$211,7,0)),0%,VLOOKUP(A38,'Données projet'!$A$191:$I$211,7,0))</f>
        <v>0.25</v>
      </c>
      <c r="EV38" s="21">
        <f>EXP(-LN(2)/35)*EV37+(1-EXP(-LN(2)/35))/(LN(2)/35)*ER38*ES38*VLOOKUP('Données projet'!$B$15,Paramètres!$A$1:$I$89,3,0)*0.475*44/12</f>
        <v>0</v>
      </c>
      <c r="EW38" s="21">
        <f>EXP(-LN(2)/25)*EW37+(1-EXP(-LN(2)/25))/(LN(2)/25)*Calculateur!ER38*Calculateur!ET38*VLOOKUP('Données projet'!$B$15,Paramètres!$A$1:$I$89,3,0)*0.475*44/12</f>
        <v>1.860984688876943</v>
      </c>
      <c r="EX38" s="21">
        <f>EXP(-LN(2)/2)*EX37+(1-EXP(-LN(2)/2))/(LN(2)/2)*ER38*EU38*VLOOKUP('Données projet'!$B$15,Paramètres!$A$1:$I$89,3,0)*0.475*44/12</f>
        <v>1.7407764593358412</v>
      </c>
      <c r="EY38" s="22">
        <f t="shared" si="21"/>
        <v>3.601761148212784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57.263136571209095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>
        <f>VLOOKUP(A38,'Données projet'!$A$217:$I$237,2,0)</f>
        <v>41.025641025641022</v>
      </c>
      <c r="FC38" s="12">
        <f>VLOOKUP(A38,'Données projet'!$A$217:$I$237,9,0)</f>
        <v>2.4358974358974343</v>
      </c>
      <c r="FD38" s="12">
        <f t="array" ref="FD38">INDEX(FC:FC,MIN(IF(ISNUMBER(FC38:FC234),ROW(FC38:FC234),"")))</f>
        <v>2.4358974358974343</v>
      </c>
      <c r="FE38" s="12">
        <f>IF('Données projet'!$A$218&gt;35,FE37+FD38-FM37,IF(A38&lt;'Données projet'!$A$218,$FB$205^A38,IF(A38='Données projet'!$A$218,'Données projet'!$B$218,FE37+FD38-FM37)))</f>
        <v>41.025641025641008</v>
      </c>
      <c r="FF38" s="17">
        <f>FE38*VLOOKUP('Données projet'!$B$16,Paramètres!$A$1:$I$89,3,0)*VLOOKUP('Données projet'!$B$16,Paramètres!$A$1:$I$89,5,0)</f>
        <v>39.679999999999986</v>
      </c>
      <c r="FG38" s="13">
        <f t="shared" si="47"/>
        <v>11.913791263030925</v>
      </c>
      <c r="FH38" s="20">
        <f t="shared" si="22"/>
        <v>89.859186449778818</v>
      </c>
      <c r="FI38" s="59">
        <f t="shared" si="23"/>
        <v>336.49068721087883</v>
      </c>
      <c r="FJ38" s="59">
        <f ca="1">AVERAGE(OFFSET($FI$3,0,0,'Données projet'!$E$16+1,1))-AVERAGE(OFFSET($H$3,0,0,'Données projet'!$E$16+1,1))</f>
        <v>196.65742339093146</v>
      </c>
      <c r="FK38" s="59">
        <f t="shared" si="48"/>
        <v>125.41980634506001</v>
      </c>
      <c r="FL38" s="15">
        <f>IF(ISNA(VLOOKUP(A38,'Données projet'!$A$217:$I$237,3,0)),0,VLOOKUP(A38,'Données projet'!$A$217:$I$237,3,0))</f>
        <v>3</v>
      </c>
      <c r="FM38" s="15">
        <f>IF(ISNA(VLOOKUP(A38,'Données projet'!$A$217:$I$237,4,0)),0,VLOOKUP(A38,'Données projet'!$A$217:$I$237,4,0))</f>
        <v>5.7692307692307692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0.1075</v>
      </c>
      <c r="FP38" s="16">
        <f>IF(ISNA(VLOOKUP(A38,'Données projet'!$A$217:$I$237,7,0)),0%,VLOOKUP(A38,'Données projet'!$A$217:$I$237,7,0))</f>
        <v>0.25</v>
      </c>
      <c r="FQ38" s="21">
        <f>EXP(-LN(2)/35)*FQ37+(1-EXP(-LN(2)/35))/(LN(2)/35)*FM38*FN38*VLOOKUP('Données projet'!$B$16,Paramètres!$A$1:$I$89,3,0)*0.475*44/12</f>
        <v>0</v>
      </c>
      <c r="FR38" s="21">
        <f>EXP(-LN(2)/25)*FR37+(1-EXP(-LN(2)/25))/(LN(2)/25)*Calculateur!FM38*Calculateur!FO38*VLOOKUP('Données projet'!$B$16,Paramètres!$A$1:$I$89,3,0)*0.475*44/12</f>
        <v>1.6721891407300071</v>
      </c>
      <c r="FS38" s="21">
        <f>EXP(-LN(2)/2)*FS37+(1-EXP(-LN(2)/2))/(LN(2)/2)*FM38*FP38*VLOOKUP('Données projet'!$B$16,Paramètres!$A$1:$I$89,3,0)*0.475*44/12</f>
        <v>1.5641759489684373</v>
      </c>
      <c r="FT38" s="22">
        <f t="shared" si="24"/>
        <v>3.2363650896984444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57.263136571209095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57.263136571209095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>
      <c r="A39" s="10">
        <f t="shared" si="31"/>
        <v>36</v>
      </c>
      <c r="B39" s="73">
        <f>'Scénario référence'!$B$16*5+'Scénario référence'!$B$17*0+'Scénario référence'!$B$18*5</f>
        <v>4.6999999999999993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1.9206720000000008</v>
      </c>
      <c r="D39" s="11">
        <f t="shared" si="32"/>
        <v>0.82037292155389474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17.468869928579348</v>
      </c>
      <c r="H39" s="67">
        <f t="shared" si="1"/>
        <v>192.50731990503971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57.484092676337916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16.693750000000001</v>
      </c>
      <c r="N39" s="13">
        <f>IF('Données projet'!$A$36&gt;35,N38+M39-V38,IF(A39&lt;'Données projet'!$A$36,$K$205^A39,IF(A39='Données projet'!$A$36,'Données projet'!$B$36,N38+M39-V38)))</f>
        <v>217.27125000000001</v>
      </c>
      <c r="O39" s="13">
        <f>N39*VLOOKUP('Données projet'!$B$9,Paramètres!$A$1:$I$89,3,0)*VLOOKUP('Données projet'!$B$9,Paramètres!$A$1:$I$89,5,0)</f>
        <v>129.92820750000001</v>
      </c>
      <c r="P39" s="13">
        <f t="shared" si="33"/>
        <v>33.97976966017913</v>
      </c>
      <c r="Q39" s="20">
        <f t="shared" si="53"/>
        <v>285.47306022064532</v>
      </c>
      <c r="R39" s="59">
        <f t="shared" si="0"/>
        <v>532.91473336721765</v>
      </c>
      <c r="S39" s="59">
        <f ca="1">AVERAGE(OFFSET($R$3,0,0,'Données projet'!$E$9+1,1))-AVERAGE(OFFSET($H$3,0,0,'Données projet'!$E$9+1,1))</f>
        <v>366.93249569585623</v>
      </c>
      <c r="T39" s="59">
        <f t="shared" si="34"/>
        <v>272.47262353368501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10.634883719227338</v>
      </c>
      <c r="AA39" s="21">
        <f>EXP(-LN(2)/25)*AA38+(1-EXP(-LN(2)/25))/(LN(2)/25)*Calculateur!V39*Calculateur!X39*VLOOKUP('Données projet'!$B$9,Paramètres!$A$1:$I$89,3,0)*0.475*44/12</f>
        <v>14.692663809738846</v>
      </c>
      <c r="AB39" s="21">
        <f>EXP(-LN(2)/2)*AB38+(1-EXP(-LN(2)/2))/(LN(2)/2)*V39*Y39*VLOOKUP('Données projet'!$B$9,Paramètres!$A$1:$I$89,3,0)*0.475*44/12</f>
        <v>5.1271629777558738</v>
      </c>
      <c r="AC39" s="22">
        <f t="shared" si="3"/>
        <v>30.454710506722058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57.484092676337916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10.064285714285713</v>
      </c>
      <c r="AI39" s="13">
        <f>IF('Données projet'!$A$62&gt;35,AI38+AH39-AQ38,IF(A39&lt;'Données projet'!$A$62,$AF$205^A39,IF(A39='Données projet'!$A$62,'Données projet'!$B$62,AI38+AH39-AQ38)))</f>
        <v>362.31428571428546</v>
      </c>
      <c r="AJ39" s="13">
        <f>AI39*VLOOKUP('Données projet'!$B$10,Paramètres!$A$1:$I$89,3,0)*VLOOKUP('Données projet'!$B$10,Paramètres!$A$1:$I$89,5,0)</f>
        <v>169.56308571428562</v>
      </c>
      <c r="AK39" s="13">
        <f t="shared" si="35"/>
        <v>42.992154668598012</v>
      </c>
      <c r="AL39" s="20">
        <f t="shared" si="4"/>
        <v>370.20037700018889</v>
      </c>
      <c r="AM39" s="59">
        <f t="shared" si="5"/>
        <v>617.64205014676122</v>
      </c>
      <c r="AN39" s="59">
        <f ca="1">AVERAGE(OFFSET($AM$3,0,0,'Données projet'!$E$10+1,1))-AVERAGE(OFFSET($H$3,0,0,'Données projet'!$E$10+1,1))</f>
        <v>382.89338473200229</v>
      </c>
      <c r="AO39" s="59">
        <f t="shared" si="36"/>
        <v>360.46248248971744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0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57.484092676337916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4.4871794871794863</v>
      </c>
      <c r="BD39" s="12">
        <f>IF('Données projet'!$A$88&gt;35,BD38+BC39-BL38,IF(A39&lt;'Données projet'!$A$88,$BA$205^A39,IF(A39='Données projet'!$A$88,'Données projet'!$B$88,BD38+BC39-BL38)))</f>
        <v>78.205128205128204</v>
      </c>
      <c r="BE39" s="13">
        <f>BD39*VLOOKUP('Données projet'!$B$11,Paramètres!$A$1:$I$89,3,0)*VLOOKUP('Données projet'!$B$11,Paramètres!$A$1:$I$89,5,0)</f>
        <v>68.320000000000007</v>
      </c>
      <c r="BF39" s="13">
        <f t="shared" si="37"/>
        <v>19.255666339544923</v>
      </c>
      <c r="BG39" s="20">
        <f t="shared" si="7"/>
        <v>152.52761887470743</v>
      </c>
      <c r="BH39" s="59">
        <f t="shared" si="8"/>
        <v>399.96929202127978</v>
      </c>
      <c r="BI39" s="59">
        <f ca="1">AVERAGE(OFFSET($BH$3,0,0,'Données projet'!$E$11+1,1))-AVERAGE(OFFSET($H$3,0,0,'Données projet'!$E$11+1,1))</f>
        <v>225.75484198243581</v>
      </c>
      <c r="BJ39" s="59">
        <f t="shared" si="38"/>
        <v>199.49566488421061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0</v>
      </c>
      <c r="BQ39" s="21">
        <f>EXP(-LN(2)/25)*BQ38+(1-EXP(-LN(2)/25))/(LN(2)/25)*Calculateur!BL39*Calculateur!BN39*VLOOKUP('Données projet'!$B$11,Paramètres!$A$1:$I$89,3,0)*0.475*44/12</f>
        <v>9.1480748954153928</v>
      </c>
      <c r="BR39" s="21">
        <f>EXP(-LN(2)/2)*BR38+(1-EXP(-LN(2)/2))/(LN(2)/2)*BL39*BO39*VLOOKUP('Données projet'!$B$11,Paramètres!$A$1:$I$89,3,0)*0.475*44/12</f>
        <v>0</v>
      </c>
      <c r="BS39" s="22">
        <f t="shared" si="9"/>
        <v>9.1480748954153928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57.484092676337916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8.4</v>
      </c>
      <c r="BY39" s="12">
        <f>IF('Données projet'!$A$114&gt;35,BY38+BX39-CG38,IF(A39&lt;'Données projet'!$A$114,$BV$205^A39,IF(A39='Données projet'!$A$114,'Données projet'!$B$114,BY38+BX39-CG38)))</f>
        <v>103.4</v>
      </c>
      <c r="BZ39" s="13">
        <f>BY39*VLOOKUP('Données projet'!$B$12,Paramètres!$A$1:$I$89,3,0)*VLOOKUP('Données projet'!$B$12,Paramètres!$A$1:$I$89,5,0)</f>
        <v>98.395440000000008</v>
      </c>
      <c r="CA39" s="13">
        <f t="shared" si="39"/>
        <v>26.57937412584554</v>
      </c>
      <c r="CB39" s="20">
        <f t="shared" si="10"/>
        <v>217.66446793584763</v>
      </c>
      <c r="CC39" s="59">
        <f t="shared" si="11"/>
        <v>465.10614108241998</v>
      </c>
      <c r="CD39" s="59">
        <f ca="1">AVERAGE(OFFSET($CC$3,0,0,'Données projet'!$E$12+1,1))-AVERAGE(OFFSET($H$3,0,0,'Données projet'!$E$12+1,1))</f>
        <v>413.9352601863377</v>
      </c>
      <c r="CE39" s="59">
        <f t="shared" si="40"/>
        <v>255.13997349799286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0</v>
      </c>
      <c r="CL39" s="21">
        <f>EXP(-LN(2)/25)*CL38+(1-EXP(-LN(2)/25))/(LN(2)/25)*Calculateur!CG39*Calculateur!CI39*VLOOKUP('Données projet'!$B$12,Paramètres!$A$1:$I$89,3,0)*0.475*44/12</f>
        <v>4.9679747378071353</v>
      </c>
      <c r="CM39" s="21">
        <f>EXP(-LN(2)/2)*CM38+(1-EXP(-LN(2)/2))/(LN(2)/2)*CG39*CJ39*VLOOKUP('Données projet'!$B$12,Paramètres!$A$1:$I$89,3,0)*0.475*44/12</f>
        <v>3.9620369375621394</v>
      </c>
      <c r="CN39" s="22">
        <f t="shared" si="12"/>
        <v>8.9300116753692755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57.484092676337916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7.6</v>
      </c>
      <c r="CT39" s="12">
        <f>IF('Données projet'!$A$140&gt;35,CT38+CS39-DB38,IF(A39&lt;'Données projet'!$A$140,$CQ$205^A39,IF(A39='Données projet'!$A$140,'Données projet'!$B$140,CT38+CS39-DB38)))</f>
        <v>122.59999999999997</v>
      </c>
      <c r="CU39" s="17">
        <f>CT39*VLOOKUP('Données projet'!$B$13,Paramètres!$A$1:$I$89,3,0)*VLOOKUP('Données projet'!$B$13,Paramètres!$A$1:$I$89,5,0)</f>
        <v>107.10336</v>
      </c>
      <c r="CV39" s="13">
        <f t="shared" si="41"/>
        <v>28.647457255358184</v>
      </c>
      <c r="CW39" s="20">
        <f t="shared" si="13"/>
        <v>236.43267338641553</v>
      </c>
      <c r="CX39" s="59">
        <f t="shared" si="14"/>
        <v>483.87434653298794</v>
      </c>
      <c r="CY39" s="59">
        <f ca="1">AVERAGE(OFFSET($CX$3,0,0,'Données projet'!$E$13+1,1))-AVERAGE(OFFSET($H$3,0,0,'Données projet'!$E$13+1,1))</f>
        <v>280.59827778697775</v>
      </c>
      <c r="CZ39" s="59">
        <f t="shared" si="42"/>
        <v>270.86588231964726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>
        <f>EXP(-LN(2)/35)*DF38+(1-EXP(-LN(2)/35))/(LN(2)/35)*DB39*DC39*VLOOKUP('Données projet'!$B$13,Paramètres!$A$1:$I$89,3,0)*0.475*44/12</f>
        <v>0</v>
      </c>
      <c r="DG39" s="21">
        <f>EXP(-LN(2)/25)*DG38+(1-EXP(-LN(2)/25))/(LN(2)/25)*Calculateur!DB39*Calculateur!DD39*VLOOKUP('Données projet'!$B$13,Paramètres!$A$1:$I$89,3,0)*0.475*44/12</f>
        <v>8.5603922028931763</v>
      </c>
      <c r="DH39" s="21">
        <f>EXP(-LN(2)/2)*DH38+(1-EXP(-LN(2)/2))/(LN(2)/2)*DB39*DE39*VLOOKUP('Données projet'!$B$13,Paramètres!$A$1:$I$89,3,0)*0.475*44/12</f>
        <v>3.7133787238649618</v>
      </c>
      <c r="DI39" s="22">
        <f t="shared" si="15"/>
        <v>12.273770926758138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57.484092676337916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4.7435897435897427</v>
      </c>
      <c r="DO39" s="12">
        <f>IF('Données projet'!$A$166&gt;35,DO38+DN39-DW38,IF(A39&lt;'Données projet'!$A$166,$DL$205^A39,IF(A39='Données projet'!$A$166,'Données projet'!$B$166,DO38+DN39-DW38)))</f>
        <v>68.846153846153882</v>
      </c>
      <c r="DP39" s="17">
        <f>DO39*VLOOKUP('Données projet'!$B$14,Paramètres!$A$1:$I$89,3,0)*VLOOKUP('Données projet'!$B$14,Paramètres!$A$1:$I$89,5,0)</f>
        <v>46.182000000000031</v>
      </c>
      <c r="DQ39" s="13">
        <f t="shared" si="43"/>
        <v>13.623232709870488</v>
      </c>
      <c r="DR39" s="20">
        <f t="shared" si="16"/>
        <v>104.16078030302447</v>
      </c>
      <c r="DS39" s="59">
        <f t="shared" si="17"/>
        <v>351.60245344959685</v>
      </c>
      <c r="DT39" s="59">
        <f ca="1">AVERAGE(OFFSET($DS$3,0,0,'Données projet'!$E$14+1,1))-AVERAGE(OFFSET($H$3,0,0,'Données projet'!$E$14+1,1))</f>
        <v>211.42385430331873</v>
      </c>
      <c r="DU39" s="59">
        <f t="shared" si="44"/>
        <v>146.84623106782686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>
        <f>EXP(-LN(2)/35)*EA38+(1-EXP(-LN(2)/35))/(LN(2)/35)*DW39*DX39*VLOOKUP('Données projet'!$B$14,Paramètres!$A$1:$I$89,3,0)*0.475*44/12</f>
        <v>0</v>
      </c>
      <c r="EB39" s="21">
        <f>EXP(-LN(2)/25)*EB38+(1-EXP(-LN(2)/25))/(LN(2)/25)*Calculateur!DW39*Calculateur!DY39*VLOOKUP('Données projet'!$B$14,Paramètres!$A$1:$I$89,3,0)*0.475*44/12</f>
        <v>3.1989791520992825</v>
      </c>
      <c r="EC39" s="21">
        <f>EXP(-LN(2)/2)*EC38+(1-EXP(-LN(2)/2))/(LN(2)/2)*DW39*DZ39*VLOOKUP('Données projet'!$B$14,Paramètres!$A$1:$I$89,3,0)*0.475*44/12</f>
        <v>1.6162180079674611</v>
      </c>
      <c r="ED39" s="22">
        <f t="shared" si="18"/>
        <v>4.8151971600667434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57.484092676337916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2.5641025641025634</v>
      </c>
      <c r="EJ39" s="12">
        <f>IF('Données projet'!$A$192&gt;35,EJ38+EI39-ER38,IF(A39&lt;'Données projet'!$A$192,$EG$205^A39,IF(A39='Données projet'!$A$192,'Données projet'!$B$192,EJ38+EI39-ER38)))</f>
        <v>37.820512820512803</v>
      </c>
      <c r="EK39" s="17">
        <f>EJ39*VLOOKUP('Données projet'!$B$15,Paramètres!$A$1:$I$89,3,0)*VLOOKUP('Données projet'!$B$15,Paramètres!$A$1:$I$89,5,0)</f>
        <v>40.70999999999998</v>
      </c>
      <c r="EL39" s="13">
        <f t="shared" si="45"/>
        <v>12.186639351993911</v>
      </c>
      <c r="EM39" s="20">
        <f t="shared" si="19"/>
        <v>92.12831353805602</v>
      </c>
      <c r="EN39" s="59">
        <f t="shared" si="20"/>
        <v>339.56998668462842</v>
      </c>
      <c r="EO39" s="59">
        <f ca="1">AVERAGE(OFFSET($EN$3,0,0,'Données projet'!$E$15+1,1))-AVERAGE(OFFSET($H$3,0,0,'Données projet'!$E$15+1,1))</f>
        <v>212.00478362779876</v>
      </c>
      <c r="EP39" s="59">
        <f t="shared" si="46"/>
        <v>133.62262474506707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>
        <f>EXP(-LN(2)/35)*EV38+(1-EXP(-LN(2)/35))/(LN(2)/35)*ER39*ES39*VLOOKUP('Données projet'!$B$15,Paramètres!$A$1:$I$89,3,0)*0.475*44/12</f>
        <v>0</v>
      </c>
      <c r="EW39" s="21">
        <f>EXP(-LN(2)/25)*EW38+(1-EXP(-LN(2)/25))/(LN(2)/25)*Calculateur!ER39*Calculateur!ET39*VLOOKUP('Données projet'!$B$15,Paramètres!$A$1:$I$89,3,0)*0.475*44/12</f>
        <v>1.8100959646946715</v>
      </c>
      <c r="EX39" s="21">
        <f>EXP(-LN(2)/2)*EX38+(1-EXP(-LN(2)/2))/(LN(2)/2)*ER39*EU39*VLOOKUP('Données projet'!$B$15,Paramètres!$A$1:$I$89,3,0)*0.475*44/12</f>
        <v>1.2309148389262816</v>
      </c>
      <c r="EY39" s="22">
        <f t="shared" si="21"/>
        <v>3.0410108036209529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57.484092676337916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2.5641025641025634</v>
      </c>
      <c r="FE39" s="12">
        <f>IF('Données projet'!$A$218&gt;35,FE38+FD39-FM38,IF(A39&lt;'Données projet'!$A$218,$FB$205^A39,IF(A39='Données projet'!$A$218,'Données projet'!$B$218,FE38+FD39-FM38)))</f>
        <v>37.820512820512803</v>
      </c>
      <c r="FF39" s="17">
        <f>FE39*VLOOKUP('Données projet'!$B$16,Paramètres!$A$1:$I$89,3,0)*VLOOKUP('Données projet'!$B$16,Paramètres!$A$1:$I$89,5,0)</f>
        <v>36.579999999999984</v>
      </c>
      <c r="FG39" s="13">
        <f t="shared" si="47"/>
        <v>11.087514459064737</v>
      </c>
      <c r="FH39" s="20">
        <f t="shared" si="22"/>
        <v>83.020921016204383</v>
      </c>
      <c r="FI39" s="59">
        <f t="shared" si="23"/>
        <v>330.46259416277678</v>
      </c>
      <c r="FJ39" s="59">
        <f ca="1">AVERAGE(OFFSET($FI$3,0,0,'Données projet'!$E$16+1,1))-AVERAGE(OFFSET($H$3,0,0,'Données projet'!$E$16+1,1))</f>
        <v>196.65742339093146</v>
      </c>
      <c r="FK39" s="59">
        <f t="shared" si="48"/>
        <v>125.41980634506001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>
        <f>EXP(-LN(2)/35)*FQ38+(1-EXP(-LN(2)/35))/(LN(2)/35)*FM39*FN39*VLOOKUP('Données projet'!$B$16,Paramètres!$A$1:$I$89,3,0)*0.475*44/12</f>
        <v>0</v>
      </c>
      <c r="FR39" s="21">
        <f>EXP(-LN(2)/25)*FR38+(1-EXP(-LN(2)/25))/(LN(2)/25)*Calculateur!FM39*Calculateur!FO39*VLOOKUP('Données projet'!$B$16,Paramètres!$A$1:$I$89,3,0)*0.475*44/12</f>
        <v>1.6264630407401399</v>
      </c>
      <c r="FS39" s="21">
        <f>EXP(-LN(2)/2)*FS38+(1-EXP(-LN(2)/2))/(LN(2)/2)*FM39*FP39*VLOOKUP('Données projet'!$B$16,Paramètres!$A$1:$I$89,3,0)*0.475*44/12</f>
        <v>1.1060394204844852</v>
      </c>
      <c r="FT39" s="22">
        <f t="shared" si="24"/>
        <v>2.7325024612246249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57.484092676337916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57.484092676337916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>
      <c r="A40" s="10">
        <f t="shared" si="31"/>
        <v>37</v>
      </c>
      <c r="B40" s="73">
        <f>'Scénario référence'!$B$16*5+'Scénario référence'!$B$17*0+'Scénario référence'!$B$18*5</f>
        <v>4.6999999999999993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1.9740240000000009</v>
      </c>
      <c r="D40" s="11">
        <f t="shared" si="32"/>
        <v>0.84047629823661718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17.502891366200817</v>
      </c>
      <c r="H40" s="67">
        <f t="shared" si="1"/>
        <v>192.63525468609546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57.70121568702659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16.693750000000001</v>
      </c>
      <c r="N40" s="13">
        <f>IF('Données projet'!$A$36&gt;35,N39+M40-V39,IF(A40&lt;'Données projet'!$A$36,$K$205^A40,IF(A40='Données projet'!$A$36,'Données projet'!$B$36,N39+M40-V39)))</f>
        <v>233.965</v>
      </c>
      <c r="O40" s="13">
        <f>N40*VLOOKUP('Données projet'!$B$9,Paramètres!$A$1:$I$89,3,0)*VLOOKUP('Données projet'!$B$9,Paramètres!$A$1:$I$89,5,0)</f>
        <v>139.91107000000002</v>
      </c>
      <c r="P40" s="13">
        <f t="shared" si="33"/>
        <v>36.276632127461212</v>
      </c>
      <c r="Q40" s="20">
        <f t="shared" si="53"/>
        <v>306.860247871995</v>
      </c>
      <c r="R40" s="59">
        <f t="shared" si="0"/>
        <v>555.09803872442581</v>
      </c>
      <c r="S40" s="59">
        <f ca="1">AVERAGE(OFFSET($R$3,0,0,'Données projet'!$E$9+1,1))-AVERAGE(OFFSET($H$3,0,0,'Données projet'!$E$9+1,1))</f>
        <v>366.93249569585623</v>
      </c>
      <c r="T40" s="59">
        <f t="shared" si="34"/>
        <v>272.47262353368501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10.426340136131856</v>
      </c>
      <c r="AA40" s="21">
        <f>EXP(-LN(2)/25)*AA39+(1-EXP(-LN(2)/25))/(LN(2)/25)*Calculateur!V40*Calculateur!X40*VLOOKUP('Données projet'!$B$9,Paramètres!$A$1:$I$89,3,0)*0.475*44/12</f>
        <v>14.290892145207929</v>
      </c>
      <c r="AB40" s="21">
        <f>EXP(-LN(2)/2)*AB39+(1-EXP(-LN(2)/2))/(LN(2)/2)*V40*Y40*VLOOKUP('Données projet'!$B$9,Paramètres!$A$1:$I$89,3,0)*0.475*44/12</f>
        <v>3.6254517098197905</v>
      </c>
      <c r="AC40" s="22">
        <f t="shared" si="3"/>
        <v>28.342683991159575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57.70121568702659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10.064285714285713</v>
      </c>
      <c r="AI40" s="13">
        <f>IF('Données projet'!$A$62&gt;35,AI39+AH40-AQ39,IF(A40&lt;'Données projet'!$A$62,$AF$205^A40,IF(A40='Données projet'!$A$62,'Données projet'!$B$62,AI39+AH40-AQ39)))</f>
        <v>372.37857142857115</v>
      </c>
      <c r="AJ40" s="13">
        <f>AI40*VLOOKUP('Données projet'!$B$10,Paramètres!$A$1:$I$89,3,0)*VLOOKUP('Données projet'!$B$10,Paramètres!$A$1:$I$89,5,0)</f>
        <v>174.27317142857132</v>
      </c>
      <c r="AK40" s="13">
        <f t="shared" si="35"/>
        <v>44.045684663307739</v>
      </c>
      <c r="AL40" s="20">
        <f t="shared" si="4"/>
        <v>380.23867436002274</v>
      </c>
      <c r="AM40" s="59">
        <f t="shared" si="5"/>
        <v>628.4764652124536</v>
      </c>
      <c r="AN40" s="59">
        <f ca="1">AVERAGE(OFFSET($AM$3,0,0,'Données projet'!$E$10+1,1))-AVERAGE(OFFSET($H$3,0,0,'Données projet'!$E$10+1,1))</f>
        <v>382.89338473200229</v>
      </c>
      <c r="AO40" s="59">
        <f t="shared" si="36"/>
        <v>360.46248248971744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0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0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57.70121568702659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4.4871794871794863</v>
      </c>
      <c r="BD40" s="12">
        <f>IF('Données projet'!$A$88&gt;35,BD39+BC40-BL39,IF(A40&lt;'Données projet'!$A$88,$BA$205^A40,IF(A40='Données projet'!$A$88,'Données projet'!$B$88,BD39+BC40-BL39)))</f>
        <v>82.692307692307693</v>
      </c>
      <c r="BE40" s="13">
        <f>BD40*VLOOKUP('Données projet'!$B$11,Paramètres!$A$1:$I$89,3,0)*VLOOKUP('Données projet'!$B$11,Paramètres!$A$1:$I$89,5,0)</f>
        <v>72.240000000000009</v>
      </c>
      <c r="BF40" s="13">
        <f t="shared" si="37"/>
        <v>20.228704652038434</v>
      </c>
      <c r="BG40" s="20">
        <f t="shared" si="7"/>
        <v>161.04966060230029</v>
      </c>
      <c r="BH40" s="59">
        <f t="shared" si="8"/>
        <v>409.28745145473113</v>
      </c>
      <c r="BI40" s="59">
        <f ca="1">AVERAGE(OFFSET($BH$3,0,0,'Données projet'!$E$11+1,1))-AVERAGE(OFFSET($H$3,0,0,'Données projet'!$E$11+1,1))</f>
        <v>225.75484198243581</v>
      </c>
      <c r="BJ40" s="59">
        <f t="shared" si="38"/>
        <v>199.49566488421061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0</v>
      </c>
      <c r="BQ40" s="21">
        <f>EXP(-LN(2)/25)*BQ39+(1-EXP(-LN(2)/25))/(LN(2)/25)*Calculateur!BL40*Calculateur!BN40*VLOOKUP('Données projet'!$B$11,Paramètres!$A$1:$I$89,3,0)*0.475*44/12</f>
        <v>8.8979203063239076</v>
      </c>
      <c r="BR40" s="21">
        <f>EXP(-LN(2)/2)*BR39+(1-EXP(-LN(2)/2))/(LN(2)/2)*BL40*BO40*VLOOKUP('Données projet'!$B$11,Paramètres!$A$1:$I$89,3,0)*0.475*44/12</f>
        <v>0</v>
      </c>
      <c r="BS40" s="22">
        <f t="shared" si="9"/>
        <v>8.8979203063239076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57.70121568702659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8.4</v>
      </c>
      <c r="BY40" s="12">
        <f>IF('Données projet'!$A$114&gt;35,BY39+BX40-CG39,IF(A40&lt;'Données projet'!$A$114,$BV$205^A40,IF(A40='Données projet'!$A$114,'Données projet'!$B$114,BY39+BX40-CG39)))</f>
        <v>111.80000000000001</v>
      </c>
      <c r="BZ40" s="13">
        <f>BY40*VLOOKUP('Données projet'!$B$12,Paramètres!$A$1:$I$89,3,0)*VLOOKUP('Données projet'!$B$12,Paramètres!$A$1:$I$89,5,0)</f>
        <v>106.38888000000001</v>
      </c>
      <c r="CA40" s="13">
        <f t="shared" si="39"/>
        <v>28.478530760975403</v>
      </c>
      <c r="CB40" s="20">
        <f t="shared" si="10"/>
        <v>234.89407374203219</v>
      </c>
      <c r="CC40" s="59">
        <f t="shared" si="11"/>
        <v>483.13186459446302</v>
      </c>
      <c r="CD40" s="59">
        <f ca="1">AVERAGE(OFFSET($CC$3,0,0,'Données projet'!$E$12+1,1))-AVERAGE(OFFSET($H$3,0,0,'Données projet'!$E$12+1,1))</f>
        <v>413.9352601863377</v>
      </c>
      <c r="CE40" s="59">
        <f t="shared" si="40"/>
        <v>255.13997349799286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0</v>
      </c>
      <c r="CL40" s="21">
        <f>EXP(-LN(2)/25)*CL39+(1-EXP(-LN(2)/25))/(LN(2)/25)*Calculateur!CG40*Calculateur!CI40*VLOOKUP('Données projet'!$B$12,Paramètres!$A$1:$I$89,3,0)*0.475*44/12</f>
        <v>4.832125207347362</v>
      </c>
      <c r="CM40" s="21">
        <f>EXP(-LN(2)/2)*CM39+(1-EXP(-LN(2)/2))/(LN(2)/2)*CG40*CJ40*VLOOKUP('Données projet'!$B$12,Paramètres!$A$1:$I$89,3,0)*0.475*44/12</f>
        <v>2.8015831858617708</v>
      </c>
      <c r="CN40" s="22">
        <f t="shared" si="12"/>
        <v>7.6337083932091332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57.70121568702659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7.6</v>
      </c>
      <c r="CT40" s="12">
        <f>IF('Données projet'!$A$140&gt;35,CT39+CS40-DB39,IF(A40&lt;'Données projet'!$A$140,$CQ$205^A40,IF(A40='Données projet'!$A$140,'Données projet'!$B$140,CT39+CS40-DB39)))</f>
        <v>130.19999999999996</v>
      </c>
      <c r="CU40" s="17">
        <f>CT40*VLOOKUP('Données projet'!$B$13,Paramètres!$A$1:$I$89,3,0)*VLOOKUP('Données projet'!$B$13,Paramètres!$A$1:$I$89,5,0)</f>
        <v>113.74271999999996</v>
      </c>
      <c r="CV40" s="13">
        <f t="shared" si="41"/>
        <v>30.211074114233345</v>
      </c>
      <c r="CW40" s="20">
        <f t="shared" si="13"/>
        <v>250.71952474895636</v>
      </c>
      <c r="CX40" s="59">
        <f t="shared" si="14"/>
        <v>498.95731560138722</v>
      </c>
      <c r="CY40" s="59">
        <f ca="1">AVERAGE(OFFSET($CX$3,0,0,'Données projet'!$E$13+1,1))-AVERAGE(OFFSET($H$3,0,0,'Données projet'!$E$13+1,1))</f>
        <v>280.59827778697775</v>
      </c>
      <c r="CZ40" s="59">
        <f t="shared" si="42"/>
        <v>270.86588231964726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>
        <f>EXP(-LN(2)/35)*DF39+(1-EXP(-LN(2)/35))/(LN(2)/35)*DB40*DC40*VLOOKUP('Données projet'!$B$13,Paramètres!$A$1:$I$89,3,0)*0.475*44/12</f>
        <v>0</v>
      </c>
      <c r="DG40" s="21">
        <f>EXP(-LN(2)/25)*DG39+(1-EXP(-LN(2)/25))/(LN(2)/25)*Calculateur!DB40*Calculateur!DD40*VLOOKUP('Données projet'!$B$13,Paramètres!$A$1:$I$89,3,0)*0.475*44/12</f>
        <v>8.3263078279336007</v>
      </c>
      <c r="DH40" s="21">
        <f>EXP(-LN(2)/2)*DH39+(1-EXP(-LN(2)/2))/(LN(2)/2)*DB40*DE40*VLOOKUP('Données projet'!$B$13,Paramètres!$A$1:$I$89,3,0)*0.475*44/12</f>
        <v>2.6257552767587629</v>
      </c>
      <c r="DI40" s="22">
        <f t="shared" si="15"/>
        <v>10.952063104692364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57.70121568702659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4.7435897435897427</v>
      </c>
      <c r="DO40" s="12">
        <f>IF('Données projet'!$A$166&gt;35,DO39+DN40-DW39,IF(A40&lt;'Données projet'!$A$166,$DL$205^A40,IF(A40='Données projet'!$A$166,'Données projet'!$B$166,DO39+DN40-DW39)))</f>
        <v>73.58974358974362</v>
      </c>
      <c r="DP40" s="17">
        <f>DO40*VLOOKUP('Données projet'!$B$14,Paramètres!$A$1:$I$89,3,0)*VLOOKUP('Données projet'!$B$14,Paramètres!$A$1:$I$89,5,0)</f>
        <v>49.364000000000026</v>
      </c>
      <c r="DQ40" s="13">
        <f t="shared" si="43"/>
        <v>14.449387715760299</v>
      </c>
      <c r="DR40" s="20">
        <f t="shared" si="16"/>
        <v>111.1416502716159</v>
      </c>
      <c r="DS40" s="59">
        <f t="shared" si="17"/>
        <v>359.37944112404671</v>
      </c>
      <c r="DT40" s="59">
        <f ca="1">AVERAGE(OFFSET($DS$3,0,0,'Données projet'!$E$14+1,1))-AVERAGE(OFFSET($H$3,0,0,'Données projet'!$E$14+1,1))</f>
        <v>211.42385430331873</v>
      </c>
      <c r="DU40" s="59">
        <f t="shared" si="44"/>
        <v>146.84623106782686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>
        <f>EXP(-LN(2)/35)*EA39+(1-EXP(-LN(2)/35))/(LN(2)/35)*DW40*DX40*VLOOKUP('Données projet'!$B$14,Paramètres!$A$1:$I$89,3,0)*0.475*44/12</f>
        <v>0</v>
      </c>
      <c r="EB40" s="21">
        <f>EXP(-LN(2)/25)*EB39+(1-EXP(-LN(2)/25))/(LN(2)/25)*Calculateur!DW40*Calculateur!DY40*VLOOKUP('Données projet'!$B$14,Paramètres!$A$1:$I$89,3,0)*0.475*44/12</f>
        <v>3.1115028989581255</v>
      </c>
      <c r="EC40" s="21">
        <f>EXP(-LN(2)/2)*EC39+(1-EXP(-LN(2)/2))/(LN(2)/2)*DW40*DZ40*VLOOKUP('Données projet'!$B$14,Paramètres!$A$1:$I$89,3,0)*0.475*44/12</f>
        <v>1.1428387133096054</v>
      </c>
      <c r="ED40" s="22">
        <f t="shared" si="18"/>
        <v>4.2543416122677309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57.70121568702659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2.5641025641025634</v>
      </c>
      <c r="EJ40" s="12">
        <f>IF('Données projet'!$A$192&gt;35,EJ39+EI40-ER39,IF(A40&lt;'Données projet'!$A$192,$EG$205^A40,IF(A40='Données projet'!$A$192,'Données projet'!$B$192,EJ39+EI40-ER39)))</f>
        <v>40.384615384615365</v>
      </c>
      <c r="EK40" s="17">
        <f>EJ40*VLOOKUP('Données projet'!$B$15,Paramètres!$A$1:$I$89,3,0)*VLOOKUP('Données projet'!$B$15,Paramètres!$A$1:$I$89,5,0)</f>
        <v>43.469999999999978</v>
      </c>
      <c r="EL40" s="13">
        <f t="shared" si="45"/>
        <v>12.913870617326976</v>
      </c>
      <c r="EM40" s="20">
        <f t="shared" si="19"/>
        <v>98.20190799184445</v>
      </c>
      <c r="EN40" s="59">
        <f t="shared" si="20"/>
        <v>346.43969884427531</v>
      </c>
      <c r="EO40" s="59">
        <f ca="1">AVERAGE(OFFSET($EN$3,0,0,'Données projet'!$E$15+1,1))-AVERAGE(OFFSET($H$3,0,0,'Données projet'!$E$15+1,1))</f>
        <v>212.00478362779876</v>
      </c>
      <c r="EP40" s="59">
        <f t="shared" si="46"/>
        <v>133.62262474506707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>
        <f>EXP(-LN(2)/35)*EV39+(1-EXP(-LN(2)/35))/(LN(2)/35)*ER40*ES40*VLOOKUP('Données projet'!$B$15,Paramètres!$A$1:$I$89,3,0)*0.475*44/12</f>
        <v>0</v>
      </c>
      <c r="EW40" s="21">
        <f>EXP(-LN(2)/25)*EW39+(1-EXP(-LN(2)/25))/(LN(2)/25)*Calculateur!ER40*Calculateur!ET40*VLOOKUP('Données projet'!$B$15,Paramètres!$A$1:$I$89,3,0)*0.475*44/12</f>
        <v>1.760598795351286</v>
      </c>
      <c r="EX40" s="21">
        <f>EXP(-LN(2)/2)*EX39+(1-EXP(-LN(2)/2))/(LN(2)/2)*ER40*EU40*VLOOKUP('Données projet'!$B$15,Paramètres!$A$1:$I$89,3,0)*0.475*44/12</f>
        <v>0.87038822966792062</v>
      </c>
      <c r="EY40" s="22">
        <f t="shared" si="21"/>
        <v>2.6309870250192064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57.70121568702659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2.5641025641025634</v>
      </c>
      <c r="FE40" s="12">
        <f>IF('Données projet'!$A$218&gt;35,FE39+FD40-FM39,IF(A40&lt;'Données projet'!$A$218,$FB$205^A40,IF(A40='Données projet'!$A$218,'Données projet'!$B$218,FE39+FD40-FM39)))</f>
        <v>40.384615384615365</v>
      </c>
      <c r="FF40" s="17">
        <f>FE40*VLOOKUP('Données projet'!$B$16,Paramètres!$A$1:$I$89,3,0)*VLOOKUP('Données projet'!$B$16,Paramètres!$A$1:$I$89,5,0)</f>
        <v>39.059999999999981</v>
      </c>
      <c r="FG40" s="13">
        <f t="shared" si="47"/>
        <v>11.749156027061501</v>
      </c>
      <c r="FH40" s="20">
        <f t="shared" si="22"/>
        <v>88.492613413798736</v>
      </c>
      <c r="FI40" s="59">
        <f t="shared" si="23"/>
        <v>336.73040426622958</v>
      </c>
      <c r="FJ40" s="59">
        <f ca="1">AVERAGE(OFFSET($FI$3,0,0,'Données projet'!$E$16+1,1))-AVERAGE(OFFSET($H$3,0,0,'Données projet'!$E$16+1,1))</f>
        <v>196.65742339093146</v>
      </c>
      <c r="FK40" s="59">
        <f t="shared" si="48"/>
        <v>125.41980634506001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>
        <f>EXP(-LN(2)/35)*FQ39+(1-EXP(-LN(2)/35))/(LN(2)/35)*FM40*FN40*VLOOKUP('Données projet'!$B$16,Paramètres!$A$1:$I$89,3,0)*0.475*44/12</f>
        <v>0</v>
      </c>
      <c r="FR40" s="21">
        <f>EXP(-LN(2)/25)*FR39+(1-EXP(-LN(2)/25))/(LN(2)/25)*Calculateur!FM40*Calculateur!FO40*VLOOKUP('Données projet'!$B$16,Paramètres!$A$1:$I$89,3,0)*0.475*44/12</f>
        <v>1.5819873233591268</v>
      </c>
      <c r="FS40" s="21">
        <f>EXP(-LN(2)/2)*FS39+(1-EXP(-LN(2)/2))/(LN(2)/2)*FM40*FP40*VLOOKUP('Données projet'!$B$16,Paramètres!$A$1:$I$89,3,0)*0.475*44/12</f>
        <v>0.78208797448421874</v>
      </c>
      <c r="FT40" s="22">
        <f t="shared" si="24"/>
        <v>2.3640752978433457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57.70121568702659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57.70121568702659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>
      <c r="A41" s="10">
        <f t="shared" si="31"/>
        <v>38</v>
      </c>
      <c r="B41" s="73">
        <f>'Scénario référence'!$B$16*5+'Scénario référence'!$B$17*0+'Scénario référence'!$B$18*5</f>
        <v>4.6999999999999993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2.0273760000000007</v>
      </c>
      <c r="D41" s="11">
        <f t="shared" si="32"/>
        <v>0.86051652203548301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17.536883554065554</v>
      </c>
      <c r="H41" s="67">
        <f t="shared" si="1"/>
        <v>192.76307947587847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57.914572098894148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16.693750000000001</v>
      </c>
      <c r="N41" s="13">
        <f>IF('Données projet'!$A$36&gt;35,N40+M41-V40,IF(A41&lt;'Données projet'!$A$36,$K$205^A41,IF(A41='Données projet'!$A$36,'Données projet'!$B$36,N40+M41-V40)))</f>
        <v>250.65875</v>
      </c>
      <c r="O41" s="13">
        <f>N41*VLOOKUP('Données projet'!$B$9,Paramètres!$A$1:$I$89,3,0)*VLOOKUP('Données projet'!$B$9,Paramètres!$A$1:$I$89,5,0)</f>
        <v>149.89393250000001</v>
      </c>
      <c r="P41" s="13">
        <f t="shared" si="33"/>
        <v>38.554480408619099</v>
      </c>
      <c r="Q41" s="20">
        <f t="shared" si="53"/>
        <v>328.21431914917827</v>
      </c>
      <c r="R41" s="59">
        <f t="shared" si="0"/>
        <v>577.23441684512352</v>
      </c>
      <c r="S41" s="59">
        <f ca="1">AVERAGE(OFFSET($R$3,0,0,'Données projet'!$E$9+1,1))-AVERAGE(OFFSET($H$3,0,0,'Données projet'!$E$9+1,1))</f>
        <v>366.93249569585623</v>
      </c>
      <c r="T41" s="59">
        <f t="shared" si="34"/>
        <v>272.47262353368501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10.221885965501851</v>
      </c>
      <c r="AA41" s="21">
        <f>EXP(-LN(2)/25)*AA40+(1-EXP(-LN(2)/25))/(LN(2)/25)*Calculateur!V41*Calculateur!X41*VLOOKUP('Données projet'!$B$9,Paramètres!$A$1:$I$89,3,0)*0.475*44/12</f>
        <v>13.900106947971862</v>
      </c>
      <c r="AB41" s="21">
        <f>EXP(-LN(2)/2)*AB40+(1-EXP(-LN(2)/2))/(LN(2)/2)*V41*Y41*VLOOKUP('Données projet'!$B$9,Paramètres!$A$1:$I$89,3,0)*0.475*44/12</f>
        <v>2.5635814888779374</v>
      </c>
      <c r="AC41" s="22">
        <f t="shared" si="3"/>
        <v>26.685574402351648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57.914572098894148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10.064285714285713</v>
      </c>
      <c r="AI41" s="13">
        <f>IF('Données projet'!$A$62&gt;35,AI40+AH41-AQ40,IF(A41&lt;'Données projet'!$A$62,$AF$205^A41,IF(A41='Données projet'!$A$62,'Données projet'!$B$62,AI40+AH41-AQ40)))</f>
        <v>382.44285714285684</v>
      </c>
      <c r="AJ41" s="13">
        <f>AI41*VLOOKUP('Données projet'!$B$10,Paramètres!$A$1:$I$89,3,0)*VLOOKUP('Données projet'!$B$10,Paramètres!$A$1:$I$89,5,0)</f>
        <v>178.98325714285698</v>
      </c>
      <c r="AK41" s="13">
        <f t="shared" si="35"/>
        <v>45.095905091746801</v>
      </c>
      <c r="AL41" s="20">
        <f t="shared" si="4"/>
        <v>390.27120755860159</v>
      </c>
      <c r="AM41" s="59">
        <f t="shared" si="5"/>
        <v>639.29130525454684</v>
      </c>
      <c r="AN41" s="59">
        <f ca="1">AVERAGE(OFFSET($AM$3,0,0,'Données projet'!$E$10+1,1))-AVERAGE(OFFSET($H$3,0,0,'Données projet'!$E$10+1,1))</f>
        <v>382.89338473200229</v>
      </c>
      <c r="AO41" s="59">
        <f t="shared" si="36"/>
        <v>360.46248248971744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0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0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57.914572098894148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4.4871794871794863</v>
      </c>
      <c r="BD41" s="12">
        <f>IF('Données projet'!$A$88&gt;35,BD40+BC41-BL40,IF(A41&lt;'Données projet'!$A$88,$BA$205^A41,IF(A41='Données projet'!$A$88,'Données projet'!$B$88,BD40+BC41-BL40)))</f>
        <v>87.179487179487182</v>
      </c>
      <c r="BE41" s="13">
        <f>BD41*VLOOKUP('Données projet'!$B$11,Paramètres!$A$1:$I$89,3,0)*VLOOKUP('Données projet'!$B$11,Paramètres!$A$1:$I$89,5,0)</f>
        <v>76.160000000000011</v>
      </c>
      <c r="BF41" s="13">
        <f t="shared" si="37"/>
        <v>21.195613176537421</v>
      </c>
      <c r="BG41" s="20">
        <f t="shared" si="7"/>
        <v>169.56102628246936</v>
      </c>
      <c r="BH41" s="59">
        <f t="shared" si="8"/>
        <v>418.58112397841455</v>
      </c>
      <c r="BI41" s="59">
        <f ca="1">AVERAGE(OFFSET($BH$3,0,0,'Données projet'!$E$11+1,1))-AVERAGE(OFFSET($H$3,0,0,'Données projet'!$E$11+1,1))</f>
        <v>225.75484198243581</v>
      </c>
      <c r="BJ41" s="59">
        <f t="shared" si="38"/>
        <v>199.49566488421061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0</v>
      </c>
      <c r="BQ41" s="21">
        <f>EXP(-LN(2)/25)*BQ40+(1-EXP(-LN(2)/25))/(LN(2)/25)*Calculateur!BL41*Calculateur!BN41*VLOOKUP('Données projet'!$B$11,Paramètres!$A$1:$I$89,3,0)*0.475*44/12</f>
        <v>8.6546062076261876</v>
      </c>
      <c r="BR41" s="21">
        <f>EXP(-LN(2)/2)*BR40+(1-EXP(-LN(2)/2))/(LN(2)/2)*BL41*BO41*VLOOKUP('Données projet'!$B$11,Paramètres!$A$1:$I$89,3,0)*0.475*44/12</f>
        <v>0</v>
      </c>
      <c r="BS41" s="22">
        <f t="shared" si="9"/>
        <v>8.6546062076261876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57.914572098894148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8.4</v>
      </c>
      <c r="BY41" s="12">
        <f>IF('Données projet'!$A$114&gt;35,BY40+BX41-CG40,IF(A41&lt;'Données projet'!$A$114,$BV$205^A41,IF(A41='Données projet'!$A$114,'Données projet'!$B$114,BY40+BX41-CG40)))</f>
        <v>120.20000000000002</v>
      </c>
      <c r="BZ41" s="13">
        <f>BY41*VLOOKUP('Données projet'!$B$12,Paramètres!$A$1:$I$89,3,0)*VLOOKUP('Données projet'!$B$12,Paramètres!$A$1:$I$89,5,0)</f>
        <v>114.38232000000001</v>
      </c>
      <c r="CA41" s="13">
        <f t="shared" si="39"/>
        <v>30.361134085955022</v>
      </c>
      <c r="CB41" s="20">
        <f t="shared" si="10"/>
        <v>252.09484919970498</v>
      </c>
      <c r="CC41" s="59">
        <f t="shared" si="11"/>
        <v>501.11494689565018</v>
      </c>
      <c r="CD41" s="59">
        <f ca="1">AVERAGE(OFFSET($CC$3,0,0,'Données projet'!$E$12+1,1))-AVERAGE(OFFSET($H$3,0,0,'Données projet'!$E$12+1,1))</f>
        <v>413.9352601863377</v>
      </c>
      <c r="CE41" s="59">
        <f t="shared" si="40"/>
        <v>255.13997349799286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0</v>
      </c>
      <c r="CL41" s="21">
        <f>EXP(-LN(2)/25)*CL40+(1-EXP(-LN(2)/25))/(LN(2)/25)*Calculateur!CG41*Calculateur!CI41*VLOOKUP('Données projet'!$B$12,Paramètres!$A$1:$I$89,3,0)*0.475*44/12</f>
        <v>4.6999904894420279</v>
      </c>
      <c r="CM41" s="21">
        <f>EXP(-LN(2)/2)*CM40+(1-EXP(-LN(2)/2))/(LN(2)/2)*CG41*CJ41*VLOOKUP('Données projet'!$B$12,Paramètres!$A$1:$I$89,3,0)*0.475*44/12</f>
        <v>1.9810184687810699</v>
      </c>
      <c r="CN41" s="22">
        <f t="shared" si="12"/>
        <v>6.6810089582230976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57.914572098894148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7.6</v>
      </c>
      <c r="CT41" s="12">
        <f>IF('Données projet'!$A$140&gt;35,CT40+CS41-DB40,IF(A41&lt;'Données projet'!$A$140,$CQ$205^A41,IF(A41='Données projet'!$A$140,'Données projet'!$B$140,CT40+CS41-DB40)))</f>
        <v>137.79999999999995</v>
      </c>
      <c r="CU41" s="17">
        <f>CT41*VLOOKUP('Données projet'!$B$13,Paramètres!$A$1:$I$89,3,0)*VLOOKUP('Données projet'!$B$13,Paramètres!$A$1:$I$89,5,0)</f>
        <v>120.38207999999997</v>
      </c>
      <c r="CV41" s="13">
        <f t="shared" si="41"/>
        <v>31.764096685603551</v>
      </c>
      <c r="CW41" s="20">
        <f t="shared" si="13"/>
        <v>264.98792439409277</v>
      </c>
      <c r="CX41" s="59">
        <f t="shared" si="14"/>
        <v>514.00802209003803</v>
      </c>
      <c r="CY41" s="59">
        <f ca="1">AVERAGE(OFFSET($CX$3,0,0,'Données projet'!$E$13+1,1))-AVERAGE(OFFSET($H$3,0,0,'Données projet'!$E$13+1,1))</f>
        <v>280.59827778697775</v>
      </c>
      <c r="CZ41" s="59">
        <f t="shared" si="42"/>
        <v>270.86588231964726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>
        <f>EXP(-LN(2)/35)*DF40+(1-EXP(-LN(2)/35))/(LN(2)/35)*DB41*DC41*VLOOKUP('Données projet'!$B$13,Paramètres!$A$1:$I$89,3,0)*0.475*44/12</f>
        <v>0</v>
      </c>
      <c r="DG41" s="21">
        <f>EXP(-LN(2)/25)*DG40+(1-EXP(-LN(2)/25))/(LN(2)/25)*Calculateur!DB41*Calculateur!DD41*VLOOKUP('Données projet'!$B$13,Paramètres!$A$1:$I$89,3,0)*0.475*44/12</f>
        <v>8.0986245025172572</v>
      </c>
      <c r="DH41" s="21">
        <f>EXP(-LN(2)/2)*DH40+(1-EXP(-LN(2)/2))/(LN(2)/2)*DB41*DE41*VLOOKUP('Données projet'!$B$13,Paramètres!$A$1:$I$89,3,0)*0.475*44/12</f>
        <v>1.8566893619324811</v>
      </c>
      <c r="DI41" s="22">
        <f t="shared" si="15"/>
        <v>9.9553138644497388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57.914572098894148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4.7435897435897427</v>
      </c>
      <c r="DO41" s="12">
        <f>IF('Données projet'!$A$166&gt;35,DO40+DN41-DW40,IF(A41&lt;'Données projet'!$A$166,$DL$205^A41,IF(A41='Données projet'!$A$166,'Données projet'!$B$166,DO40+DN41-DW40)))</f>
        <v>78.333333333333357</v>
      </c>
      <c r="DP41" s="17">
        <f>DO41*VLOOKUP('Données projet'!$B$14,Paramètres!$A$1:$I$89,3,0)*VLOOKUP('Données projet'!$B$14,Paramètres!$A$1:$I$89,5,0)</f>
        <v>52.546000000000021</v>
      </c>
      <c r="DQ41" s="13">
        <f t="shared" si="43"/>
        <v>15.269362648914164</v>
      </c>
      <c r="DR41" s="20">
        <f t="shared" si="16"/>
        <v>118.11175661352553</v>
      </c>
      <c r="DS41" s="59">
        <f t="shared" si="17"/>
        <v>367.13185430947078</v>
      </c>
      <c r="DT41" s="59">
        <f ca="1">AVERAGE(OFFSET($DS$3,0,0,'Données projet'!$E$14+1,1))-AVERAGE(OFFSET($H$3,0,0,'Données projet'!$E$14+1,1))</f>
        <v>211.42385430331873</v>
      </c>
      <c r="DU41" s="59">
        <f t="shared" si="44"/>
        <v>146.84623106782686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>
        <f>EXP(-LN(2)/35)*EA40+(1-EXP(-LN(2)/35))/(LN(2)/35)*DW41*DX41*VLOOKUP('Données projet'!$B$14,Paramètres!$A$1:$I$89,3,0)*0.475*44/12</f>
        <v>0</v>
      </c>
      <c r="EB41" s="21">
        <f>EXP(-LN(2)/25)*EB40+(1-EXP(-LN(2)/25))/(LN(2)/25)*Calculateur!DW41*Calculateur!DY41*VLOOKUP('Données projet'!$B$14,Paramètres!$A$1:$I$89,3,0)*0.475*44/12</f>
        <v>3.0264186885592896</v>
      </c>
      <c r="EC41" s="21">
        <f>EXP(-LN(2)/2)*EC40+(1-EXP(-LN(2)/2))/(LN(2)/2)*DW41*DZ41*VLOOKUP('Données projet'!$B$14,Paramètres!$A$1:$I$89,3,0)*0.475*44/12</f>
        <v>0.80810900398373076</v>
      </c>
      <c r="ED41" s="22">
        <f t="shared" si="18"/>
        <v>3.8345276925430203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57.914572098894148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2.5641025641025634</v>
      </c>
      <c r="EJ41" s="12">
        <f>IF('Données projet'!$A$192&gt;35,EJ40+EI41-ER40,IF(A41&lt;'Données projet'!$A$192,$EG$205^A41,IF(A41='Données projet'!$A$192,'Données projet'!$B$192,EJ40+EI41-ER40)))</f>
        <v>42.948717948717928</v>
      </c>
      <c r="EK41" s="17">
        <f>EJ41*VLOOKUP('Données projet'!$B$15,Paramètres!$A$1:$I$89,3,0)*VLOOKUP('Données projet'!$B$15,Paramètres!$A$1:$I$89,5,0)</f>
        <v>46.229999999999976</v>
      </c>
      <c r="EL41" s="13">
        <f t="shared" si="45"/>
        <v>13.635743309369506</v>
      </c>
      <c r="EM41" s="20">
        <f t="shared" si="19"/>
        <v>104.26616959715183</v>
      </c>
      <c r="EN41" s="59">
        <f t="shared" si="20"/>
        <v>353.28626729309707</v>
      </c>
      <c r="EO41" s="59">
        <f ca="1">AVERAGE(OFFSET($EN$3,0,0,'Données projet'!$E$15+1,1))-AVERAGE(OFFSET($H$3,0,0,'Données projet'!$E$15+1,1))</f>
        <v>212.00478362779876</v>
      </c>
      <c r="EP41" s="59">
        <f t="shared" si="46"/>
        <v>133.62262474506707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>
        <f>EXP(-LN(2)/35)*EV40+(1-EXP(-LN(2)/35))/(LN(2)/35)*ER41*ES41*VLOOKUP('Données projet'!$B$15,Paramètres!$A$1:$I$89,3,0)*0.475*44/12</f>
        <v>0</v>
      </c>
      <c r="EW41" s="21">
        <f>EXP(-LN(2)/25)*EW40+(1-EXP(-LN(2)/25))/(LN(2)/25)*Calculateur!ER41*Calculateur!ET41*VLOOKUP('Données projet'!$B$15,Paramètres!$A$1:$I$89,3,0)*0.475*44/12</f>
        <v>1.7124551287065384</v>
      </c>
      <c r="EX41" s="21">
        <f>EXP(-LN(2)/2)*EX40+(1-EXP(-LN(2)/2))/(LN(2)/2)*ER41*EU41*VLOOKUP('Données projet'!$B$15,Paramètres!$A$1:$I$89,3,0)*0.475*44/12</f>
        <v>0.61545741946314081</v>
      </c>
      <c r="EY41" s="22">
        <f t="shared" si="21"/>
        <v>2.327912548169679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57.914572098894148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2.5641025641025634</v>
      </c>
      <c r="FE41" s="12">
        <f>IF('Données projet'!$A$218&gt;35,FE40+FD41-FM40,IF(A41&lt;'Données projet'!$A$218,$FB$205^A41,IF(A41='Données projet'!$A$218,'Données projet'!$B$218,FE40+FD41-FM40)))</f>
        <v>42.948717948717928</v>
      </c>
      <c r="FF41" s="17">
        <f>FE41*VLOOKUP('Données projet'!$B$16,Paramètres!$A$1:$I$89,3,0)*VLOOKUP('Données projet'!$B$16,Paramètres!$A$1:$I$89,5,0)</f>
        <v>41.539999999999978</v>
      </c>
      <c r="FG41" s="13">
        <f t="shared" si="47"/>
        <v>12.405922316720835</v>
      </c>
      <c r="FH41" s="20">
        <f t="shared" si="22"/>
        <v>93.95581470162206</v>
      </c>
      <c r="FI41" s="59">
        <f t="shared" si="23"/>
        <v>342.9759123975673</v>
      </c>
      <c r="FJ41" s="59">
        <f ca="1">AVERAGE(OFFSET($FI$3,0,0,'Données projet'!$E$16+1,1))-AVERAGE(OFFSET($H$3,0,0,'Données projet'!$E$16+1,1))</f>
        <v>196.65742339093146</v>
      </c>
      <c r="FK41" s="59">
        <f t="shared" si="48"/>
        <v>125.41980634506001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>
        <f>EXP(-LN(2)/35)*FQ40+(1-EXP(-LN(2)/35))/(LN(2)/35)*FM41*FN41*VLOOKUP('Données projet'!$B$16,Paramètres!$A$1:$I$89,3,0)*0.475*44/12</f>
        <v>0</v>
      </c>
      <c r="FR41" s="21">
        <f>EXP(-LN(2)/25)*FR40+(1-EXP(-LN(2)/25))/(LN(2)/25)*Calculateur!FM41*Calculateur!FO41*VLOOKUP('Données projet'!$B$16,Paramètres!$A$1:$I$89,3,0)*0.475*44/12</f>
        <v>1.5387277968087738</v>
      </c>
      <c r="FS41" s="21">
        <f>EXP(-LN(2)/2)*FS40+(1-EXP(-LN(2)/2))/(LN(2)/2)*FM41*FP41*VLOOKUP('Données projet'!$B$16,Paramètres!$A$1:$I$89,3,0)*0.475*44/12</f>
        <v>0.55301971024224261</v>
      </c>
      <c r="FT41" s="22">
        <f t="shared" si="24"/>
        <v>2.0917475070510165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57.914572098894148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57.914572098894148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>
      <c r="A42" s="10">
        <f t="shared" si="31"/>
        <v>39</v>
      </c>
      <c r="B42" s="73">
        <f>'Scénario référence'!$B$16*5+'Scénario référence'!$B$17*0+'Scénario référence'!$B$18*5</f>
        <v>4.6999999999999993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2.0807280000000006</v>
      </c>
      <c r="D42" s="11">
        <f t="shared" si="32"/>
        <v>0.880495445909936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17.570847350386355</v>
      </c>
      <c r="H42" s="67">
        <f t="shared" si="1"/>
        <v>192.89079750162648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58.124227254009284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16.693750000000001</v>
      </c>
      <c r="N42" s="13">
        <f>IF('Données projet'!$A$36&gt;35,N41+M42-V41,IF(A42&lt;'Données projet'!$A$36,$K$205^A42,IF(A42='Données projet'!$A$36,'Données projet'!$B$36,N41+M42-V41)))</f>
        <v>267.35250000000002</v>
      </c>
      <c r="O42" s="13">
        <f>N42*VLOOKUP('Données projet'!$B$9,Paramètres!$A$1:$I$89,3,0)*VLOOKUP('Données projet'!$B$9,Paramètres!$A$1:$I$89,5,0)</f>
        <v>159.87679500000002</v>
      </c>
      <c r="P42" s="13">
        <f t="shared" si="33"/>
        <v>40.814724929285397</v>
      </c>
      <c r="Q42" s="20">
        <f t="shared" si="53"/>
        <v>349.5377305435054</v>
      </c>
      <c r="R42" s="59">
        <f t="shared" si="0"/>
        <v>599.32656380820606</v>
      </c>
      <c r="S42" s="59">
        <f ca="1">AVERAGE(OFFSET($R$3,0,0,'Données projet'!$E$9+1,1))-AVERAGE(OFFSET($H$3,0,0,'Données projet'!$E$9+1,1))</f>
        <v>366.93249569585623</v>
      </c>
      <c r="T42" s="59">
        <f t="shared" si="34"/>
        <v>272.47262353368501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10.021441016453171</v>
      </c>
      <c r="AA42" s="21">
        <f>EXP(-LN(2)/25)*AA41+(1-EXP(-LN(2)/25))/(LN(2)/25)*Calculateur!V42*Calculateur!X42*VLOOKUP('Données projet'!$B$9,Paramètres!$A$1:$I$89,3,0)*0.475*44/12</f>
        <v>13.520007792504716</v>
      </c>
      <c r="AB42" s="21">
        <f>EXP(-LN(2)/2)*AB41+(1-EXP(-LN(2)/2))/(LN(2)/2)*V42*Y42*VLOOKUP('Données projet'!$B$9,Paramètres!$A$1:$I$89,3,0)*0.475*44/12</f>
        <v>1.8127258549098955</v>
      </c>
      <c r="AC42" s="22">
        <f t="shared" si="3"/>
        <v>25.354174663867784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58.124227254009284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10.064285714285713</v>
      </c>
      <c r="AI42" s="13">
        <f>IF('Données projet'!$A$62&gt;35,AI41+AH42-AQ41,IF(A42&lt;'Données projet'!$A$62,$AF$205^A42,IF(A42='Données projet'!$A$62,'Données projet'!$B$62,AI41+AH42-AQ41)))</f>
        <v>392.50714285714253</v>
      </c>
      <c r="AJ42" s="13">
        <f>AI42*VLOOKUP('Données projet'!$B$10,Paramètres!$A$1:$I$89,3,0)*VLOOKUP('Données projet'!$B$10,Paramètres!$A$1:$I$89,5,0)</f>
        <v>183.69334285714268</v>
      </c>
      <c r="AK42" s="13">
        <f t="shared" si="35"/>
        <v>46.142913059410738</v>
      </c>
      <c r="AL42" s="20">
        <f t="shared" si="4"/>
        <v>400.29814572133051</v>
      </c>
      <c r="AM42" s="59">
        <f t="shared" si="5"/>
        <v>650.08697898603123</v>
      </c>
      <c r="AN42" s="59">
        <f ca="1">AVERAGE(OFFSET($AM$3,0,0,'Données projet'!$E$10+1,1))-AVERAGE(OFFSET($H$3,0,0,'Données projet'!$E$10+1,1))</f>
        <v>382.89338473200229</v>
      </c>
      <c r="AO42" s="59">
        <f t="shared" si="36"/>
        <v>360.46248248971744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0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58.124227254009284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4.4871794871794863</v>
      </c>
      <c r="BD42" s="12">
        <f>IF('Données projet'!$A$88&gt;35,BD41+BC42-BL41,IF(A42&lt;'Données projet'!$A$88,$BA$205^A42,IF(A42='Données projet'!$A$88,'Données projet'!$B$88,BD41+BC42-BL41)))</f>
        <v>91.666666666666671</v>
      </c>
      <c r="BE42" s="13">
        <f>BD42*VLOOKUP('Données projet'!$B$11,Paramètres!$A$1:$I$89,3,0)*VLOOKUP('Données projet'!$B$11,Paramètres!$A$1:$I$89,5,0)</f>
        <v>80.080000000000013</v>
      </c>
      <c r="BF42" s="13">
        <f t="shared" si="37"/>
        <v>22.156743406564654</v>
      </c>
      <c r="BG42" s="20">
        <f t="shared" si="7"/>
        <v>178.06232809976677</v>
      </c>
      <c r="BH42" s="59">
        <f t="shared" si="8"/>
        <v>427.85116136446743</v>
      </c>
      <c r="BI42" s="59">
        <f ca="1">AVERAGE(OFFSET($BH$3,0,0,'Données projet'!$E$11+1,1))-AVERAGE(OFFSET($H$3,0,0,'Données projet'!$E$11+1,1))</f>
        <v>225.75484198243581</v>
      </c>
      <c r="BJ42" s="59">
        <f t="shared" si="38"/>
        <v>199.49566488421061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0</v>
      </c>
      <c r="BQ42" s="21">
        <f>EXP(-LN(2)/25)*BQ41+(1-EXP(-LN(2)/25))/(LN(2)/25)*Calculateur!BL42*Calculateur!BN42*VLOOKUP('Données projet'!$B$11,Paramètres!$A$1:$I$89,3,0)*0.475*44/12</f>
        <v>8.4179455457526888</v>
      </c>
      <c r="BR42" s="21">
        <f>EXP(-LN(2)/2)*BR41+(1-EXP(-LN(2)/2))/(LN(2)/2)*BL42*BO42*VLOOKUP('Données projet'!$B$11,Paramètres!$A$1:$I$89,3,0)*0.475*44/12</f>
        <v>0</v>
      </c>
      <c r="BS42" s="22">
        <f t="shared" si="9"/>
        <v>8.4179455457526888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58.124227254009284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8.4</v>
      </c>
      <c r="BY42" s="12">
        <f>IF('Données projet'!$A$114&gt;35,BY41+BX42-CG41,IF(A42&lt;'Données projet'!$A$114,$BV$205^A42,IF(A42='Données projet'!$A$114,'Données projet'!$B$114,BY41+BX42-CG41)))</f>
        <v>128.60000000000002</v>
      </c>
      <c r="BZ42" s="13">
        <f>BY42*VLOOKUP('Données projet'!$B$12,Paramètres!$A$1:$I$89,3,0)*VLOOKUP('Données projet'!$B$12,Paramètres!$A$1:$I$89,5,0)</f>
        <v>122.37576000000003</v>
      </c>
      <c r="CA42" s="13">
        <f t="shared" si="39"/>
        <v>32.22847248868726</v>
      </c>
      <c r="CB42" s="20">
        <f t="shared" si="10"/>
        <v>269.26903825113033</v>
      </c>
      <c r="CC42" s="59">
        <f t="shared" si="11"/>
        <v>519.05787151583104</v>
      </c>
      <c r="CD42" s="59">
        <f ca="1">AVERAGE(OFFSET($CC$3,0,0,'Données projet'!$E$12+1,1))-AVERAGE(OFFSET($H$3,0,0,'Données projet'!$E$12+1,1))</f>
        <v>413.9352601863377</v>
      </c>
      <c r="CE42" s="59">
        <f t="shared" si="40"/>
        <v>255.13997349799286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0</v>
      </c>
      <c r="CL42" s="21">
        <f>EXP(-LN(2)/25)*CL41+(1-EXP(-LN(2)/25))/(LN(2)/25)*Calculateur!CG42*Calculateur!CI42*VLOOKUP('Données projet'!$B$12,Paramètres!$A$1:$I$89,3,0)*0.475*44/12</f>
        <v>4.5714690023464781</v>
      </c>
      <c r="CM42" s="21">
        <f>EXP(-LN(2)/2)*CM41+(1-EXP(-LN(2)/2))/(LN(2)/2)*CG42*CJ42*VLOOKUP('Données projet'!$B$12,Paramètres!$A$1:$I$89,3,0)*0.475*44/12</f>
        <v>1.4007915929308856</v>
      </c>
      <c r="CN42" s="22">
        <f t="shared" si="12"/>
        <v>5.9722605952773637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58.124227254009284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7.6</v>
      </c>
      <c r="CT42" s="12">
        <f>IF('Données projet'!$A$140&gt;35,CT41+CS42-DB41,IF(A42&lt;'Données projet'!$A$140,$CQ$205^A42,IF(A42='Données projet'!$A$140,'Données projet'!$B$140,CT41+CS42-DB41)))</f>
        <v>145.39999999999995</v>
      </c>
      <c r="CU42" s="17">
        <f>CT42*VLOOKUP('Données projet'!$B$13,Paramètres!$A$1:$I$89,3,0)*VLOOKUP('Données projet'!$B$13,Paramètres!$A$1:$I$89,5,0)</f>
        <v>127.02143999999997</v>
      </c>
      <c r="CV42" s="13">
        <f t="shared" si="41"/>
        <v>33.307175870664402</v>
      </c>
      <c r="CW42" s="20">
        <f t="shared" si="13"/>
        <v>279.23900597474045</v>
      </c>
      <c r="CX42" s="59">
        <f t="shared" si="14"/>
        <v>529.02783923944116</v>
      </c>
      <c r="CY42" s="59">
        <f ca="1">AVERAGE(OFFSET($CX$3,0,0,'Données projet'!$E$13+1,1))-AVERAGE(OFFSET($H$3,0,0,'Données projet'!$E$13+1,1))</f>
        <v>280.59827778697775</v>
      </c>
      <c r="CZ42" s="59">
        <f t="shared" si="42"/>
        <v>270.86588231964726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>
        <f>EXP(-LN(2)/35)*DF41+(1-EXP(-LN(2)/35))/(LN(2)/35)*DB42*DC42*VLOOKUP('Données projet'!$B$13,Paramètres!$A$1:$I$89,3,0)*0.475*44/12</f>
        <v>0</v>
      </c>
      <c r="DG42" s="21">
        <f>EXP(-LN(2)/25)*DG41+(1-EXP(-LN(2)/25))/(LN(2)/25)*Calculateur!DB42*Calculateur!DD42*VLOOKUP('Données projet'!$B$13,Paramètres!$A$1:$I$89,3,0)*0.475*44/12</f>
        <v>7.8771671896077695</v>
      </c>
      <c r="DH42" s="21">
        <f>EXP(-LN(2)/2)*DH41+(1-EXP(-LN(2)/2))/(LN(2)/2)*DB42*DE42*VLOOKUP('Données projet'!$B$13,Paramètres!$A$1:$I$89,3,0)*0.475*44/12</f>
        <v>1.3128776383793817</v>
      </c>
      <c r="DI42" s="22">
        <f t="shared" si="15"/>
        <v>9.1900448279871512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58.124227254009284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4.7435897435897427</v>
      </c>
      <c r="DO42" s="12">
        <f>IF('Données projet'!$A$166&gt;35,DO41+DN42-DW41,IF(A42&lt;'Données projet'!$A$166,$DL$205^A42,IF(A42='Données projet'!$A$166,'Données projet'!$B$166,DO41+DN42-DW41)))</f>
        <v>83.076923076923094</v>
      </c>
      <c r="DP42" s="17">
        <f>DO42*VLOOKUP('Données projet'!$B$14,Paramètres!$A$1:$I$89,3,0)*VLOOKUP('Données projet'!$B$14,Paramètres!$A$1:$I$89,5,0)</f>
        <v>55.728000000000016</v>
      </c>
      <c r="DQ42" s="13">
        <f t="shared" si="43"/>
        <v>16.083574370281735</v>
      </c>
      <c r="DR42" s="20">
        <f t="shared" si="16"/>
        <v>125.07182536157403</v>
      </c>
      <c r="DS42" s="59">
        <f t="shared" si="17"/>
        <v>374.8606586262747</v>
      </c>
      <c r="DT42" s="59">
        <f ca="1">AVERAGE(OFFSET($DS$3,0,0,'Données projet'!$E$14+1,1))-AVERAGE(OFFSET($H$3,0,0,'Données projet'!$E$14+1,1))</f>
        <v>211.42385430331873</v>
      </c>
      <c r="DU42" s="59">
        <f t="shared" si="44"/>
        <v>146.84623106782686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>
        <f>EXP(-LN(2)/35)*EA41+(1-EXP(-LN(2)/35))/(LN(2)/35)*DW42*DX42*VLOOKUP('Données projet'!$B$14,Paramètres!$A$1:$I$89,3,0)*0.475*44/12</f>
        <v>0</v>
      </c>
      <c r="EB42" s="21">
        <f>EXP(-LN(2)/25)*EB41+(1-EXP(-LN(2)/25))/(LN(2)/25)*Calculateur!DW42*Calculateur!DY42*VLOOKUP('Données projet'!$B$14,Paramètres!$A$1:$I$89,3,0)*0.475*44/12</f>
        <v>2.9436611103681942</v>
      </c>
      <c r="EC42" s="21">
        <f>EXP(-LN(2)/2)*EC41+(1-EXP(-LN(2)/2))/(LN(2)/2)*DW42*DZ42*VLOOKUP('Données projet'!$B$14,Paramètres!$A$1:$I$89,3,0)*0.475*44/12</f>
        <v>0.57141935665480281</v>
      </c>
      <c r="ED42" s="22">
        <f t="shared" si="18"/>
        <v>3.5150804670229969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58.124227254009284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2.5641025641025634</v>
      </c>
      <c r="EJ42" s="12">
        <f>IF('Données projet'!$A$192&gt;35,EJ41+EI42-ER41,IF(A42&lt;'Données projet'!$A$192,$EG$205^A42,IF(A42='Données projet'!$A$192,'Données projet'!$B$192,EJ41+EI42-ER41)))</f>
        <v>45.51282051282049</v>
      </c>
      <c r="EK42" s="17">
        <f>EJ42*VLOOKUP('Données projet'!$B$15,Paramètres!$A$1:$I$89,3,0)*VLOOKUP('Données projet'!$B$15,Paramètres!$A$1:$I$89,5,0)</f>
        <v>48.989999999999974</v>
      </c>
      <c r="EL42" s="13">
        <f t="shared" si="45"/>
        <v>14.352613778705082</v>
      </c>
      <c r="EM42" s="20">
        <f t="shared" si="19"/>
        <v>110.32171899791132</v>
      </c>
      <c r="EN42" s="59">
        <f t="shared" si="20"/>
        <v>360.11055226261203</v>
      </c>
      <c r="EO42" s="59">
        <f ca="1">AVERAGE(OFFSET($EN$3,0,0,'Données projet'!$E$15+1,1))-AVERAGE(OFFSET($H$3,0,0,'Données projet'!$E$15+1,1))</f>
        <v>212.00478362779876</v>
      </c>
      <c r="EP42" s="59">
        <f t="shared" si="46"/>
        <v>133.62262474506707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>
        <f>EXP(-LN(2)/35)*EV41+(1-EXP(-LN(2)/35))/(LN(2)/35)*ER42*ES42*VLOOKUP('Données projet'!$B$15,Paramètres!$A$1:$I$89,3,0)*0.475*44/12</f>
        <v>0</v>
      </c>
      <c r="EW42" s="21">
        <f>EXP(-LN(2)/25)*EW41+(1-EXP(-LN(2)/25))/(LN(2)/25)*Calculateur!ER42*Calculateur!ET42*VLOOKUP('Données projet'!$B$15,Paramètres!$A$1:$I$89,3,0)*0.475*44/12</f>
        <v>1.6656279531579568</v>
      </c>
      <c r="EX42" s="21">
        <f>EXP(-LN(2)/2)*EX41+(1-EXP(-LN(2)/2))/(LN(2)/2)*ER42*EU42*VLOOKUP('Données projet'!$B$15,Paramètres!$A$1:$I$89,3,0)*0.475*44/12</f>
        <v>0.43519411483396031</v>
      </c>
      <c r="EY42" s="22">
        <f t="shared" si="21"/>
        <v>2.100822067991917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58.124227254009284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2.5641025641025634</v>
      </c>
      <c r="FE42" s="12">
        <f>IF('Données projet'!$A$218&gt;35,FE41+FD42-FM41,IF(A42&lt;'Données projet'!$A$218,$FB$205^A42,IF(A42='Données projet'!$A$218,'Données projet'!$B$218,FE41+FD42-FM41)))</f>
        <v>45.51282051282049</v>
      </c>
      <c r="FF42" s="17">
        <f>FE42*VLOOKUP('Données projet'!$B$16,Paramètres!$A$1:$I$89,3,0)*VLOOKUP('Données projet'!$B$16,Paramètres!$A$1:$I$89,5,0)</f>
        <v>44.019999999999982</v>
      </c>
      <c r="FG42" s="13">
        <f t="shared" si="47"/>
        <v>13.058137539019535</v>
      </c>
      <c r="FH42" s="20">
        <f t="shared" si="22"/>
        <v>99.411089547125641</v>
      </c>
      <c r="FI42" s="59">
        <f t="shared" si="23"/>
        <v>349.19992281182635</v>
      </c>
      <c r="FJ42" s="59">
        <f ca="1">AVERAGE(OFFSET($FI$3,0,0,'Données projet'!$E$16+1,1))-AVERAGE(OFFSET($H$3,0,0,'Données projet'!$E$16+1,1))</f>
        <v>196.65742339093146</v>
      </c>
      <c r="FK42" s="59">
        <f t="shared" si="48"/>
        <v>125.41980634506001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>
        <f>EXP(-LN(2)/35)*FQ41+(1-EXP(-LN(2)/35))/(LN(2)/35)*FM42*FN42*VLOOKUP('Données projet'!$B$16,Paramètres!$A$1:$I$89,3,0)*0.475*44/12</f>
        <v>0</v>
      </c>
      <c r="FR42" s="21">
        <f>EXP(-LN(2)/25)*FR41+(1-EXP(-LN(2)/25))/(LN(2)/25)*Calculateur!FM42*Calculateur!FO42*VLOOKUP('Données projet'!$B$16,Paramètres!$A$1:$I$89,3,0)*0.475*44/12</f>
        <v>1.4966512042868598</v>
      </c>
      <c r="FS42" s="21">
        <f>EXP(-LN(2)/2)*FS41+(1-EXP(-LN(2)/2))/(LN(2)/2)*FM42*FP42*VLOOKUP('Données projet'!$B$16,Paramètres!$A$1:$I$89,3,0)*0.475*44/12</f>
        <v>0.39104398724210937</v>
      </c>
      <c r="FT42" s="22">
        <f t="shared" si="24"/>
        <v>1.8876951915289693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58.124227254009284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58.124227254009284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>
      <c r="A43" s="10">
        <f t="shared" si="31"/>
        <v>40</v>
      </c>
      <c r="B43" s="73">
        <f>'Scénario référence'!$B$16*5+'Scénario référence'!$B$17*0+'Scénario référence'!$B$18*5</f>
        <v>4.6999999999999993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2.1340800000000004</v>
      </c>
      <c r="D43" s="11">
        <f t="shared" si="32"/>
        <v>0.90041482238219572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17.604783566857719</v>
      </c>
      <c r="H43" s="67">
        <f t="shared" si="1"/>
        <v>193.01841181564902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58.330245360901884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16.693750000000001</v>
      </c>
      <c r="N43" s="13">
        <f>IF('Données projet'!$A$36&gt;35,N42+M43-V42,IF(A43&lt;'Données projet'!$A$36,$K$205^A43,IF(A43='Données projet'!$A$36,'Données projet'!$B$36,N42+M43-V42)))</f>
        <v>284.04625000000004</v>
      </c>
      <c r="O43" s="13">
        <f>N43*VLOOKUP('Données projet'!$B$9,Paramètres!$A$1:$I$89,3,0)*VLOOKUP('Données projet'!$B$9,Paramètres!$A$1:$I$89,5,0)</f>
        <v>169.85965750000003</v>
      </c>
      <c r="P43" s="13">
        <f t="shared" si="33"/>
        <v>43.058590023226742</v>
      </c>
      <c r="Q43" s="20">
        <f t="shared" si="53"/>
        <v>370.83261443628663</v>
      </c>
      <c r="R43" s="59">
        <f t="shared" si="0"/>
        <v>621.37684742626016</v>
      </c>
      <c r="S43" s="59">
        <f ca="1">AVERAGE(OFFSET($R$3,0,0,'Données projet'!$E$9+1,1))-AVERAGE(OFFSET($H$3,0,0,'Données projet'!$E$9+1,1))</f>
        <v>366.93249569585623</v>
      </c>
      <c r="T43" s="59">
        <f t="shared" si="34"/>
        <v>272.47262353368501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9.8249266705959872</v>
      </c>
      <c r="AA43" s="21">
        <f>EXP(-LN(2)/25)*AA42+(1-EXP(-LN(2)/25))/(LN(2)/25)*Calculateur!V43*Calculateur!X43*VLOOKUP('Données projet'!$B$9,Paramètres!$A$1:$I$89,3,0)*0.475*44/12</f>
        <v>13.150302468432365</v>
      </c>
      <c r="AB43" s="21">
        <f>EXP(-LN(2)/2)*AB42+(1-EXP(-LN(2)/2))/(LN(2)/2)*V43*Y43*VLOOKUP('Données projet'!$B$9,Paramètres!$A$1:$I$89,3,0)*0.475*44/12</f>
        <v>1.2817907444389689</v>
      </c>
      <c r="AC43" s="22">
        <f t="shared" si="3"/>
        <v>24.257019883467319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58.330245360901884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10.064285714285713</v>
      </c>
      <c r="AI43" s="13">
        <f>IF('Données projet'!$A$62&gt;35,AI42+AH43-AQ42,IF(A43&lt;'Données projet'!$A$62,$AF$205^A43,IF(A43='Données projet'!$A$62,'Données projet'!$B$62,AI42+AH43-AQ42)))</f>
        <v>402.57142857142821</v>
      </c>
      <c r="AJ43" s="13">
        <f>AI43*VLOOKUP('Données projet'!$B$10,Paramètres!$A$1:$I$89,3,0)*VLOOKUP('Données projet'!$B$10,Paramètres!$A$1:$I$89,5,0)</f>
        <v>188.40342857142841</v>
      </c>
      <c r="AK43" s="13">
        <f t="shared" si="35"/>
        <v>47.186800408319471</v>
      </c>
      <c r="AL43" s="20">
        <f t="shared" si="4"/>
        <v>410.31964880639424</v>
      </c>
      <c r="AM43" s="59">
        <f t="shared" si="5"/>
        <v>660.86388179636788</v>
      </c>
      <c r="AN43" s="59">
        <f ca="1">AVERAGE(OFFSET($AM$3,0,0,'Données projet'!$E$10+1,1))-AVERAGE(OFFSET($H$3,0,0,'Données projet'!$E$10+1,1))</f>
        <v>382.89338473200229</v>
      </c>
      <c r="AO43" s="59">
        <f t="shared" si="36"/>
        <v>360.46248248971744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0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0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58.330245360901884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96.153846153846146</v>
      </c>
      <c r="BB43" s="12">
        <f>VLOOKUP(A43,'Données projet'!$A$87:$I$107,9,0)</f>
        <v>4.4871794871794863</v>
      </c>
      <c r="BC43" s="12">
        <f t="array" ref="BC43">INDEX(BB:BB,MIN(IF(ISNUMBER(BB43:BB239),ROW(BB43:BB239),"")))</f>
        <v>4.4871794871794863</v>
      </c>
      <c r="BD43" s="12">
        <f>IF('Données projet'!$A$88&gt;35,BD42+BC43-BL42,IF(A43&lt;'Données projet'!$A$88,$BA$205^A43,IF(A43='Données projet'!$A$88,'Données projet'!$B$88,BD42+BC43-BL42)))</f>
        <v>96.15384615384616</v>
      </c>
      <c r="BE43" s="13">
        <f>BD43*VLOOKUP('Données projet'!$B$11,Paramètres!$A$1:$I$89,3,0)*VLOOKUP('Données projet'!$B$11,Paramètres!$A$1:$I$89,5,0)</f>
        <v>84.000000000000014</v>
      </c>
      <c r="BF43" s="13">
        <f t="shared" si="37"/>
        <v>23.112410479560449</v>
      </c>
      <c r="BG43" s="20">
        <f t="shared" si="7"/>
        <v>186.55411491856782</v>
      </c>
      <c r="BH43" s="59">
        <f t="shared" si="8"/>
        <v>437.09834790854143</v>
      </c>
      <c r="BI43" s="59">
        <f ca="1">AVERAGE(OFFSET($BH$3,0,0,'Données projet'!$E$11+1,1))-AVERAGE(OFFSET($H$3,0,0,'Données projet'!$E$11+1,1))</f>
        <v>225.75484198243581</v>
      </c>
      <c r="BJ43" s="59">
        <f t="shared" si="38"/>
        <v>199.49566488421061</v>
      </c>
      <c r="BK43" s="15">
        <f>IF(ISNA(VLOOKUP(A43,'Données projet'!$A$87:$I$107,3,0)),0,VLOOKUP(A43,'Données projet'!$A$87:$I$107,3,0))</f>
        <v>5</v>
      </c>
      <c r="BL43" s="15">
        <f>IF(ISNA(VLOOKUP(A43,'Données projet'!$A$87:$I$107,4,0)),0,VLOOKUP(A43,'Données projet'!$A$87:$I$107,4,0))</f>
        <v>12.820512820512819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0.215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0</v>
      </c>
      <c r="BQ43" s="21">
        <f>EXP(-LN(2)/25)*BQ42+(1-EXP(-LN(2)/25))/(LN(2)/25)*Calculateur!BL43*Calculateur!BN43*VLOOKUP('Données projet'!$B$11,Paramètres!$A$1:$I$89,3,0)*0.475*44/12</f>
        <v>10.839247855330596</v>
      </c>
      <c r="BR43" s="21">
        <f>EXP(-LN(2)/2)*BR42+(1-EXP(-LN(2)/2))/(LN(2)/2)*BL43*BO43*VLOOKUP('Données projet'!$B$11,Paramètres!$A$1:$I$89,3,0)*0.475*44/12</f>
        <v>0</v>
      </c>
      <c r="BS43" s="22">
        <f t="shared" si="9"/>
        <v>10.839247855330596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58.330245360901884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>
        <f>VLOOKUP(A43,'Données projet'!$A$113:$I$133,2,0)</f>
        <v>137</v>
      </c>
      <c r="BW43" s="12">
        <f>VLOOKUP(A43,'Données projet'!$A$113:$I$133,9,0)</f>
        <v>8.4</v>
      </c>
      <c r="BX43" s="12">
        <f t="array" ref="BX43">INDEX(BW:BW,MIN(IF(ISNUMBER(BW43:BW239),ROW(BW43:BW239),"")))</f>
        <v>8.4</v>
      </c>
      <c r="BY43" s="12">
        <f>IF('Données projet'!$A$114&gt;35,BY42+BX43-CG42,IF(A43&lt;'Données projet'!$A$114,$BV$205^A43,IF(A43='Données projet'!$A$114,'Données projet'!$B$114,BY42+BX43-CG42)))</f>
        <v>137.00000000000003</v>
      </c>
      <c r="BZ43" s="13">
        <f>BY43*VLOOKUP('Données projet'!$B$12,Paramètres!$A$1:$I$89,3,0)*VLOOKUP('Données projet'!$B$12,Paramètres!$A$1:$I$89,5,0)</f>
        <v>130.36920000000003</v>
      </c>
      <c r="CA43" s="13">
        <f t="shared" si="39"/>
        <v>34.081656526320486</v>
      </c>
      <c r="CB43" s="20">
        <f t="shared" si="10"/>
        <v>286.4185751166749</v>
      </c>
      <c r="CC43" s="59">
        <f t="shared" si="11"/>
        <v>536.96280810664848</v>
      </c>
      <c r="CD43" s="59">
        <f ca="1">AVERAGE(OFFSET($CC$3,0,0,'Données projet'!$E$12+1,1))-AVERAGE(OFFSET($H$3,0,0,'Données projet'!$E$12+1,1))</f>
        <v>413.9352601863377</v>
      </c>
      <c r="CE43" s="59">
        <f t="shared" si="40"/>
        <v>255.13997349799286</v>
      </c>
      <c r="CF43" s="15">
        <f>IF(ISNA(VLOOKUP(A43,'Données projet'!$A$113:$I$133,3,0)),0,VLOOKUP(A43,'Données projet'!$A$113:$I$133,3,0))</f>
        <v>4</v>
      </c>
      <c r="CG43" s="15">
        <f>IF(ISNA(VLOOKUP(A43,'Données projet'!$A$113:$I$133,4,0)),0,VLOOKUP(A43,'Données projet'!$A$113:$I$133,4,0))</f>
        <v>21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0.1075</v>
      </c>
      <c r="CJ43" s="16">
        <f>IF(ISNA(VLOOKUP(A43,'Données projet'!$A$113:$I$133,7,0)),0%,VLOOKUP(A43,'Données projet'!$A$113:$I$133,7,0))</f>
        <v>0.25</v>
      </c>
      <c r="CK43" s="21">
        <f>EXP(-LN(2)/35)*CK42+(1-EXP(-LN(2)/35))/(LN(2)/35)*CG43*CH43*VLOOKUP('Données projet'!$B$12,Paramètres!$A$1:$I$89,3,0)*0.475*44/12</f>
        <v>0</v>
      </c>
      <c r="CL43" s="21">
        <f>EXP(-LN(2)/25)*CL42+(1-EXP(-LN(2)/25))/(LN(2)/25)*Calculateur!CG43*Calculateur!CI43*VLOOKUP('Données projet'!$B$12,Paramètres!$A$1:$I$89,3,0)*0.475*44/12</f>
        <v>6.8119237726090294</v>
      </c>
      <c r="CM43" s="21">
        <f>EXP(-LN(2)/2)*CM42+(1-EXP(-LN(2)/2))/(LN(2)/2)*CG43*CJ43*VLOOKUP('Données projet'!$B$12,Paramètres!$A$1:$I$89,3,0)*0.475*44/12</f>
        <v>5.7042753470675942</v>
      </c>
      <c r="CN43" s="22">
        <f t="shared" si="12"/>
        <v>12.516199119676624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58.330245360901884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>
        <f>VLOOKUP(A43,'Données projet'!$A$139:$I$159,2,0)</f>
        <v>153</v>
      </c>
      <c r="CR43" s="12">
        <f>VLOOKUP(A43,'Données projet'!$A$139:$I$159,9,0)</f>
        <v>7.6</v>
      </c>
      <c r="CS43" s="12">
        <f t="array" ref="CS43">INDEX(CR:CR,MIN(IF(ISNUMBER(CR43:CR239),ROW(CR43:CR239),"")))</f>
        <v>7.6</v>
      </c>
      <c r="CT43" s="12">
        <f>IF('Données projet'!$A$140&gt;35,CT42+CS43-DB42,IF(A43&lt;'Données projet'!$A$140,$CQ$205^A43,IF(A43='Données projet'!$A$140,'Données projet'!$B$140,CT42+CS43-DB42)))</f>
        <v>152.99999999999994</v>
      </c>
      <c r="CU43" s="17">
        <f>CT43*VLOOKUP('Données projet'!$B$13,Paramètres!$A$1:$I$89,3,0)*VLOOKUP('Données projet'!$B$13,Paramètres!$A$1:$I$89,5,0)</f>
        <v>133.66079999999997</v>
      </c>
      <c r="CV43" s="13">
        <f t="shared" si="41"/>
        <v>34.840890682716719</v>
      </c>
      <c r="CW43" s="20">
        <f t="shared" si="13"/>
        <v>293.47377793906486</v>
      </c>
      <c r="CX43" s="59">
        <f t="shared" si="14"/>
        <v>544.01801092903838</v>
      </c>
      <c r="CY43" s="59">
        <f ca="1">AVERAGE(OFFSET($CX$3,0,0,'Données projet'!$E$13+1,1))-AVERAGE(OFFSET($H$3,0,0,'Données projet'!$E$13+1,1))</f>
        <v>280.59827778697775</v>
      </c>
      <c r="CZ43" s="59">
        <f t="shared" si="42"/>
        <v>270.86588231964726</v>
      </c>
      <c r="DA43" s="15">
        <f>IF(ISNA(VLOOKUP(A43,'Données projet'!$A$139:$I$159,3,0)),0,VLOOKUP(A43,'Données projet'!$A$139:$I$159,3,0))</f>
        <v>5</v>
      </c>
      <c r="DB43" s="15">
        <f>IF(ISNA(VLOOKUP(A43,'Données projet'!$A$139:$I$159,4,0)),0,VLOOKUP(A43,'Données projet'!$A$139:$I$159,4,0))</f>
        <v>21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0.13250000000000001</v>
      </c>
      <c r="DE43" s="16">
        <f>IF(ISNA(VLOOKUP(A43,'Données projet'!$A$139:$I$159,7,0)),0%,VLOOKUP(A43,'Données projet'!$A$139:$I$159,7,0))</f>
        <v>0.25</v>
      </c>
      <c r="DF43" s="21">
        <f>EXP(-LN(2)/35)*DF42+(1-EXP(-LN(2)/35))/(LN(2)/35)*DB43*DC43*VLOOKUP('Données projet'!$B$13,Paramètres!$A$1:$I$89,3,0)*0.475*44/12</f>
        <v>0</v>
      </c>
      <c r="DG43" s="21">
        <f>EXP(-LN(2)/25)*DG42+(1-EXP(-LN(2)/25))/(LN(2)/25)*Calculateur!DB43*Calculateur!DD43*VLOOKUP('Données projet'!$B$13,Paramètres!$A$1:$I$89,3,0)*0.475*44/12</f>
        <v>10.338353786879626</v>
      </c>
      <c r="DH43" s="21">
        <f>EXP(-LN(2)/2)*DH42+(1-EXP(-LN(2)/2))/(LN(2)/2)*DB43*DE43*VLOOKUP('Données projet'!$B$13,Paramètres!$A$1:$I$89,3,0)*0.475*44/12</f>
        <v>5.2557365221123939</v>
      </c>
      <c r="DI43" s="22">
        <f t="shared" si="15"/>
        <v>15.594090308992019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58.330245360901884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>
        <f>VLOOKUP(A43,'Données projet'!$A$165:$I$185,2,0)</f>
        <v>87.820512820512818</v>
      </c>
      <c r="DM43" s="12">
        <f>VLOOKUP(A43,'Données projet'!$A$165:$I$185,9,0)</f>
        <v>4.7435897435897427</v>
      </c>
      <c r="DN43" s="12">
        <f t="array" ref="DN43">INDEX(DM:DM,MIN(IF(ISNUMBER(DM43:DM239),ROW(DM43:DM239),"")))</f>
        <v>4.7435897435897427</v>
      </c>
      <c r="DO43" s="12">
        <f>IF('Données projet'!$A$166&gt;35,DO42+DN43-DW42,IF(A43&lt;'Données projet'!$A$166,$DL$205^A43,IF(A43='Données projet'!$A$166,'Données projet'!$B$166,DO42+DN43-DW42)))</f>
        <v>87.820512820512832</v>
      </c>
      <c r="DP43" s="17">
        <f>DO43*VLOOKUP('Données projet'!$B$14,Paramètres!$A$1:$I$89,3,0)*VLOOKUP('Données projet'!$B$14,Paramètres!$A$1:$I$89,5,0)</f>
        <v>58.910000000000011</v>
      </c>
      <c r="DQ43" s="13">
        <f t="shared" si="43"/>
        <v>16.892389447484916</v>
      </c>
      <c r="DR43" s="20">
        <f t="shared" si="16"/>
        <v>132.02249495436959</v>
      </c>
      <c r="DS43" s="59">
        <f t="shared" si="17"/>
        <v>382.56672794434314</v>
      </c>
      <c r="DT43" s="59">
        <f ca="1">AVERAGE(OFFSET($DS$3,0,0,'Données projet'!$E$14+1,1))-AVERAGE(OFFSET($H$3,0,0,'Données projet'!$E$14+1,1))</f>
        <v>211.42385430331873</v>
      </c>
      <c r="DU43" s="59">
        <f t="shared" si="44"/>
        <v>146.84623106782686</v>
      </c>
      <c r="DV43" s="15">
        <f>IF(ISNA(VLOOKUP(A43,'Données projet'!$A$165:$I$185,3,0)),0,VLOOKUP(A43,'Données projet'!$A$165:$I$185,3,0))</f>
        <v>5</v>
      </c>
      <c r="DW43" s="15">
        <f>IF(ISNA(VLOOKUP(A43,'Données projet'!$A$165:$I$185,4,0)),0,VLOOKUP(A43,'Données projet'!$A$165:$I$185,4,0))</f>
        <v>12.820512820512819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0.13250000000000001</v>
      </c>
      <c r="DZ43" s="16">
        <f>IF(ISNA(VLOOKUP(A43,'Données projet'!$A$165:$I$185,7,0)),0%,VLOOKUP(A43,'Données projet'!$A$165:$I$185,7,0))</f>
        <v>0.25</v>
      </c>
      <c r="EA43" s="21">
        <f>EXP(-LN(2)/35)*EA42+(1-EXP(-LN(2)/35))/(LN(2)/35)*DW43*DX43*VLOOKUP('Données projet'!$B$14,Paramètres!$A$1:$I$89,3,0)*0.475*44/12</f>
        <v>0</v>
      </c>
      <c r="EB43" s="21">
        <f>EXP(-LN(2)/25)*EB42+(1-EXP(-LN(2)/25))/(LN(2)/25)*Calculateur!DW43*Calculateur!DY43*VLOOKUP('Données projet'!$B$14,Paramètres!$A$1:$I$89,3,0)*0.475*44/12</f>
        <v>4.1178901860759503</v>
      </c>
      <c r="EC43" s="21">
        <f>EXP(-LN(2)/2)*EC42+(1-EXP(-LN(2)/2))/(LN(2)/2)*DW43*DZ43*VLOOKUP('Données projet'!$B$14,Paramètres!$A$1:$I$89,3,0)*0.475*44/12</f>
        <v>2.4326373683934501</v>
      </c>
      <c r="ED43" s="22">
        <f t="shared" si="18"/>
        <v>6.5505275544694008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58.330245360901884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>
        <f>VLOOKUP(A43,'Données projet'!$A$191:$I$211,2,0)</f>
        <v>48.076923076923073</v>
      </c>
      <c r="EH43" s="12">
        <f>VLOOKUP(A43,'Données projet'!$A$191:$I$211,9,0)</f>
        <v>2.5641025641025634</v>
      </c>
      <c r="EI43" s="12">
        <f t="array" ref="EI43">INDEX(EH:EH,MIN(IF(ISNUMBER(EH43:EH239),ROW(EH43:EH239),"")))</f>
        <v>2.5641025641025634</v>
      </c>
      <c r="EJ43" s="12">
        <f>IF('Données projet'!$A$192&gt;35,EJ42+EI43-ER42,IF(A43&lt;'Données projet'!$A$192,$EG$205^A43,IF(A43='Données projet'!$A$192,'Données projet'!$B$192,EJ42+EI43-ER42)))</f>
        <v>48.076923076923052</v>
      </c>
      <c r="EK43" s="17">
        <f>EJ43*VLOOKUP('Données projet'!$B$15,Paramètres!$A$1:$I$89,3,0)*VLOOKUP('Données projet'!$B$15,Paramètres!$A$1:$I$89,5,0)</f>
        <v>51.749999999999972</v>
      </c>
      <c r="EL43" s="13">
        <f t="shared" si="45"/>
        <v>15.064795955922019</v>
      </c>
      <c r="EM43" s="20">
        <f t="shared" si="19"/>
        <v>116.36910295656413</v>
      </c>
      <c r="EN43" s="59">
        <f t="shared" si="20"/>
        <v>366.9133359465377</v>
      </c>
      <c r="EO43" s="59">
        <f ca="1">AVERAGE(OFFSET($EN$3,0,0,'Données projet'!$E$15+1,1))-AVERAGE(OFFSET($H$3,0,0,'Données projet'!$E$15+1,1))</f>
        <v>212.00478362779876</v>
      </c>
      <c r="EP43" s="59">
        <f t="shared" si="46"/>
        <v>133.62262474506707</v>
      </c>
      <c r="EQ43" s="15">
        <f>IF(ISNA(VLOOKUP(A43,'Données projet'!$A$191:$I$211,3,0)),0,VLOOKUP(A43,'Données projet'!$A$191:$I$211,3,0))</f>
        <v>4</v>
      </c>
      <c r="ER43" s="15">
        <f>IF(ISNA(VLOOKUP(A43,'Données projet'!$A$191:$I$211,4,0)),0,VLOOKUP(A43,'Données projet'!$A$191:$I$211,4,0))</f>
        <v>5.7692307692307692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0.1075</v>
      </c>
      <c r="EU43" s="16">
        <f>IF(ISNA(VLOOKUP(A43,'Données projet'!$A$191:$I$211,7,0)),0%,VLOOKUP(A43,'Données projet'!$A$191:$I$211,7,0))</f>
        <v>0.25</v>
      </c>
      <c r="EV43" s="21">
        <f>EXP(-LN(2)/35)*EV42+(1-EXP(-LN(2)/35))/(LN(2)/35)*ER43*ES43*VLOOKUP('Données projet'!$B$15,Paramètres!$A$1:$I$89,3,0)*0.475*44/12</f>
        <v>0</v>
      </c>
      <c r="EW43" s="21">
        <f>EXP(-LN(2)/25)*EW42+(1-EXP(-LN(2)/25))/(LN(2)/25)*Calculateur!ER43*Calculateur!ET43*VLOOKUP('Données projet'!$B$15,Paramètres!$A$1:$I$89,3,0)*0.475*44/12</f>
        <v>2.355159932071913</v>
      </c>
      <c r="EX43" s="21">
        <f>EXP(-LN(2)/2)*EX42+(1-EXP(-LN(2)/2))/(LN(2)/2)*ER43*EU43*VLOOKUP('Données projet'!$B$15,Paramètres!$A$1:$I$89,3,0)*0.475*44/12</f>
        <v>1.7725542446564353</v>
      </c>
      <c r="EY43" s="22">
        <f t="shared" si="21"/>
        <v>4.1277141767283485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58.330245360901884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>
        <f>VLOOKUP(A43,'Données projet'!$A$217:$I$237,2,0)</f>
        <v>48.076923076923073</v>
      </c>
      <c r="FC43" s="12">
        <f>VLOOKUP(A43,'Données projet'!$A$217:$I$237,9,0)</f>
        <v>2.5641025641025634</v>
      </c>
      <c r="FD43" s="12">
        <f t="array" ref="FD43">INDEX(FC:FC,MIN(IF(ISNUMBER(FC43:FC239),ROW(FC43:FC239),"")))</f>
        <v>2.5641025641025634</v>
      </c>
      <c r="FE43" s="12">
        <f>IF('Données projet'!$A$218&gt;35,FE42+FD43-FM42,IF(A43&lt;'Données projet'!$A$218,$FB$205^A43,IF(A43='Données projet'!$A$218,'Données projet'!$B$218,FE42+FD43-FM42)))</f>
        <v>48.076923076923052</v>
      </c>
      <c r="FF43" s="17">
        <f>FE43*VLOOKUP('Données projet'!$B$16,Paramètres!$A$1:$I$89,3,0)*VLOOKUP('Données projet'!$B$16,Paramètres!$A$1:$I$89,5,0)</f>
        <v>46.499999999999979</v>
      </c>
      <c r="FG43" s="13">
        <f t="shared" si="47"/>
        <v>13.706087310839848</v>
      </c>
      <c r="FH43" s="20">
        <f t="shared" si="22"/>
        <v>104.85893539971271</v>
      </c>
      <c r="FI43" s="59">
        <f t="shared" si="23"/>
        <v>355.4031683896863</v>
      </c>
      <c r="FJ43" s="59">
        <f ca="1">AVERAGE(OFFSET($FI$3,0,0,'Données projet'!$E$16+1,1))-AVERAGE(OFFSET($H$3,0,0,'Données projet'!$E$16+1,1))</f>
        <v>196.65742339093146</v>
      </c>
      <c r="FK43" s="59">
        <f t="shared" si="48"/>
        <v>125.41980634506001</v>
      </c>
      <c r="FL43" s="15">
        <f>IF(ISNA(VLOOKUP(A43,'Données projet'!$A$217:$I$237,3,0)),0,VLOOKUP(A43,'Données projet'!$A$217:$I$237,3,0))</f>
        <v>4</v>
      </c>
      <c r="FM43" s="15">
        <f>IF(ISNA(VLOOKUP(A43,'Données projet'!$A$217:$I$237,4,0)),0,VLOOKUP(A43,'Données projet'!$A$217:$I$237,4,0))</f>
        <v>5.7692307692307692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0.1075</v>
      </c>
      <c r="FP43" s="16">
        <f>IF(ISNA(VLOOKUP(A43,'Données projet'!$A$217:$I$237,7,0)),0%,VLOOKUP(A43,'Données projet'!$A$217:$I$237,7,0))</f>
        <v>0.25</v>
      </c>
      <c r="FQ43" s="21">
        <f>EXP(-LN(2)/35)*FQ42+(1-EXP(-LN(2)/35))/(LN(2)/35)*FM43*FN43*VLOOKUP('Données projet'!$B$16,Paramètres!$A$1:$I$89,3,0)*0.475*44/12</f>
        <v>0</v>
      </c>
      <c r="FR43" s="21">
        <f>EXP(-LN(2)/25)*FR42+(1-EXP(-LN(2)/25))/(LN(2)/25)*Calculateur!FM43*Calculateur!FO43*VLOOKUP('Données projet'!$B$16,Paramètres!$A$1:$I$89,3,0)*0.475*44/12</f>
        <v>2.1162306636008497</v>
      </c>
      <c r="FS43" s="21">
        <f>EXP(-LN(2)/2)*FS42+(1-EXP(-LN(2)/2))/(LN(2)/2)*FM43*FP43*VLOOKUP('Données projet'!$B$16,Paramètres!$A$1:$I$89,3,0)*0.475*44/12</f>
        <v>1.5927299009956377</v>
      </c>
      <c r="FT43" s="22">
        <f t="shared" si="24"/>
        <v>3.7089605645964872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58.330245360901884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58.330245360901884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>
      <c r="A44" s="10">
        <f t="shared" si="31"/>
        <v>41</v>
      </c>
      <c r="B44" s="73">
        <f>'Scénario référence'!$B$16*5+'Scénario référence'!$B$17*0+'Scénario référence'!$B$18*5</f>
        <v>4.6999999999999993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2.1874320000000003</v>
      </c>
      <c r="D44" s="11">
        <f t="shared" si="32"/>
        <v>0.92027631135423027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17.638692972276345</v>
      </c>
      <c r="H44" s="67">
        <f t="shared" si="1"/>
        <v>193.14592530894197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58.532689514227371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>
        <f>VLOOKUP(A44,'Données projet'!$A$35:$I$55,2,0)</f>
        <v>300.74</v>
      </c>
      <c r="L44" s="12">
        <f>VLOOKUP(A44,'Données projet'!$A$35:$I$55,9,0)</f>
        <v>16.693750000000001</v>
      </c>
      <c r="M44" s="12">
        <f t="array" ref="M44">INDEX(L:L,MIN(IF(ISNUMBER(L44:L240),ROW(L44:L240),"")))</f>
        <v>16.693750000000001</v>
      </c>
      <c r="N44" s="13">
        <f>IF('Données projet'!$A$36&gt;35,N43+M44-V43,IF(A44&lt;'Données projet'!$A$36,$K$205^A44,IF(A44='Données projet'!$A$36,'Données projet'!$B$36,N43+M44-V43)))</f>
        <v>300.74000000000007</v>
      </c>
      <c r="O44" s="13">
        <f>N44*VLOOKUP('Données projet'!$B$9,Paramètres!$A$1:$I$89,3,0)*VLOOKUP('Données projet'!$B$9,Paramètres!$A$1:$I$89,5,0)</f>
        <v>179.84252000000006</v>
      </c>
      <c r="P44" s="13">
        <f t="shared" si="33"/>
        <v>45.287147983377729</v>
      </c>
      <c r="Q44" s="20">
        <f t="shared" si="53"/>
        <v>392.10083840438301</v>
      </c>
      <c r="R44" s="59">
        <f t="shared" si="0"/>
        <v>643.38736662321674</v>
      </c>
      <c r="S44" s="59">
        <f ca="1">AVERAGE(OFFSET($R$3,0,0,'Données projet'!$E$9+1,1))-AVERAGE(OFFSET($H$3,0,0,'Données projet'!$E$9+1,1))</f>
        <v>366.93249569585623</v>
      </c>
      <c r="T44" s="59">
        <f t="shared" si="34"/>
        <v>272.47262353368501</v>
      </c>
      <c r="U44" s="15">
        <f>IF(ISNA(VLOOKUP(A44,'Données projet'!$A$35:$I$55,3,0)),0,VLOOKUP(A44,'Données projet'!$A$35:$I$55,3,0))</f>
        <v>4</v>
      </c>
      <c r="V44" s="15">
        <f>IF(ISNA(VLOOKUP(A44,'Données projet'!$A$35:$I$55,4,0)),0,VLOOKUP(A44,'Données projet'!$A$35:$I$55,4,0))</f>
        <v>72.16</v>
      </c>
      <c r="W44" s="16">
        <f>IF(ISNA(VLOOKUP(A44,'Données projet'!$A$35:$I$55,5,0)),0%,VLOOKUP(A44,'Données projet'!$A$35:$I$55,5,0)*VLOOKUP('Données projet'!$B$9,Paramètres!$A$1:$I$89,7,0))</f>
        <v>0.27</v>
      </c>
      <c r="X44" s="16">
        <f>IF(ISNA(VLOOKUP(A44,'Données projet'!$A$35:$I$55,6,0)),0%,VLOOKUP(A44,'Données projet'!$A$35:$I$55,6,0)*VLOOKUP('Données projet'!$B$9,Paramètres!$A$1:$I$89,7,0))</f>
        <v>9.0000000000000011E-2</v>
      </c>
      <c r="Y44" s="16">
        <f>IF(ISNA(VLOOKUP(A44,'Données projet'!$A$35:$I$55,7,0)),0%,VLOOKUP(A44,'Données projet'!$A$35:$I$55,7,0))</f>
        <v>0.2</v>
      </c>
      <c r="Z44" s="21">
        <f>EXP(-LN(2)/35)*Z43+(1-EXP(-LN(2)/35))/(LN(2)/35)*V44*W44*VLOOKUP('Données projet'!$B$9,Paramètres!$A$1:$I$89,3,0)*0.475*44/12</f>
        <v>25.088006768934498</v>
      </c>
      <c r="AA44" s="21">
        <f>EXP(-LN(2)/25)*AA43+(1-EXP(-LN(2)/25))/(LN(2)/25)*Calculateur!V44*Calculateur!X44*VLOOKUP('Données projet'!$B$9,Paramètres!$A$1:$I$89,3,0)*0.475*44/12</f>
        <v>17.922335348103143</v>
      </c>
      <c r="AB44" s="21">
        <f>EXP(-LN(2)/2)*AB43+(1-EXP(-LN(2)/2))/(LN(2)/2)*V44*Y44*VLOOKUP('Données projet'!$B$9,Paramètres!$A$1:$I$89,3,0)*0.475*44/12</f>
        <v>10.677908085160318</v>
      </c>
      <c r="AC44" s="22">
        <f t="shared" si="3"/>
        <v>53.688250202197956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58.532689514227371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10.064285714285713</v>
      </c>
      <c r="AI44" s="13">
        <f>IF('Données projet'!$A$62&gt;35,AI43+AH44-AQ43,IF(A44&lt;'Données projet'!$A$62,$AF$205^A44,IF(A44='Données projet'!$A$62,'Données projet'!$B$62,AI43+AH44-AQ43)))</f>
        <v>412.6357142857139</v>
      </c>
      <c r="AJ44" s="13">
        <f>AI44*VLOOKUP('Données projet'!$B$10,Paramètres!$A$1:$I$89,3,0)*VLOOKUP('Données projet'!$B$10,Paramètres!$A$1:$I$89,5,0)</f>
        <v>193.1135142857141</v>
      </c>
      <c r="AK44" s="13">
        <f t="shared" si="35"/>
        <v>48.227654126671105</v>
      </c>
      <c r="AL44" s="20">
        <f t="shared" si="4"/>
        <v>420.33586831823754</v>
      </c>
      <c r="AM44" s="59">
        <f t="shared" si="5"/>
        <v>671.62239653707127</v>
      </c>
      <c r="AN44" s="59">
        <f ca="1">AVERAGE(OFFSET($AM$3,0,0,'Données projet'!$E$10+1,1))-AVERAGE(OFFSET($H$3,0,0,'Données projet'!$E$10+1,1))</f>
        <v>382.89338473200229</v>
      </c>
      <c r="AO44" s="59">
        <f t="shared" si="36"/>
        <v>360.46248248971744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0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0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58.532689514227371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4.1025641025641022</v>
      </c>
      <c r="BD44" s="12">
        <f>IF('Données projet'!$A$88&gt;35,BD43+BC44-BL43,IF(A44&lt;'Données projet'!$A$88,$BA$205^A44,IF(A44='Données projet'!$A$88,'Données projet'!$B$88,BD43+BC44-BL43)))</f>
        <v>87.435897435897445</v>
      </c>
      <c r="BE44" s="13">
        <f>BD44*VLOOKUP('Données projet'!$B$11,Paramètres!$A$1:$I$89,3,0)*VLOOKUP('Données projet'!$B$11,Paramètres!$A$1:$I$89,5,0)</f>
        <v>76.384000000000015</v>
      </c>
      <c r="BF44" s="13">
        <f t="shared" si="37"/>
        <v>21.250687416058835</v>
      </c>
      <c r="BG44" s="20">
        <f t="shared" si="7"/>
        <v>170.04708058296916</v>
      </c>
      <c r="BH44" s="59">
        <f t="shared" si="8"/>
        <v>421.33360880180282</v>
      </c>
      <c r="BI44" s="59">
        <f ca="1">AVERAGE(OFFSET($BH$3,0,0,'Données projet'!$E$11+1,1))-AVERAGE(OFFSET($H$3,0,0,'Données projet'!$E$11+1,1))</f>
        <v>225.75484198243581</v>
      </c>
      <c r="BJ44" s="59">
        <f t="shared" si="38"/>
        <v>199.49566488421061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0</v>
      </c>
      <c r="BQ44" s="21">
        <f>EXP(-LN(2)/25)*BQ43+(1-EXP(-LN(2)/25))/(LN(2)/25)*Calculateur!BL44*Calculateur!BN44*VLOOKUP('Données projet'!$B$11,Paramètres!$A$1:$I$89,3,0)*0.475*44/12</f>
        <v>10.542848052715309</v>
      </c>
      <c r="BR44" s="21">
        <f>EXP(-LN(2)/2)*BR43+(1-EXP(-LN(2)/2))/(LN(2)/2)*BL44*BO44*VLOOKUP('Données projet'!$B$11,Paramètres!$A$1:$I$89,3,0)*0.475*44/12</f>
        <v>0</v>
      </c>
      <c r="BS44" s="22">
        <f t="shared" si="9"/>
        <v>10.542848052715309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58.532689514227371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8.4</v>
      </c>
      <c r="BY44" s="12">
        <f>IF('Données projet'!$A$114&gt;35,BY43+BX44-CG43,IF(A44&lt;'Données projet'!$A$114,$BV$205^A44,IF(A44='Données projet'!$A$114,'Données projet'!$B$114,BY43+BX44-CG43)))</f>
        <v>124.40000000000003</v>
      </c>
      <c r="BZ44" s="13">
        <f>BY44*VLOOKUP('Données projet'!$B$12,Paramètres!$A$1:$I$89,3,0)*VLOOKUP('Données projet'!$B$12,Paramètres!$A$1:$I$89,5,0)</f>
        <v>118.37904000000003</v>
      </c>
      <c r="CA44" s="13">
        <f t="shared" si="39"/>
        <v>31.296638268907181</v>
      </c>
      <c r="CB44" s="20">
        <f t="shared" si="10"/>
        <v>260.68513965168</v>
      </c>
      <c r="CC44" s="59">
        <f t="shared" si="11"/>
        <v>511.97166787051367</v>
      </c>
      <c r="CD44" s="59">
        <f ca="1">AVERAGE(OFFSET($CC$3,0,0,'Données projet'!$E$12+1,1))-AVERAGE(OFFSET($H$3,0,0,'Données projet'!$E$12+1,1))</f>
        <v>413.9352601863377</v>
      </c>
      <c r="CE44" s="59">
        <f t="shared" si="40"/>
        <v>255.13997349799286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0</v>
      </c>
      <c r="CL44" s="21">
        <f>EXP(-LN(2)/25)*CL43+(1-EXP(-LN(2)/25))/(LN(2)/25)*Calculateur!CG44*Calculateur!CI44*VLOOKUP('Données projet'!$B$12,Paramètres!$A$1:$I$89,3,0)*0.475*44/12</f>
        <v>6.6256513588235331</v>
      </c>
      <c r="CM44" s="21">
        <f>EXP(-LN(2)/2)*CM43+(1-EXP(-LN(2)/2))/(LN(2)/2)*CG44*CJ44*VLOOKUP('Données projet'!$B$12,Paramètres!$A$1:$I$89,3,0)*0.475*44/12</f>
        <v>4.0335317796667427</v>
      </c>
      <c r="CN44" s="22">
        <f t="shared" si="12"/>
        <v>10.659183138490276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58.532689514227371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6.4</v>
      </c>
      <c r="CT44" s="12">
        <f>IF('Données projet'!$A$140&gt;35,CT43+CS44-DB43,IF(A44&lt;'Données projet'!$A$140,$CQ$205^A44,IF(A44='Données projet'!$A$140,'Données projet'!$B$140,CT43+CS44-DB43)))</f>
        <v>138.39999999999995</v>
      </c>
      <c r="CU44" s="17">
        <f>CT44*VLOOKUP('Données projet'!$B$13,Paramètres!$A$1:$I$89,3,0)*VLOOKUP('Données projet'!$B$13,Paramètres!$A$1:$I$89,5,0)</f>
        <v>120.90623999999997</v>
      </c>
      <c r="CV44" s="13">
        <f t="shared" si="41"/>
        <v>31.886272251257857</v>
      </c>
      <c r="CW44" s="20">
        <f t="shared" si="13"/>
        <v>266.11362550427401</v>
      </c>
      <c r="CX44" s="59">
        <f t="shared" si="14"/>
        <v>517.40015372310768</v>
      </c>
      <c r="CY44" s="59">
        <f ca="1">AVERAGE(OFFSET($CX$3,0,0,'Données projet'!$E$13+1,1))-AVERAGE(OFFSET($H$3,0,0,'Données projet'!$E$13+1,1))</f>
        <v>280.59827778697775</v>
      </c>
      <c r="CZ44" s="59">
        <f t="shared" si="42"/>
        <v>270.86588231964726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>
        <f>EXP(-LN(2)/35)*DF43+(1-EXP(-LN(2)/35))/(LN(2)/35)*DB44*DC44*VLOOKUP('Données projet'!$B$13,Paramètres!$A$1:$I$89,3,0)*0.475*44/12</f>
        <v>0</v>
      </c>
      <c r="DG44" s="21">
        <f>EXP(-LN(2)/25)*DG43+(1-EXP(-LN(2)/25))/(LN(2)/25)*Calculateur!DB44*Calculateur!DD44*VLOOKUP('Données projet'!$B$13,Paramètres!$A$1:$I$89,3,0)*0.475*44/12</f>
        <v>10.055650958907005</v>
      </c>
      <c r="DH44" s="21">
        <f>EXP(-LN(2)/2)*DH43+(1-EXP(-LN(2)/2))/(LN(2)/2)*DB44*DE44*VLOOKUP('Données projet'!$B$13,Paramètres!$A$1:$I$89,3,0)*0.475*44/12</f>
        <v>3.7163669349154751</v>
      </c>
      <c r="DI44" s="22">
        <f t="shared" si="15"/>
        <v>13.772017893822481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58.532689514227371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4.7435897435897427</v>
      </c>
      <c r="DO44" s="12">
        <f>IF('Données projet'!$A$166&gt;35,DO43+DN44-DW43,IF(A44&lt;'Données projet'!$A$166,$DL$205^A44,IF(A44='Données projet'!$A$166,'Données projet'!$B$166,DO43+DN44-DW43)))</f>
        <v>79.743589743589752</v>
      </c>
      <c r="DP44" s="17">
        <f>DO44*VLOOKUP('Données projet'!$B$14,Paramètres!$A$1:$I$89,3,0)*VLOOKUP('Données projet'!$B$14,Paramètres!$A$1:$I$89,5,0)</f>
        <v>53.492000000000012</v>
      </c>
      <c r="DQ44" s="13">
        <f t="shared" si="43"/>
        <v>15.512010152063965</v>
      </c>
      <c r="DR44" s="20">
        <f t="shared" si="16"/>
        <v>120.1819843481781</v>
      </c>
      <c r="DS44" s="59">
        <f t="shared" si="17"/>
        <v>371.46851256701177</v>
      </c>
      <c r="DT44" s="59">
        <f ca="1">AVERAGE(OFFSET($DS$3,0,0,'Données projet'!$E$14+1,1))-AVERAGE(OFFSET($H$3,0,0,'Données projet'!$E$14+1,1))</f>
        <v>211.42385430331873</v>
      </c>
      <c r="DU44" s="59">
        <f t="shared" si="44"/>
        <v>146.84623106782686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>
        <f>EXP(-LN(2)/35)*EA43+(1-EXP(-LN(2)/35))/(LN(2)/35)*DW44*DX44*VLOOKUP('Données projet'!$B$14,Paramètres!$A$1:$I$89,3,0)*0.475*44/12</f>
        <v>0</v>
      </c>
      <c r="EB44" s="21">
        <f>EXP(-LN(2)/25)*EB43+(1-EXP(-LN(2)/25))/(LN(2)/25)*Calculateur!DW44*Calculateur!DY44*VLOOKUP('Données projet'!$B$14,Paramètres!$A$1:$I$89,3,0)*0.475*44/12</f>
        <v>4.00528626238727</v>
      </c>
      <c r="EC44" s="21">
        <f>EXP(-LN(2)/2)*EC43+(1-EXP(-LN(2)/2))/(LN(2)/2)*DW44*DZ44*VLOOKUP('Données projet'!$B$14,Paramètres!$A$1:$I$89,3,0)*0.475*44/12</f>
        <v>1.7201343793588062</v>
      </c>
      <c r="ED44" s="22">
        <f t="shared" si="18"/>
        <v>5.7254206417460765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58.532689514227371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2.4358974358974352</v>
      </c>
      <c r="EJ44" s="12">
        <f>IF('Données projet'!$A$192&gt;35,EJ43+EI44-ER43,IF(A44&lt;'Données projet'!$A$192,$EG$205^A44,IF(A44='Données projet'!$A$192,'Données projet'!$B$192,EJ43+EI44-ER43)))</f>
        <v>44.743589743589723</v>
      </c>
      <c r="EK44" s="17">
        <f>EJ44*VLOOKUP('Données projet'!$B$15,Paramètres!$A$1:$I$89,3,0)*VLOOKUP('Données projet'!$B$15,Paramètres!$A$1:$I$89,5,0)</f>
        <v>48.161999999999971</v>
      </c>
      <c r="EL44" s="13">
        <f t="shared" si="45"/>
        <v>14.138058452347092</v>
      </c>
      <c r="EM44" s="20">
        <f t="shared" si="19"/>
        <v>108.5059351378378</v>
      </c>
      <c r="EN44" s="59">
        <f t="shared" si="20"/>
        <v>359.79246335667148</v>
      </c>
      <c r="EO44" s="59">
        <f ca="1">AVERAGE(OFFSET($EN$3,0,0,'Données projet'!$E$15+1,1))-AVERAGE(OFFSET($H$3,0,0,'Données projet'!$E$15+1,1))</f>
        <v>212.00478362779876</v>
      </c>
      <c r="EP44" s="59">
        <f t="shared" si="46"/>
        <v>133.62262474506707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>
        <f>EXP(-LN(2)/35)*EV43+(1-EXP(-LN(2)/35))/(LN(2)/35)*ER44*ES44*VLOOKUP('Données projet'!$B$15,Paramètres!$A$1:$I$89,3,0)*0.475*44/12</f>
        <v>0</v>
      </c>
      <c r="EW44" s="21">
        <f>EXP(-LN(2)/25)*EW43+(1-EXP(-LN(2)/25))/(LN(2)/25)*Calculateur!ER44*Calculateur!ET44*VLOOKUP('Données projet'!$B$15,Paramètres!$A$1:$I$89,3,0)*0.475*44/12</f>
        <v>2.2907579598769283</v>
      </c>
      <c r="EX44" s="21">
        <f>EXP(-LN(2)/2)*EX43+(1-EXP(-LN(2)/2))/(LN(2)/2)*ER44*EU44*VLOOKUP('Données projet'!$B$15,Paramètres!$A$1:$I$89,3,0)*0.475*44/12</f>
        <v>1.2533851264175642</v>
      </c>
      <c r="EY44" s="22">
        <f t="shared" si="21"/>
        <v>3.5441430862944925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58.532689514227371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2.4358974358974352</v>
      </c>
      <c r="FE44" s="12">
        <f>IF('Données projet'!$A$218&gt;35,FE43+FD44-FM43,IF(A44&lt;'Données projet'!$A$218,$FB$205^A44,IF(A44='Données projet'!$A$218,'Données projet'!$B$218,FE43+FD44-FM43)))</f>
        <v>44.743589743589723</v>
      </c>
      <c r="FF44" s="17">
        <f>FE44*VLOOKUP('Données projet'!$B$16,Paramètres!$A$1:$I$89,3,0)*VLOOKUP('Données projet'!$B$16,Paramètres!$A$1:$I$89,5,0)</f>
        <v>43.275999999999982</v>
      </c>
      <c r="FG44" s="13">
        <f t="shared" si="47"/>
        <v>12.862933166874525</v>
      </c>
      <c r="FH44" s="20">
        <f t="shared" si="22"/>
        <v>97.775308598973098</v>
      </c>
      <c r="FI44" s="59">
        <f t="shared" si="23"/>
        <v>349.06183681780681</v>
      </c>
      <c r="FJ44" s="59">
        <f ca="1">AVERAGE(OFFSET($FI$3,0,0,'Données projet'!$E$16+1,1))-AVERAGE(OFFSET($H$3,0,0,'Données projet'!$E$16+1,1))</f>
        <v>196.65742339093146</v>
      </c>
      <c r="FK44" s="59">
        <f t="shared" si="48"/>
        <v>125.41980634506001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>
        <f>EXP(-LN(2)/35)*FQ43+(1-EXP(-LN(2)/35))/(LN(2)/35)*FM44*FN44*VLOOKUP('Données projet'!$B$16,Paramètres!$A$1:$I$89,3,0)*0.475*44/12</f>
        <v>0</v>
      </c>
      <c r="FR44" s="21">
        <f>EXP(-LN(2)/25)*FR43+(1-EXP(-LN(2)/25))/(LN(2)/25)*Calculateur!FM44*Calculateur!FO44*VLOOKUP('Données projet'!$B$16,Paramètres!$A$1:$I$89,3,0)*0.475*44/12</f>
        <v>2.0583622248169506</v>
      </c>
      <c r="FS44" s="21">
        <f>EXP(-LN(2)/2)*FS43+(1-EXP(-LN(2)/2))/(LN(2)/2)*FM44*FP44*VLOOKUP('Données projet'!$B$16,Paramètres!$A$1:$I$89,3,0)*0.475*44/12</f>
        <v>1.1262301135925941</v>
      </c>
      <c r="FT44" s="22">
        <f t="shared" si="24"/>
        <v>3.1845923384095447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58.532689514227371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58.532689514227371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>
      <c r="A45" s="10">
        <f t="shared" si="31"/>
        <v>42</v>
      </c>
      <c r="B45" s="73">
        <f>'Scénario référence'!$B$16*5+'Scénario référence'!$B$17*0+'Scénario référence'!$B$18*5</f>
        <v>4.6999999999999993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2.2407840000000001</v>
      </c>
      <c r="D45" s="11">
        <f t="shared" si="32"/>
        <v>0.94008148714062589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17.672576295798464</v>
      </c>
      <c r="H45" s="67">
        <f t="shared" si="1"/>
        <v>193.2733407234366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58.731621714089989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15.714444444444442</v>
      </c>
      <c r="N45" s="13">
        <f>IF('Données projet'!$A$36&gt;35,N44+M45-V44,IF(A45&lt;'Données projet'!$A$36,$K$205^A45,IF(A45='Données projet'!$A$36,'Données projet'!$B$36,N44+M45-V44)))</f>
        <v>244.29444444444451</v>
      </c>
      <c r="O45" s="13">
        <f>N45*VLOOKUP('Données projet'!$B$9,Paramètres!$A$1:$I$89,3,0)*VLOOKUP('Données projet'!$B$9,Paramètres!$A$1:$I$89,5,0)</f>
        <v>146.08807777777784</v>
      </c>
      <c r="P45" s="13">
        <f t="shared" si="33"/>
        <v>37.688224634642516</v>
      </c>
      <c r="Q45" s="20">
        <f t="shared" si="53"/>
        <v>320.07706003496543</v>
      </c>
      <c r="R45" s="59">
        <f t="shared" si="0"/>
        <v>572.093006319962</v>
      </c>
      <c r="S45" s="59">
        <f ca="1">AVERAGE(OFFSET($R$3,0,0,'Données projet'!$E$9+1,1))-AVERAGE(OFFSET($H$3,0,0,'Données projet'!$E$9+1,1))</f>
        <v>366.93249569585623</v>
      </c>
      <c r="T45" s="59">
        <f t="shared" si="34"/>
        <v>272.47262353368501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24.596046258368858</v>
      </c>
      <c r="AA45" s="21">
        <f>EXP(-LN(2)/25)*AA44+(1-EXP(-LN(2)/25))/(LN(2)/25)*Calculateur!V45*Calculateur!X45*VLOOKUP('Données projet'!$B$9,Paramètres!$A$1:$I$89,3,0)*0.475*44/12</f>
        <v>17.43224814551461</v>
      </c>
      <c r="AB45" s="21">
        <f>EXP(-LN(2)/2)*AB44+(1-EXP(-LN(2)/2))/(LN(2)/2)*V45*Y45*VLOOKUP('Données projet'!$B$9,Paramètres!$A$1:$I$89,3,0)*0.475*44/12</f>
        <v>7.5504212159035244</v>
      </c>
      <c r="AC45" s="22">
        <f t="shared" si="3"/>
        <v>49.57871561978699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58.731621714089989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>
        <f>VLOOKUP(A45,'Données projet'!$A$61:$I$81,2,0)</f>
        <v>422.7</v>
      </c>
      <c r="AG45" s="12">
        <f>VLOOKUP(A45,'Données projet'!$A$61:$I$81,9,0)</f>
        <v>10.064285714285713</v>
      </c>
      <c r="AH45" s="12">
        <f t="array" ref="AH45">INDEX(AG:AG,MIN(IF(ISNUMBER(AG45:AG241),ROW(AG45:AG241),"")))</f>
        <v>10.064285714285713</v>
      </c>
      <c r="AI45" s="13">
        <f>IF('Données projet'!$A$62&gt;35,AI44+AH45-AQ44,IF(A45&lt;'Données projet'!$A$62,$AF$205^A45,IF(A45='Données projet'!$A$62,'Données projet'!$B$62,AI44+AH45-AQ44)))</f>
        <v>422.69999999999959</v>
      </c>
      <c r="AJ45" s="13">
        <f>AI45*VLOOKUP('Données projet'!$B$10,Paramètres!$A$1:$I$89,3,0)*VLOOKUP('Données projet'!$B$10,Paramètres!$A$1:$I$89,5,0)</f>
        <v>197.82359999999983</v>
      </c>
      <c r="AK45" s="13">
        <f t="shared" si="35"/>
        <v>49.265556717403534</v>
      </c>
      <c r="AL45" s="20">
        <f t="shared" si="4"/>
        <v>430.34694794947745</v>
      </c>
      <c r="AM45" s="59">
        <f t="shared" si="5"/>
        <v>682.36289423447408</v>
      </c>
      <c r="AN45" s="59">
        <f ca="1">AVERAGE(OFFSET($AM$3,0,0,'Données projet'!$E$10+1,1))-AVERAGE(OFFSET($H$3,0,0,'Données projet'!$E$10+1,1))</f>
        <v>382.89338473200229</v>
      </c>
      <c r="AO45" s="59">
        <f t="shared" si="36"/>
        <v>360.46248248971744</v>
      </c>
      <c r="AP45" s="15">
        <f>IF(ISNA(VLOOKUP(A45,'Données projet'!$A$61:$I$81,3,0)),0,VLOOKUP(A45,'Données projet'!$A$61:$I$81,3,0))</f>
        <v>1</v>
      </c>
      <c r="AQ45" s="15">
        <f>IF(ISNA(VLOOKUP(A45,'Données projet'!$A$61:$I$81,4,0)),0,VLOOKUP(A45,'Données projet'!$A$61:$I$81,4,0))</f>
        <v>185.17</v>
      </c>
      <c r="AR45" s="16">
        <f>IF(ISNA(VLOOKUP(A45,'Données projet'!$A$61:$I$81,5,0)),0%,VLOOKUP(A45,'Données projet'!$A$61:$I$81,5,0)*VLOOKUP('Données projet'!$B$10,Paramètres!$A$1:$I$89,7,0))</f>
        <v>0.33</v>
      </c>
      <c r="AS45" s="16">
        <f>IF(ISNA(VLOOKUP(A45,'Données projet'!$A$61:$I$81,6,0)),0%,VLOOKUP(A45,'Données projet'!$A$61:$I$81,6,0)*VLOOKUP('Données projet'!$B$10,Paramètres!$A$1:$I$89,7,0))</f>
        <v>0.11000000000000001</v>
      </c>
      <c r="AT45" s="16">
        <f>IF(ISNA(VLOOKUP(A45,'Données projet'!$A$61:$I$81,7,0)),0%,VLOOKUP(A45,'Données projet'!$A$61:$I$81,7,0))</f>
        <v>0.2</v>
      </c>
      <c r="AU45" s="21">
        <f>EXP(-LN(2)/35)*AU44+(1-EXP(-LN(2)/35))/(LN(2)/35)*AQ45*AR45*VLOOKUP('Données projet'!$B$10,Paramètres!$A$1:$I$89,3,0)*0.475*44/12</f>
        <v>37.936632366609949</v>
      </c>
      <c r="AV45" s="21">
        <f>EXP(-LN(2)/25)*AV44+(1-EXP(-LN(2)/25))/(LN(2)/25)*Calculateur!AQ45*Calculateur!AS45*VLOOKUP('Données projet'!$B$10,Paramètres!$A$1:$I$89,3,0)*0.475*44/12</f>
        <v>12.595753796664143</v>
      </c>
      <c r="AW45" s="21">
        <f>EXP(-LN(2)/2)*AW44+(1-EXP(-LN(2)/2))/(LN(2)/2)*AQ45*AT45*VLOOKUP('Données projet'!$B$10,Paramètres!$A$1:$I$89,3,0)*0.475*44/12</f>
        <v>19.623750544286519</v>
      </c>
      <c r="AX45" s="21">
        <f t="shared" si="6"/>
        <v>70.156136707560606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58.731621714089989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4.1025641025641022</v>
      </c>
      <c r="BD45" s="12">
        <f>IF('Données projet'!$A$88&gt;35,BD44+BC45-BL44,IF(A45&lt;'Données projet'!$A$88,$BA$205^A45,IF(A45='Données projet'!$A$88,'Données projet'!$B$88,BD44+BC45-BL44)))</f>
        <v>91.538461538461547</v>
      </c>
      <c r="BE45" s="13">
        <f>BD45*VLOOKUP('Données projet'!$B$11,Paramètres!$A$1:$I$89,3,0)*VLOOKUP('Données projet'!$B$11,Paramètres!$A$1:$I$89,5,0)</f>
        <v>79.968000000000018</v>
      </c>
      <c r="BF45" s="13">
        <f t="shared" si="37"/>
        <v>22.12935978012921</v>
      </c>
      <c r="BG45" s="20">
        <f t="shared" si="7"/>
        <v>177.81956828372506</v>
      </c>
      <c r="BH45" s="59">
        <f t="shared" si="8"/>
        <v>429.83551456872169</v>
      </c>
      <c r="BI45" s="59">
        <f ca="1">AVERAGE(OFFSET($BH$3,0,0,'Données projet'!$E$11+1,1))-AVERAGE(OFFSET($H$3,0,0,'Données projet'!$E$11+1,1))</f>
        <v>225.75484198243581</v>
      </c>
      <c r="BJ45" s="59">
        <f t="shared" si="38"/>
        <v>199.49566488421061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0</v>
      </c>
      <c r="BQ45" s="21">
        <f>EXP(-LN(2)/25)*BQ44+(1-EXP(-LN(2)/25))/(LN(2)/25)*Calculateur!BL45*Calculateur!BN45*VLOOKUP('Données projet'!$B$11,Paramètres!$A$1:$I$89,3,0)*0.475*44/12</f>
        <v>10.254553318289526</v>
      </c>
      <c r="BR45" s="21">
        <f>EXP(-LN(2)/2)*BR44+(1-EXP(-LN(2)/2))/(LN(2)/2)*BL45*BO45*VLOOKUP('Données projet'!$B$11,Paramètres!$A$1:$I$89,3,0)*0.475*44/12</f>
        <v>0</v>
      </c>
      <c r="BS45" s="22">
        <f t="shared" si="9"/>
        <v>10.254553318289526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58.731621714089989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8.4</v>
      </c>
      <c r="BY45" s="12">
        <f>IF('Données projet'!$A$114&gt;35,BY44+BX45-CG44,IF(A45&lt;'Données projet'!$A$114,$BV$205^A45,IF(A45='Données projet'!$A$114,'Données projet'!$B$114,BY44+BX45-CG44)))</f>
        <v>132.80000000000004</v>
      </c>
      <c r="BZ45" s="13">
        <f>BY45*VLOOKUP('Données projet'!$B$12,Paramètres!$A$1:$I$89,3,0)*VLOOKUP('Données projet'!$B$12,Paramètres!$A$1:$I$89,5,0)</f>
        <v>126.37248000000004</v>
      </c>
      <c r="CA45" s="13">
        <f t="shared" si="39"/>
        <v>33.156770349896121</v>
      </c>
      <c r="CB45" s="20">
        <f t="shared" si="10"/>
        <v>277.84677769273577</v>
      </c>
      <c r="CC45" s="59">
        <f t="shared" si="11"/>
        <v>529.86272397773234</v>
      </c>
      <c r="CD45" s="59">
        <f ca="1">AVERAGE(OFFSET($CC$3,0,0,'Données projet'!$E$12+1,1))-AVERAGE(OFFSET($H$3,0,0,'Données projet'!$E$12+1,1))</f>
        <v>413.9352601863377</v>
      </c>
      <c r="CE45" s="59">
        <f t="shared" si="40"/>
        <v>255.13997349799286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0</v>
      </c>
      <c r="CL45" s="21">
        <f>EXP(-LN(2)/25)*CL44+(1-EXP(-LN(2)/25))/(LN(2)/25)*Calculateur!CG45*Calculateur!CI45*VLOOKUP('Données projet'!$B$12,Paramètres!$A$1:$I$89,3,0)*0.475*44/12</f>
        <v>6.4444725739886417</v>
      </c>
      <c r="CM45" s="21">
        <f>EXP(-LN(2)/2)*CM44+(1-EXP(-LN(2)/2))/(LN(2)/2)*CG45*CJ45*VLOOKUP('Données projet'!$B$12,Paramètres!$A$1:$I$89,3,0)*0.475*44/12</f>
        <v>2.8521376735337971</v>
      </c>
      <c r="CN45" s="22">
        <f t="shared" si="12"/>
        <v>9.2966102475224393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58.731621714089989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6.4</v>
      </c>
      <c r="CT45" s="12">
        <f>IF('Données projet'!$A$140&gt;35,CT44+CS45-DB44,IF(A45&lt;'Données projet'!$A$140,$CQ$205^A45,IF(A45='Données projet'!$A$140,'Données projet'!$B$140,CT44+CS45-DB44)))</f>
        <v>144.79999999999995</v>
      </c>
      <c r="CU45" s="17">
        <f>CT45*VLOOKUP('Données projet'!$B$13,Paramètres!$A$1:$I$89,3,0)*VLOOKUP('Données projet'!$B$13,Paramètres!$A$1:$I$89,5,0)</f>
        <v>126.49727999999998</v>
      </c>
      <c r="CV45" s="13">
        <f t="shared" si="41"/>
        <v>33.185701456959592</v>
      </c>
      <c r="CW45" s="20">
        <f t="shared" si="13"/>
        <v>278.11452603753787</v>
      </c>
      <c r="CX45" s="59">
        <f t="shared" si="14"/>
        <v>530.1304723225345</v>
      </c>
      <c r="CY45" s="59">
        <f ca="1">AVERAGE(OFFSET($CX$3,0,0,'Données projet'!$E$13+1,1))-AVERAGE(OFFSET($H$3,0,0,'Données projet'!$E$13+1,1))</f>
        <v>280.59827778697775</v>
      </c>
      <c r="CZ45" s="59">
        <f t="shared" si="42"/>
        <v>270.86588231964726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>
        <f>EXP(-LN(2)/35)*DF44+(1-EXP(-LN(2)/35))/(LN(2)/35)*DB45*DC45*VLOOKUP('Données projet'!$B$13,Paramètres!$A$1:$I$89,3,0)*0.475*44/12</f>
        <v>0</v>
      </c>
      <c r="DG45" s="21">
        <f>EXP(-LN(2)/25)*DG44+(1-EXP(-LN(2)/25))/(LN(2)/25)*Calculateur!DB45*Calculateur!DD45*VLOOKUP('Données projet'!$B$13,Paramètres!$A$1:$I$89,3,0)*0.475*44/12</f>
        <v>9.7806786546319913</v>
      </c>
      <c r="DH45" s="21">
        <f>EXP(-LN(2)/2)*DH44+(1-EXP(-LN(2)/2))/(LN(2)/2)*DB45*DE45*VLOOKUP('Données projet'!$B$13,Paramètres!$A$1:$I$89,3,0)*0.475*44/12</f>
        <v>2.6278682610561974</v>
      </c>
      <c r="DI45" s="22">
        <f t="shared" si="15"/>
        <v>12.408546915688188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58.731621714089989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4.7435897435897427</v>
      </c>
      <c r="DO45" s="12">
        <f>IF('Données projet'!$A$166&gt;35,DO44+DN45-DW44,IF(A45&lt;'Données projet'!$A$166,$DL$205^A45,IF(A45='Données projet'!$A$166,'Données projet'!$B$166,DO44+DN45-DW44)))</f>
        <v>84.487179487179489</v>
      </c>
      <c r="DP45" s="17">
        <f>DO45*VLOOKUP('Données projet'!$B$14,Paramètres!$A$1:$I$89,3,0)*VLOOKUP('Données projet'!$B$14,Paramètres!$A$1:$I$89,5,0)</f>
        <v>56.674000000000007</v>
      </c>
      <c r="DQ45" s="13">
        <f t="shared" si="43"/>
        <v>16.324581210105315</v>
      </c>
      <c r="DR45" s="20">
        <f t="shared" si="16"/>
        <v>127.13919560760012</v>
      </c>
      <c r="DS45" s="59">
        <f t="shared" si="17"/>
        <v>379.1551418925967</v>
      </c>
      <c r="DT45" s="59">
        <f ca="1">AVERAGE(OFFSET($DS$3,0,0,'Données projet'!$E$14+1,1))-AVERAGE(OFFSET($H$3,0,0,'Données projet'!$E$14+1,1))</f>
        <v>211.42385430331873</v>
      </c>
      <c r="DU45" s="59">
        <f t="shared" si="44"/>
        <v>146.84623106782686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>
        <f>EXP(-LN(2)/35)*EA44+(1-EXP(-LN(2)/35))/(LN(2)/35)*DW45*DX45*VLOOKUP('Données projet'!$B$14,Paramètres!$A$1:$I$89,3,0)*0.475*44/12</f>
        <v>0</v>
      </c>
      <c r="EB45" s="21">
        <f>EXP(-LN(2)/25)*EB44+(1-EXP(-LN(2)/25))/(LN(2)/25)*Calculateur!DW45*Calculateur!DY45*VLOOKUP('Données projet'!$B$14,Paramètres!$A$1:$I$89,3,0)*0.475*44/12</f>
        <v>3.8957614989134397</v>
      </c>
      <c r="EC45" s="21">
        <f>EXP(-LN(2)/2)*EC44+(1-EXP(-LN(2)/2))/(LN(2)/2)*DW45*DZ45*VLOOKUP('Données projet'!$B$14,Paramètres!$A$1:$I$89,3,0)*0.475*44/12</f>
        <v>1.2163186841967253</v>
      </c>
      <c r="ED45" s="22">
        <f t="shared" si="18"/>
        <v>5.112080183110165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58.731621714089989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2.4358974358974352</v>
      </c>
      <c r="EJ45" s="12">
        <f>IF('Données projet'!$A$192&gt;35,EJ44+EI45-ER44,IF(A45&lt;'Données projet'!$A$192,$EG$205^A45,IF(A45='Données projet'!$A$192,'Données projet'!$B$192,EJ44+EI45-ER44)))</f>
        <v>47.179487179487161</v>
      </c>
      <c r="EK45" s="17">
        <f>EJ45*VLOOKUP('Données projet'!$B$15,Paramètres!$A$1:$I$89,3,0)*VLOOKUP('Données projet'!$B$15,Paramètres!$A$1:$I$89,5,0)</f>
        <v>50.783999999999978</v>
      </c>
      <c r="EL45" s="13">
        <f t="shared" si="45"/>
        <v>14.81604738102939</v>
      </c>
      <c r="EM45" s="20">
        <f t="shared" si="19"/>
        <v>114.25341585529281</v>
      </c>
      <c r="EN45" s="59">
        <f t="shared" si="20"/>
        <v>366.26936214028945</v>
      </c>
      <c r="EO45" s="59">
        <f ca="1">AVERAGE(OFFSET($EN$3,0,0,'Données projet'!$E$15+1,1))-AVERAGE(OFFSET($H$3,0,0,'Données projet'!$E$15+1,1))</f>
        <v>212.00478362779876</v>
      </c>
      <c r="EP45" s="59">
        <f t="shared" si="46"/>
        <v>133.62262474506707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>
        <f>EXP(-LN(2)/35)*EV44+(1-EXP(-LN(2)/35))/(LN(2)/35)*ER45*ES45*VLOOKUP('Données projet'!$B$15,Paramètres!$A$1:$I$89,3,0)*0.475*44/12</f>
        <v>0</v>
      </c>
      <c r="EW45" s="21">
        <f>EXP(-LN(2)/25)*EW44+(1-EXP(-LN(2)/25))/(LN(2)/25)*Calculateur!ER45*Calculateur!ET45*VLOOKUP('Données projet'!$B$15,Paramètres!$A$1:$I$89,3,0)*0.475*44/12</f>
        <v>2.228117062998368</v>
      </c>
      <c r="EX45" s="21">
        <f>EXP(-LN(2)/2)*EX44+(1-EXP(-LN(2)/2))/(LN(2)/2)*ER45*EU45*VLOOKUP('Données projet'!$B$15,Paramètres!$A$1:$I$89,3,0)*0.475*44/12</f>
        <v>0.88627712232821776</v>
      </c>
      <c r="EY45" s="22">
        <f t="shared" si="21"/>
        <v>3.114394185326586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58.731621714089989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2.4358974358974352</v>
      </c>
      <c r="FE45" s="12">
        <f>IF('Données projet'!$A$218&gt;35,FE44+FD45-FM44,IF(A45&lt;'Données projet'!$A$218,$FB$205^A45,IF(A45='Données projet'!$A$218,'Données projet'!$B$218,FE44+FD45-FM44)))</f>
        <v>47.179487179487161</v>
      </c>
      <c r="FF45" s="17">
        <f>FE45*VLOOKUP('Données projet'!$B$16,Paramètres!$A$1:$I$89,3,0)*VLOOKUP('Données projet'!$B$16,Paramètres!$A$1:$I$89,5,0)</f>
        <v>45.631999999999984</v>
      </c>
      <c r="FG45" s="13">
        <f t="shared" si="47"/>
        <v>13.479773612605848</v>
      </c>
      <c r="FH45" s="20">
        <f t="shared" si="22"/>
        <v>102.95300570862183</v>
      </c>
      <c r="FI45" s="59">
        <f t="shared" si="23"/>
        <v>354.96895199361842</v>
      </c>
      <c r="FJ45" s="59">
        <f ca="1">AVERAGE(OFFSET($FI$3,0,0,'Données projet'!$E$16+1,1))-AVERAGE(OFFSET($H$3,0,0,'Données projet'!$E$16+1,1))</f>
        <v>196.65742339093146</v>
      </c>
      <c r="FK45" s="59">
        <f t="shared" si="48"/>
        <v>125.41980634506001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>
        <f>EXP(-LN(2)/35)*FQ44+(1-EXP(-LN(2)/35))/(LN(2)/35)*FM45*FN45*VLOOKUP('Données projet'!$B$16,Paramètres!$A$1:$I$89,3,0)*0.475*44/12</f>
        <v>0</v>
      </c>
      <c r="FR45" s="21">
        <f>EXP(-LN(2)/25)*FR44+(1-EXP(-LN(2)/25))/(LN(2)/25)*Calculateur!FM45*Calculateur!FO45*VLOOKUP('Données projet'!$B$16,Paramètres!$A$1:$I$89,3,0)*0.475*44/12</f>
        <v>2.002076201534766</v>
      </c>
      <c r="FS45" s="21">
        <f>EXP(-LN(2)/2)*FS44+(1-EXP(-LN(2)/2))/(LN(2)/2)*FM45*FP45*VLOOKUP('Données projet'!$B$16,Paramètres!$A$1:$I$89,3,0)*0.475*44/12</f>
        <v>0.79636495049781908</v>
      </c>
      <c r="FT45" s="22">
        <f t="shared" si="24"/>
        <v>2.7984411520325851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58.731621714089989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58.731621714089989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>
      <c r="A46" s="10">
        <f t="shared" si="31"/>
        <v>43</v>
      </c>
      <c r="B46" s="73">
        <f>'Scénario référence'!$B$16*5+'Scénario référence'!$B$17*0+'Scénario référence'!$B$18*5</f>
        <v>4.6999999999999993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2.294136</v>
      </c>
      <c r="D46" s="11">
        <f t="shared" si="32"/>
        <v>0.95983184481279094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17.706434229878205</v>
      </c>
      <c r="H46" s="67">
        <f t="shared" si="1"/>
        <v>193.40066066304897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58.927102885030756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15.714444444444442</v>
      </c>
      <c r="N46" s="13">
        <f>IF('Données projet'!$A$36&gt;35,N45+M46-V45,IF(A46&lt;'Données projet'!$A$36,$K$205^A46,IF(A46='Données projet'!$A$36,'Données projet'!$B$36,N45+M46-V45)))</f>
        <v>260.00888888888898</v>
      </c>
      <c r="O46" s="13">
        <f>N46*VLOOKUP('Données projet'!$B$9,Paramètres!$A$1:$I$89,3,0)*VLOOKUP('Données projet'!$B$9,Paramètres!$A$1:$I$89,5,0)</f>
        <v>155.48531555555562</v>
      </c>
      <c r="P46" s="13">
        <f t="shared" si="33"/>
        <v>39.822525633411466</v>
      </c>
      <c r="Q46" s="20">
        <f t="shared" si="53"/>
        <v>340.16115673745094</v>
      </c>
      <c r="R46" s="59">
        <f t="shared" si="0"/>
        <v>592.89386731589707</v>
      </c>
      <c r="S46" s="59">
        <f ca="1">AVERAGE(OFFSET($R$3,0,0,'Données projet'!$E$9+1,1))-AVERAGE(OFFSET($H$3,0,0,'Données projet'!$E$9+1,1))</f>
        <v>366.93249569585623</v>
      </c>
      <c r="T46" s="59">
        <f t="shared" si="34"/>
        <v>272.47262353368501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24.113732793349126</v>
      </c>
      <c r="AA46" s="21">
        <f>EXP(-LN(2)/25)*AA45+(1-EXP(-LN(2)/25))/(LN(2)/25)*Calculateur!V46*Calculateur!X46*VLOOKUP('Données projet'!$B$9,Paramètres!$A$1:$I$89,3,0)*0.475*44/12</f>
        <v>16.955562403253424</v>
      </c>
      <c r="AB46" s="21">
        <f>EXP(-LN(2)/2)*AB45+(1-EXP(-LN(2)/2))/(LN(2)/2)*V46*Y46*VLOOKUP('Données projet'!$B$9,Paramètres!$A$1:$I$89,3,0)*0.475*44/12</f>
        <v>5.33895404258016</v>
      </c>
      <c r="AC46" s="22">
        <f t="shared" si="3"/>
        <v>46.408249239182716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58.927102885030756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18.28142857142857</v>
      </c>
      <c r="AI46" s="13">
        <f>IF('Données projet'!$A$62&gt;35,AI45+AH46-AQ45,IF(A46&lt;'Données projet'!$A$62,$AF$205^A46,IF(A46='Données projet'!$A$62,'Données projet'!$B$62,AI45+AH46-AQ45)))</f>
        <v>255.81142857142819</v>
      </c>
      <c r="AJ46" s="13">
        <f>AI46*VLOOKUP('Données projet'!$B$10,Paramètres!$A$1:$I$89,3,0)*VLOOKUP('Données projet'!$B$10,Paramètres!$A$1:$I$89,5,0)</f>
        <v>119.7197485714284</v>
      </c>
      <c r="AK46" s="13">
        <f t="shared" si="35"/>
        <v>31.609626358520941</v>
      </c>
      <c r="AL46" s="20">
        <f t="shared" si="4"/>
        <v>263.56532800299505</v>
      </c>
      <c r="AM46" s="59">
        <f t="shared" si="5"/>
        <v>516.29803858144123</v>
      </c>
      <c r="AN46" s="59">
        <f ca="1">AVERAGE(OFFSET($AM$3,0,0,'Données projet'!$E$10+1,1))-AVERAGE(OFFSET($H$3,0,0,'Données projet'!$E$10+1,1))</f>
        <v>382.89338473200229</v>
      </c>
      <c r="AO46" s="59">
        <f t="shared" si="36"/>
        <v>360.46248248971744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37.192718144961681</v>
      </c>
      <c r="AV46" s="21">
        <f>EXP(-LN(2)/25)*AV45+(1-EXP(-LN(2)/25))/(LN(2)/25)*Calculateur!AQ46*Calculateur!AS46*VLOOKUP('Données projet'!$B$10,Paramètres!$A$1:$I$89,3,0)*0.475*44/12</f>
        <v>12.251322246712459</v>
      </c>
      <c r="AW46" s="21">
        <f>EXP(-LN(2)/2)*AW45+(1-EXP(-LN(2)/2))/(LN(2)/2)*AQ46*AT46*VLOOKUP('Données projet'!$B$10,Paramètres!$A$1:$I$89,3,0)*0.475*44/12</f>
        <v>13.876087082178202</v>
      </c>
      <c r="AX46" s="21">
        <f t="shared" si="6"/>
        <v>63.320127473852338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58.927102885030756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4.1025641025641022</v>
      </c>
      <c r="BD46" s="12">
        <f>IF('Données projet'!$A$88&gt;35,BD45+BC46-BL45,IF(A46&lt;'Données projet'!$A$88,$BA$205^A46,IF(A46='Données projet'!$A$88,'Données projet'!$B$88,BD45+BC46-BL45)))</f>
        <v>95.641025641025649</v>
      </c>
      <c r="BE46" s="13">
        <f>BD46*VLOOKUP('Données projet'!$B$11,Paramètres!$A$1:$I$89,3,0)*VLOOKUP('Données projet'!$B$11,Paramètres!$A$1:$I$89,5,0)</f>
        <v>83.552000000000021</v>
      </c>
      <c r="BF46" s="13">
        <f t="shared" si="37"/>
        <v>23.003458599323775</v>
      </c>
      <c r="BG46" s="20">
        <f t="shared" si="7"/>
        <v>185.58409039382227</v>
      </c>
      <c r="BH46" s="59">
        <f t="shared" si="8"/>
        <v>438.31680097226842</v>
      </c>
      <c r="BI46" s="59">
        <f ca="1">AVERAGE(OFFSET($BH$3,0,0,'Données projet'!$E$11+1,1))-AVERAGE(OFFSET($H$3,0,0,'Données projet'!$E$11+1,1))</f>
        <v>225.75484198243581</v>
      </c>
      <c r="BJ46" s="59">
        <f t="shared" si="38"/>
        <v>199.49566488421061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0</v>
      </c>
      <c r="BQ46" s="21">
        <f>EXP(-LN(2)/25)*BQ45+(1-EXP(-LN(2)/25))/(LN(2)/25)*Calculateur!BL46*Calculateur!BN46*VLOOKUP('Données projet'!$B$11,Paramètres!$A$1:$I$89,3,0)*0.475*44/12</f>
        <v>9.9741420185373766</v>
      </c>
      <c r="BR46" s="21">
        <f>EXP(-LN(2)/2)*BR45+(1-EXP(-LN(2)/2))/(LN(2)/2)*BL46*BO46*VLOOKUP('Données projet'!$B$11,Paramètres!$A$1:$I$89,3,0)*0.475*44/12</f>
        <v>0</v>
      </c>
      <c r="BS46" s="22">
        <f t="shared" si="9"/>
        <v>9.9741420185373766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58.927102885030756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8.4</v>
      </c>
      <c r="BY46" s="12">
        <f>IF('Données projet'!$A$114&gt;35,BY45+BX46-CG45,IF(A46&lt;'Données projet'!$A$114,$BV$205^A46,IF(A46='Données projet'!$A$114,'Données projet'!$B$114,BY45+BX46-CG45)))</f>
        <v>141.20000000000005</v>
      </c>
      <c r="BZ46" s="13">
        <f>BY46*VLOOKUP('Données projet'!$B$12,Paramètres!$A$1:$I$89,3,0)*VLOOKUP('Données projet'!$B$12,Paramètres!$A$1:$I$89,5,0)</f>
        <v>134.36592000000005</v>
      </c>
      <c r="CA46" s="13">
        <f t="shared" si="39"/>
        <v>35.003247613199107</v>
      </c>
      <c r="CB46" s="20">
        <f t="shared" si="10"/>
        <v>294.98463359298847</v>
      </c>
      <c r="CC46" s="59">
        <f t="shared" si="11"/>
        <v>547.71734417143466</v>
      </c>
      <c r="CD46" s="59">
        <f ca="1">AVERAGE(OFFSET($CC$3,0,0,'Données projet'!$E$12+1,1))-AVERAGE(OFFSET($H$3,0,0,'Données projet'!$E$12+1,1))</f>
        <v>413.9352601863377</v>
      </c>
      <c r="CE46" s="59">
        <f t="shared" si="40"/>
        <v>255.13997349799286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0</v>
      </c>
      <c r="CL46" s="21">
        <f>EXP(-LN(2)/25)*CL45+(1-EXP(-LN(2)/25))/(LN(2)/25)*Calculateur!CG46*Calculateur!CI46*VLOOKUP('Données projet'!$B$12,Paramètres!$A$1:$I$89,3,0)*0.475*44/12</f>
        <v>6.2682481325528387</v>
      </c>
      <c r="CM46" s="21">
        <f>EXP(-LN(2)/2)*CM45+(1-EXP(-LN(2)/2))/(LN(2)/2)*CG46*CJ46*VLOOKUP('Données projet'!$B$12,Paramètres!$A$1:$I$89,3,0)*0.475*44/12</f>
        <v>2.0167658898333714</v>
      </c>
      <c r="CN46" s="22">
        <f t="shared" si="12"/>
        <v>8.2850140223862105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58.927102885030756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6.4</v>
      </c>
      <c r="CT46" s="12">
        <f>IF('Données projet'!$A$140&gt;35,CT45+CS46-DB45,IF(A46&lt;'Données projet'!$A$140,$CQ$205^A46,IF(A46='Données projet'!$A$140,'Données projet'!$B$140,CT45+CS46-DB45)))</f>
        <v>151.19999999999996</v>
      </c>
      <c r="CU46" s="17">
        <f>CT46*VLOOKUP('Données projet'!$B$13,Paramètres!$A$1:$I$89,3,0)*VLOOKUP('Données projet'!$B$13,Paramètres!$A$1:$I$89,5,0)</f>
        <v>132.08831999999998</v>
      </c>
      <c r="CV46" s="13">
        <f t="shared" si="41"/>
        <v>34.47846029657056</v>
      </c>
      <c r="CW46" s="20">
        <f t="shared" si="13"/>
        <v>290.10380901652701</v>
      </c>
      <c r="CX46" s="59">
        <f t="shared" si="14"/>
        <v>542.8365195949732</v>
      </c>
      <c r="CY46" s="59">
        <f ca="1">AVERAGE(OFFSET($CX$3,0,0,'Données projet'!$E$13+1,1))-AVERAGE(OFFSET($H$3,0,0,'Données projet'!$E$13+1,1))</f>
        <v>280.59827778697775</v>
      </c>
      <c r="CZ46" s="59">
        <f t="shared" si="42"/>
        <v>270.86588231964726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>
        <f>EXP(-LN(2)/35)*DF45+(1-EXP(-LN(2)/35))/(LN(2)/35)*DB46*DC46*VLOOKUP('Données projet'!$B$13,Paramètres!$A$1:$I$89,3,0)*0.475*44/12</f>
        <v>0</v>
      </c>
      <c r="DG46" s="21">
        <f>EXP(-LN(2)/25)*DG45+(1-EXP(-LN(2)/25))/(LN(2)/25)*Calculateur!DB46*Calculateur!DD46*VLOOKUP('Données projet'!$B$13,Paramètres!$A$1:$I$89,3,0)*0.475*44/12</f>
        <v>9.5132254824775426</v>
      </c>
      <c r="DH46" s="21">
        <f>EXP(-LN(2)/2)*DH45+(1-EXP(-LN(2)/2))/(LN(2)/2)*DB46*DE46*VLOOKUP('Données projet'!$B$13,Paramètres!$A$1:$I$89,3,0)*0.475*44/12</f>
        <v>1.8581834674577378</v>
      </c>
      <c r="DI46" s="22">
        <f t="shared" si="15"/>
        <v>11.37140894993528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58.927102885030756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4.7435897435897427</v>
      </c>
      <c r="DO46" s="12">
        <f>IF('Données projet'!$A$166&gt;35,DO45+DN46-DW45,IF(A46&lt;'Données projet'!$A$166,$DL$205^A46,IF(A46='Données projet'!$A$166,'Données projet'!$B$166,DO45+DN46-DW45)))</f>
        <v>89.230769230769226</v>
      </c>
      <c r="DP46" s="17">
        <f>DO46*VLOOKUP('Données projet'!$B$14,Paramètres!$A$1:$I$89,3,0)*VLOOKUP('Données projet'!$B$14,Paramètres!$A$1:$I$89,5,0)</f>
        <v>59.856000000000002</v>
      </c>
      <c r="DQ46" s="13">
        <f t="shared" si="43"/>
        <v>17.131856204520926</v>
      </c>
      <c r="DR46" s="20">
        <f t="shared" si="16"/>
        <v>134.0871828895406</v>
      </c>
      <c r="DS46" s="59">
        <f t="shared" si="17"/>
        <v>386.81989346798673</v>
      </c>
      <c r="DT46" s="59">
        <f ca="1">AVERAGE(OFFSET($DS$3,0,0,'Données projet'!$E$14+1,1))-AVERAGE(OFFSET($H$3,0,0,'Données projet'!$E$14+1,1))</f>
        <v>211.42385430331873</v>
      </c>
      <c r="DU46" s="59">
        <f t="shared" si="44"/>
        <v>146.84623106782686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>
        <f>EXP(-LN(2)/35)*EA45+(1-EXP(-LN(2)/35))/(LN(2)/35)*DW46*DX46*VLOOKUP('Données projet'!$B$14,Paramètres!$A$1:$I$89,3,0)*0.475*44/12</f>
        <v>0</v>
      </c>
      <c r="EB46" s="21">
        <f>EXP(-LN(2)/25)*EB45+(1-EXP(-LN(2)/25))/(LN(2)/25)*Calculateur!DW46*Calculateur!DY46*VLOOKUP('Données projet'!$B$14,Paramètres!$A$1:$I$89,3,0)*0.475*44/12</f>
        <v>3.7892316958564582</v>
      </c>
      <c r="EC46" s="21">
        <f>EXP(-LN(2)/2)*EC45+(1-EXP(-LN(2)/2))/(LN(2)/2)*DW46*DZ46*VLOOKUP('Données projet'!$B$14,Paramètres!$A$1:$I$89,3,0)*0.475*44/12</f>
        <v>0.86006718967940332</v>
      </c>
      <c r="ED46" s="22">
        <f t="shared" si="18"/>
        <v>4.6492988855358615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58.927102885030756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2.4358974358974352</v>
      </c>
      <c r="EJ46" s="12">
        <f>IF('Données projet'!$A$192&gt;35,EJ45+EI46-ER45,IF(A46&lt;'Données projet'!$A$192,$EG$205^A46,IF(A46='Données projet'!$A$192,'Données projet'!$B$192,EJ45+EI46-ER45)))</f>
        <v>49.615384615384599</v>
      </c>
      <c r="EK46" s="17">
        <f>EJ46*VLOOKUP('Données projet'!$B$15,Paramètres!$A$1:$I$89,3,0)*VLOOKUP('Données projet'!$B$15,Paramètres!$A$1:$I$89,5,0)</f>
        <v>53.405999999999985</v>
      </c>
      <c r="EL46" s="13">
        <f t="shared" si="45"/>
        <v>15.489972056508647</v>
      </c>
      <c r="EM46" s="20">
        <f t="shared" si="19"/>
        <v>119.9938179984192</v>
      </c>
      <c r="EN46" s="59">
        <f t="shared" si="20"/>
        <v>372.72652857686535</v>
      </c>
      <c r="EO46" s="59">
        <f ca="1">AVERAGE(OFFSET($EN$3,0,0,'Données projet'!$E$15+1,1))-AVERAGE(OFFSET($H$3,0,0,'Données projet'!$E$15+1,1))</f>
        <v>212.00478362779876</v>
      </c>
      <c r="EP46" s="59">
        <f t="shared" si="46"/>
        <v>133.62262474506707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>
        <f>EXP(-LN(2)/35)*EV45+(1-EXP(-LN(2)/35))/(LN(2)/35)*ER46*ES46*VLOOKUP('Données projet'!$B$15,Paramètres!$A$1:$I$89,3,0)*0.475*44/12</f>
        <v>0</v>
      </c>
      <c r="EW46" s="21">
        <f>EXP(-LN(2)/25)*EW45+(1-EXP(-LN(2)/25))/(LN(2)/25)*Calculateur!ER46*Calculateur!ET46*VLOOKUP('Données projet'!$B$15,Paramètres!$A$1:$I$89,3,0)*0.475*44/12</f>
        <v>2.1671890847390936</v>
      </c>
      <c r="EX46" s="21">
        <f>EXP(-LN(2)/2)*EX45+(1-EXP(-LN(2)/2))/(LN(2)/2)*ER46*EU46*VLOOKUP('Données projet'!$B$15,Paramètres!$A$1:$I$89,3,0)*0.475*44/12</f>
        <v>0.62669256320878208</v>
      </c>
      <c r="EY46" s="22">
        <f t="shared" si="21"/>
        <v>2.7938816479478756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58.927102885030756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2.4358974358974352</v>
      </c>
      <c r="FE46" s="12">
        <f>IF('Données projet'!$A$218&gt;35,FE45+FD46-FM45,IF(A46&lt;'Données projet'!$A$218,$FB$205^A46,IF(A46='Données projet'!$A$218,'Données projet'!$B$218,FE45+FD46-FM45)))</f>
        <v>49.615384615384599</v>
      </c>
      <c r="FF46" s="17">
        <f>FE46*VLOOKUP('Données projet'!$B$16,Paramètres!$A$1:$I$89,3,0)*VLOOKUP('Données projet'!$B$16,Paramètres!$A$1:$I$89,5,0)</f>
        <v>47.987999999999985</v>
      </c>
      <c r="FG46" s="13">
        <f t="shared" si="47"/>
        <v>14.092916364095757</v>
      </c>
      <c r="FH46" s="20">
        <f t="shared" si="22"/>
        <v>108.12426266746674</v>
      </c>
      <c r="FI46" s="59">
        <f t="shared" si="23"/>
        <v>360.85697324591285</v>
      </c>
      <c r="FJ46" s="59">
        <f ca="1">AVERAGE(OFFSET($FI$3,0,0,'Données projet'!$E$16+1,1))-AVERAGE(OFFSET($H$3,0,0,'Données projet'!$E$16+1,1))</f>
        <v>196.65742339093146</v>
      </c>
      <c r="FK46" s="59">
        <f t="shared" si="48"/>
        <v>125.41980634506001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>
        <f>EXP(-LN(2)/35)*FQ45+(1-EXP(-LN(2)/35))/(LN(2)/35)*FM46*FN46*VLOOKUP('Données projet'!$B$16,Paramètres!$A$1:$I$89,3,0)*0.475*44/12</f>
        <v>0</v>
      </c>
      <c r="FR46" s="21">
        <f>EXP(-LN(2)/25)*FR45+(1-EXP(-LN(2)/25))/(LN(2)/25)*Calculateur!FM46*Calculateur!FO46*VLOOKUP('Données projet'!$B$16,Paramètres!$A$1:$I$89,3,0)*0.475*44/12</f>
        <v>1.9473293225191861</v>
      </c>
      <c r="FS46" s="21">
        <f>EXP(-LN(2)/2)*FS45+(1-EXP(-LN(2)/2))/(LN(2)/2)*FM46*FP46*VLOOKUP('Données projet'!$B$16,Paramètres!$A$1:$I$89,3,0)*0.475*44/12</f>
        <v>0.56311505679629714</v>
      </c>
      <c r="FT46" s="22">
        <f t="shared" si="24"/>
        <v>2.5104443793154831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58.927102885030756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58.927102885030756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>
      <c r="A47" s="10">
        <f t="shared" si="31"/>
        <v>44</v>
      </c>
      <c r="B47" s="73">
        <f>'Scénario référence'!$B$16*5+'Scénario référence'!$B$17*0+'Scénario référence'!$B$18*5</f>
        <v>4.6999999999999993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2.3474879999999998</v>
      </c>
      <c r="D47" s="11">
        <f t="shared" si="32"/>
        <v>0.97952880593637315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17.740267432924917</v>
      </c>
      <c r="H47" s="67">
        <f t="shared" si="1"/>
        <v>193.52788760367253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59.119192894686137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15.714444444444442</v>
      </c>
      <c r="N47" s="13">
        <f>IF('Données projet'!$A$36&gt;35,N46+M47-V46,IF(A47&lt;'Données projet'!$A$36,$K$205^A47,IF(A47='Données projet'!$A$36,'Données projet'!$B$36,N46+M47-V46)))</f>
        <v>275.72333333333341</v>
      </c>
      <c r="O47" s="13">
        <f>N47*VLOOKUP('Données projet'!$B$9,Paramètres!$A$1:$I$89,3,0)*VLOOKUP('Données projet'!$B$9,Paramètres!$A$1:$I$89,5,0)</f>
        <v>164.88255333333339</v>
      </c>
      <c r="P47" s="13">
        <f t="shared" si="33"/>
        <v>41.941854905576896</v>
      </c>
      <c r="Q47" s="20">
        <f t="shared" si="53"/>
        <v>360.2191776827687</v>
      </c>
      <c r="R47" s="59">
        <f t="shared" si="0"/>
        <v>613.65621829661791</v>
      </c>
      <c r="S47" s="59">
        <f ca="1">AVERAGE(OFFSET($R$3,0,0,'Données projet'!$E$9+1,1))-AVERAGE(OFFSET($H$3,0,0,'Données projet'!$E$9+1,1))</f>
        <v>366.93249569585623</v>
      </c>
      <c r="T47" s="59">
        <f t="shared" si="34"/>
        <v>272.47262353368501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23.640877201196265</v>
      </c>
      <c r="AA47" s="21">
        <f>EXP(-LN(2)/25)*AA46+(1-EXP(-LN(2)/25))/(LN(2)/25)*Calculateur!V47*Calculateur!X47*VLOOKUP('Données projet'!$B$9,Paramètres!$A$1:$I$89,3,0)*0.475*44/12</f>
        <v>16.491911657682184</v>
      </c>
      <c r="AB47" s="21">
        <f>EXP(-LN(2)/2)*AB46+(1-EXP(-LN(2)/2))/(LN(2)/2)*V47*Y47*VLOOKUP('Données projet'!$B$9,Paramètres!$A$1:$I$89,3,0)*0.475*44/12</f>
        <v>3.7752106079517627</v>
      </c>
      <c r="AC47" s="22">
        <f t="shared" si="3"/>
        <v>43.907999466830212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59.119192894686137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18.28142857142857</v>
      </c>
      <c r="AI47" s="13">
        <f>IF('Données projet'!$A$62&gt;35,AI46+AH47-AQ46,IF(A47&lt;'Données projet'!$A$62,$AF$205^A47,IF(A47='Données projet'!$A$62,'Données projet'!$B$62,AI46+AH47-AQ46)))</f>
        <v>274.09285714285676</v>
      </c>
      <c r="AJ47" s="13">
        <f>AI47*VLOOKUP('Données projet'!$B$10,Paramètres!$A$1:$I$89,3,0)*VLOOKUP('Données projet'!$B$10,Paramètres!$A$1:$I$89,5,0)</f>
        <v>128.27545714285696</v>
      </c>
      <c r="AK47" s="13">
        <f t="shared" si="35"/>
        <v>33.597558921382294</v>
      </c>
      <c r="AL47" s="20">
        <f t="shared" si="4"/>
        <v>281.92883631188334</v>
      </c>
      <c r="AM47" s="59">
        <f t="shared" si="5"/>
        <v>535.36587692573244</v>
      </c>
      <c r="AN47" s="59">
        <f ca="1">AVERAGE(OFFSET($AM$3,0,0,'Données projet'!$E$10+1,1))-AVERAGE(OFFSET($H$3,0,0,'Données projet'!$E$10+1,1))</f>
        <v>382.89338473200229</v>
      </c>
      <c r="AO47" s="59">
        <f t="shared" si="36"/>
        <v>360.46248248971744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36.463391627457064</v>
      </c>
      <c r="AV47" s="21">
        <f>EXP(-LN(2)/25)*AV46+(1-EXP(-LN(2)/25))/(LN(2)/25)*Calculateur!AQ47*Calculateur!AS47*VLOOKUP('Données projet'!$B$10,Paramètres!$A$1:$I$89,3,0)*0.475*44/12</f>
        <v>11.91630919560707</v>
      </c>
      <c r="AW47" s="21">
        <f>EXP(-LN(2)/2)*AW46+(1-EXP(-LN(2)/2))/(LN(2)/2)*AQ47*AT47*VLOOKUP('Données projet'!$B$10,Paramètres!$A$1:$I$89,3,0)*0.475*44/12</f>
        <v>9.8118752721432614</v>
      </c>
      <c r="AX47" s="21">
        <f t="shared" si="6"/>
        <v>58.191576095207395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59.119192894686137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4.1025641025641022</v>
      </c>
      <c r="BD47" s="12">
        <f>IF('Données projet'!$A$88&gt;35,BD46+BC47-BL46,IF(A47&lt;'Données projet'!$A$88,$BA$205^A47,IF(A47='Données projet'!$A$88,'Données projet'!$B$88,BD46+BC47-BL46)))</f>
        <v>99.743589743589752</v>
      </c>
      <c r="BE47" s="13">
        <f>BD47*VLOOKUP('Données projet'!$B$11,Paramètres!$A$1:$I$89,3,0)*VLOOKUP('Données projet'!$B$11,Paramètres!$A$1:$I$89,5,0)</f>
        <v>87.13600000000001</v>
      </c>
      <c r="BF47" s="13">
        <f t="shared" si="37"/>
        <v>23.873202484658083</v>
      </c>
      <c r="BG47" s="20">
        <f t="shared" si="7"/>
        <v>193.34102766077947</v>
      </c>
      <c r="BH47" s="59">
        <f t="shared" si="8"/>
        <v>446.77806827462859</v>
      </c>
      <c r="BI47" s="59">
        <f ca="1">AVERAGE(OFFSET($BH$3,0,0,'Données projet'!$E$11+1,1))-AVERAGE(OFFSET($H$3,0,0,'Données projet'!$E$11+1,1))</f>
        <v>225.75484198243581</v>
      </c>
      <c r="BJ47" s="59">
        <f t="shared" si="38"/>
        <v>199.49566488421061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0</v>
      </c>
      <c r="BQ47" s="21">
        <f>EXP(-LN(2)/25)*BQ46+(1-EXP(-LN(2)/25))/(LN(2)/25)*Calculateur!BL47*Calculateur!BN47*VLOOKUP('Données projet'!$B$11,Paramètres!$A$1:$I$89,3,0)*0.475*44/12</f>
        <v>9.70139858052314</v>
      </c>
      <c r="BR47" s="21">
        <f>EXP(-LN(2)/2)*BR46+(1-EXP(-LN(2)/2))/(LN(2)/2)*BL47*BO47*VLOOKUP('Données projet'!$B$11,Paramètres!$A$1:$I$89,3,0)*0.475*44/12</f>
        <v>0</v>
      </c>
      <c r="BS47" s="22">
        <f t="shared" si="9"/>
        <v>9.70139858052314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59.119192894686137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8.4</v>
      </c>
      <c r="BY47" s="12">
        <f>IF('Données projet'!$A$114&gt;35,BY46+BX47-CG46,IF(A47&lt;'Données projet'!$A$114,$BV$205^A47,IF(A47='Données projet'!$A$114,'Données projet'!$B$114,BY46+BX47-CG46)))</f>
        <v>149.60000000000005</v>
      </c>
      <c r="BZ47" s="13">
        <f>BY47*VLOOKUP('Données projet'!$B$12,Paramètres!$A$1:$I$89,3,0)*VLOOKUP('Données projet'!$B$12,Paramètres!$A$1:$I$89,5,0)</f>
        <v>142.35936000000004</v>
      </c>
      <c r="CA47" s="13">
        <f t="shared" si="39"/>
        <v>36.836974905762489</v>
      </c>
      <c r="CB47" s="20">
        <f t="shared" si="10"/>
        <v>312.10028329420305</v>
      </c>
      <c r="CC47" s="59">
        <f t="shared" si="11"/>
        <v>565.53732390805226</v>
      </c>
      <c r="CD47" s="59">
        <f ca="1">AVERAGE(OFFSET($CC$3,0,0,'Données projet'!$E$12+1,1))-AVERAGE(OFFSET($H$3,0,0,'Données projet'!$E$12+1,1))</f>
        <v>413.9352601863377</v>
      </c>
      <c r="CE47" s="59">
        <f t="shared" si="40"/>
        <v>255.13997349799286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0</v>
      </c>
      <c r="CL47" s="21">
        <f>EXP(-LN(2)/25)*CL46+(1-EXP(-LN(2)/25))/(LN(2)/25)*Calculateur!CG47*Calculateur!CI47*VLOOKUP('Données projet'!$B$12,Paramètres!$A$1:$I$89,3,0)*0.475*44/12</f>
        <v>6.0968425577353385</v>
      </c>
      <c r="CM47" s="21">
        <f>EXP(-LN(2)/2)*CM46+(1-EXP(-LN(2)/2))/(LN(2)/2)*CG47*CJ47*VLOOKUP('Données projet'!$B$12,Paramètres!$A$1:$I$89,3,0)*0.475*44/12</f>
        <v>1.4260688367668986</v>
      </c>
      <c r="CN47" s="22">
        <f t="shared" si="12"/>
        <v>7.5229113945022368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59.119192894686137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6.4</v>
      </c>
      <c r="CT47" s="12">
        <f>IF('Données projet'!$A$140&gt;35,CT46+CS47-DB46,IF(A47&lt;'Données projet'!$A$140,$CQ$205^A47,IF(A47='Données projet'!$A$140,'Données projet'!$B$140,CT46+CS47-DB46)))</f>
        <v>157.59999999999997</v>
      </c>
      <c r="CU47" s="17">
        <f>CT47*VLOOKUP('Données projet'!$B$13,Paramètres!$A$1:$I$89,3,0)*VLOOKUP('Données projet'!$B$13,Paramètres!$A$1:$I$89,5,0)</f>
        <v>137.67935999999997</v>
      </c>
      <c r="CV47" s="13">
        <f t="shared" si="41"/>
        <v>35.764863394856881</v>
      </c>
      <c r="CW47" s="20">
        <f t="shared" si="13"/>
        <v>302.08202241270902</v>
      </c>
      <c r="CX47" s="59">
        <f t="shared" si="14"/>
        <v>555.51906302655811</v>
      </c>
      <c r="CY47" s="59">
        <f ca="1">AVERAGE(OFFSET($CX$3,0,0,'Données projet'!$E$13+1,1))-AVERAGE(OFFSET($H$3,0,0,'Données projet'!$E$13+1,1))</f>
        <v>280.59827778697775</v>
      </c>
      <c r="CZ47" s="59">
        <f t="shared" si="42"/>
        <v>270.86588231964726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>
        <f>EXP(-LN(2)/35)*DF46+(1-EXP(-LN(2)/35))/(LN(2)/35)*DB47*DC47*VLOOKUP('Données projet'!$B$13,Paramètres!$A$1:$I$89,3,0)*0.475*44/12</f>
        <v>0</v>
      </c>
      <c r="DG47" s="21">
        <f>EXP(-LN(2)/25)*DG46+(1-EXP(-LN(2)/25))/(LN(2)/25)*Calculateur!DB47*Calculateur!DD47*VLOOKUP('Données projet'!$B$13,Paramètres!$A$1:$I$89,3,0)*0.475*44/12</f>
        <v>9.2530858313804085</v>
      </c>
      <c r="DH47" s="21">
        <f>EXP(-LN(2)/2)*DH46+(1-EXP(-LN(2)/2))/(LN(2)/2)*DB47*DE47*VLOOKUP('Données projet'!$B$13,Paramètres!$A$1:$I$89,3,0)*0.475*44/12</f>
        <v>1.3139341305280989</v>
      </c>
      <c r="DI47" s="22">
        <f t="shared" si="15"/>
        <v>10.567019961908507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59.119192894686137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4.7435897435897427</v>
      </c>
      <c r="DO47" s="12">
        <f>IF('Données projet'!$A$166&gt;35,DO46+DN47-DW46,IF(A47&lt;'Données projet'!$A$166,$DL$205^A47,IF(A47='Données projet'!$A$166,'Données projet'!$B$166,DO46+DN47-DW46)))</f>
        <v>93.974358974358964</v>
      </c>
      <c r="DP47" s="17">
        <f>DO47*VLOOKUP('Données projet'!$B$14,Paramètres!$A$1:$I$89,3,0)*VLOOKUP('Données projet'!$B$14,Paramètres!$A$1:$I$89,5,0)</f>
        <v>63.037999999999997</v>
      </c>
      <c r="DQ47" s="13">
        <f t="shared" si="43"/>
        <v>17.93414878320046</v>
      </c>
      <c r="DR47" s="20">
        <f t="shared" si="16"/>
        <v>141.02649246407412</v>
      </c>
      <c r="DS47" s="59">
        <f t="shared" si="17"/>
        <v>394.46353307792327</v>
      </c>
      <c r="DT47" s="59">
        <f ca="1">AVERAGE(OFFSET($DS$3,0,0,'Données projet'!$E$14+1,1))-AVERAGE(OFFSET($H$3,0,0,'Données projet'!$E$14+1,1))</f>
        <v>211.42385430331873</v>
      </c>
      <c r="DU47" s="59">
        <f t="shared" si="44"/>
        <v>146.84623106782686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>
        <f>EXP(-LN(2)/35)*EA46+(1-EXP(-LN(2)/35))/(LN(2)/35)*DW47*DX47*VLOOKUP('Données projet'!$B$14,Paramètres!$A$1:$I$89,3,0)*0.475*44/12</f>
        <v>0</v>
      </c>
      <c r="EB47" s="21">
        <f>EXP(-LN(2)/25)*EB46+(1-EXP(-LN(2)/25))/(LN(2)/25)*Calculateur!DW47*Calculateur!DY47*VLOOKUP('Données projet'!$B$14,Paramètres!$A$1:$I$89,3,0)*0.475*44/12</f>
        <v>3.685614955866229</v>
      </c>
      <c r="EC47" s="21">
        <f>EXP(-LN(2)/2)*EC46+(1-EXP(-LN(2)/2))/(LN(2)/2)*DW47*DZ47*VLOOKUP('Données projet'!$B$14,Paramètres!$A$1:$I$89,3,0)*0.475*44/12</f>
        <v>0.60815934209836275</v>
      </c>
      <c r="ED47" s="22">
        <f t="shared" si="18"/>
        <v>4.2937742979645916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59.119192894686137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2.4358974358974352</v>
      </c>
      <c r="EJ47" s="12">
        <f>IF('Données projet'!$A$192&gt;35,EJ46+EI47-ER46,IF(A47&lt;'Données projet'!$A$192,$EG$205^A47,IF(A47='Données projet'!$A$192,'Données projet'!$B$192,EJ46+EI47-ER46)))</f>
        <v>52.051282051282037</v>
      </c>
      <c r="EK47" s="17">
        <f>EJ47*VLOOKUP('Données projet'!$B$15,Paramètres!$A$1:$I$89,3,0)*VLOOKUP('Données projet'!$B$15,Paramètres!$A$1:$I$89,5,0)</f>
        <v>56.027999999999984</v>
      </c>
      <c r="EL47" s="13">
        <f t="shared" si="45"/>
        <v>16.160054789400164</v>
      </c>
      <c r="EM47" s="20">
        <f t="shared" si="19"/>
        <v>125.72752875820527</v>
      </c>
      <c r="EN47" s="59">
        <f t="shared" si="20"/>
        <v>379.16456937205442</v>
      </c>
      <c r="EO47" s="59">
        <f ca="1">AVERAGE(OFFSET($EN$3,0,0,'Données projet'!$E$15+1,1))-AVERAGE(OFFSET($H$3,0,0,'Données projet'!$E$15+1,1))</f>
        <v>212.00478362779876</v>
      </c>
      <c r="EP47" s="59">
        <f t="shared" si="46"/>
        <v>133.62262474506707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>
        <f>EXP(-LN(2)/35)*EV46+(1-EXP(-LN(2)/35))/(LN(2)/35)*ER47*ES47*VLOOKUP('Données projet'!$B$15,Paramètres!$A$1:$I$89,3,0)*0.475*44/12</f>
        <v>0</v>
      </c>
      <c r="EW47" s="21">
        <f>EXP(-LN(2)/25)*EW46+(1-EXP(-LN(2)/25))/(LN(2)/25)*Calculateur!ER47*Calculateur!ET47*VLOOKUP('Données projet'!$B$15,Paramètres!$A$1:$I$89,3,0)*0.475*44/12</f>
        <v>2.1079271852493822</v>
      </c>
      <c r="EX47" s="21">
        <f>EXP(-LN(2)/2)*EX46+(1-EXP(-LN(2)/2))/(LN(2)/2)*ER47*EU47*VLOOKUP('Données projet'!$B$15,Paramètres!$A$1:$I$89,3,0)*0.475*44/12</f>
        <v>0.44313856116410888</v>
      </c>
      <c r="EY47" s="22">
        <f t="shared" si="21"/>
        <v>2.5510657464134909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59.119192894686137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2.4358974358974352</v>
      </c>
      <c r="FE47" s="12">
        <f>IF('Données projet'!$A$218&gt;35,FE46+FD47-FM46,IF(A47&lt;'Données projet'!$A$218,$FB$205^A47,IF(A47='Données projet'!$A$218,'Données projet'!$B$218,FE46+FD47-FM46)))</f>
        <v>52.051282051282037</v>
      </c>
      <c r="FF47" s="17">
        <f>FE47*VLOOKUP('Données projet'!$B$16,Paramètres!$A$1:$I$89,3,0)*VLOOKUP('Données projet'!$B$16,Paramètres!$A$1:$I$89,5,0)</f>
        <v>50.343999999999987</v>
      </c>
      <c r="FG47" s="13">
        <f t="shared" si="47"/>
        <v>14.702563681548275</v>
      </c>
      <c r="FH47" s="20">
        <f t="shared" si="22"/>
        <v>113.28943174536323</v>
      </c>
      <c r="FI47" s="59">
        <f t="shared" si="23"/>
        <v>366.72647235921238</v>
      </c>
      <c r="FJ47" s="59">
        <f ca="1">AVERAGE(OFFSET($FI$3,0,0,'Données projet'!$E$16+1,1))-AVERAGE(OFFSET($H$3,0,0,'Données projet'!$E$16+1,1))</f>
        <v>196.65742339093146</v>
      </c>
      <c r="FK47" s="59">
        <f t="shared" si="48"/>
        <v>125.41980634506001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>
        <f>EXP(-LN(2)/35)*FQ46+(1-EXP(-LN(2)/35))/(LN(2)/35)*FM47*FN47*VLOOKUP('Données projet'!$B$16,Paramètres!$A$1:$I$89,3,0)*0.475*44/12</f>
        <v>0</v>
      </c>
      <c r="FR47" s="21">
        <f>EXP(-LN(2)/25)*FR46+(1-EXP(-LN(2)/25))/(LN(2)/25)*Calculateur!FM47*Calculateur!FO47*VLOOKUP('Données projet'!$B$16,Paramètres!$A$1:$I$89,3,0)*0.475*44/12</f>
        <v>1.8940794997893007</v>
      </c>
      <c r="FS47" s="21">
        <f>EXP(-LN(2)/2)*FS46+(1-EXP(-LN(2)/2))/(LN(2)/2)*FM47*FP47*VLOOKUP('Données projet'!$B$16,Paramètres!$A$1:$I$89,3,0)*0.475*44/12</f>
        <v>0.3981824752489096</v>
      </c>
      <c r="FT47" s="22">
        <f t="shared" si="24"/>
        <v>2.2922619750382101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59.119192894686137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59.119192894686137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>
      <c r="A48" s="10">
        <f t="shared" si="31"/>
        <v>45</v>
      </c>
      <c r="B48" s="73">
        <f>'Scénario référence'!$B$16*5+'Scénario référence'!$B$17*0+'Scénario référence'!$B$18*5</f>
        <v>4.6999999999999993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2.4008399999999996</v>
      </c>
      <c r="D48" s="11">
        <f t="shared" si="32"/>
        <v>0.99917372377239133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17.774076531712122</v>
      </c>
      <c r="H48" s="67">
        <f t="shared" si="1"/>
        <v>193.65502390223693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59.307950572122927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15.714444444444442</v>
      </c>
      <c r="N48" s="13">
        <f>IF('Données projet'!$A$36&gt;35,N47+M48-V47,IF(A48&lt;'Données projet'!$A$36,$K$205^A48,IF(A48='Données projet'!$A$36,'Données projet'!$B$36,N47+M48-V47)))</f>
        <v>291.43777777777785</v>
      </c>
      <c r="O48" s="13">
        <f>N48*VLOOKUP('Données projet'!$B$9,Paramètres!$A$1:$I$89,3,0)*VLOOKUP('Données projet'!$B$9,Paramètres!$A$1:$I$89,5,0)</f>
        <v>174.27979111111117</v>
      </c>
      <c r="P48" s="13">
        <f t="shared" si="33"/>
        <v>44.047162970671543</v>
      </c>
      <c r="Q48" s="20">
        <f t="shared" si="53"/>
        <v>380.25277835910487</v>
      </c>
      <c r="R48" s="59">
        <f t="shared" si="0"/>
        <v>634.38193045688899</v>
      </c>
      <c r="S48" s="59">
        <f ca="1">AVERAGE(OFFSET($R$3,0,0,'Données projet'!$E$9+1,1))-AVERAGE(OFFSET($H$3,0,0,'Données projet'!$E$9+1,1))</f>
        <v>366.93249569585623</v>
      </c>
      <c r="T48" s="59">
        <f t="shared" si="34"/>
        <v>272.47262353368501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23.17729401879209</v>
      </c>
      <c r="AA48" s="21">
        <f>EXP(-LN(2)/25)*AA47+(1-EXP(-LN(2)/25))/(LN(2)/25)*Calculateur!V48*Calculateur!X48*VLOOKUP('Données projet'!$B$9,Paramètres!$A$1:$I$89,3,0)*0.475*44/12</f>
        <v>16.040939466130922</v>
      </c>
      <c r="AB48" s="21">
        <f>EXP(-LN(2)/2)*AB47+(1-EXP(-LN(2)/2))/(LN(2)/2)*V48*Y48*VLOOKUP('Données projet'!$B$9,Paramètres!$A$1:$I$89,3,0)*0.475*44/12</f>
        <v>2.6694770212900805</v>
      </c>
      <c r="AC48" s="22">
        <f t="shared" si="3"/>
        <v>41.887710506213089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59.307950572122927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18.28142857142857</v>
      </c>
      <c r="AI48" s="13">
        <f>IF('Données projet'!$A$62&gt;35,AI47+AH48-AQ47,IF(A48&lt;'Données projet'!$A$62,$AF$205^A48,IF(A48='Données projet'!$A$62,'Données projet'!$B$62,AI47+AH48-AQ47)))</f>
        <v>292.37428571428535</v>
      </c>
      <c r="AJ48" s="13">
        <f>AI48*VLOOKUP('Données projet'!$B$10,Paramètres!$A$1:$I$89,3,0)*VLOOKUP('Données projet'!$B$10,Paramètres!$A$1:$I$89,5,0)</f>
        <v>136.83116571428553</v>
      </c>
      <c r="AK48" s="13">
        <f t="shared" si="35"/>
        <v>35.570105609294572</v>
      </c>
      <c r="AL48" s="20">
        <f t="shared" si="4"/>
        <v>300.26554755523534</v>
      </c>
      <c r="AM48" s="59">
        <f t="shared" si="5"/>
        <v>554.39469965301942</v>
      </c>
      <c r="AN48" s="59">
        <f ca="1">AVERAGE(OFFSET($AM$3,0,0,'Données projet'!$E$10+1,1))-AVERAGE(OFFSET($H$3,0,0,'Données projet'!$E$10+1,1))</f>
        <v>382.89338473200229</v>
      </c>
      <c r="AO48" s="59">
        <f t="shared" si="36"/>
        <v>360.46248248971744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35.748366758115459</v>
      </c>
      <c r="AV48" s="21">
        <f>EXP(-LN(2)/25)*AV47+(1-EXP(-LN(2)/25))/(LN(2)/25)*Calculateur!AQ48*Calculateur!AS48*VLOOKUP('Données projet'!$B$10,Paramètres!$A$1:$I$89,3,0)*0.475*44/12</f>
        <v>11.59045709400173</v>
      </c>
      <c r="AW48" s="21">
        <f>EXP(-LN(2)/2)*AW47+(1-EXP(-LN(2)/2))/(LN(2)/2)*AQ48*AT48*VLOOKUP('Données projet'!$B$10,Paramètres!$A$1:$I$89,3,0)*0.475*44/12</f>
        <v>6.9380435410891019</v>
      </c>
      <c r="AX48" s="21">
        <f t="shared" si="6"/>
        <v>54.276867393206288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59.307950572122927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>
        <f>VLOOKUP(A48,'Données projet'!$A$87:$I$107,2,0)</f>
        <v>103.84615384615384</v>
      </c>
      <c r="BB48" s="12">
        <f>VLOOKUP(A48,'Données projet'!$A$87:$I$107,9,0)</f>
        <v>4.1025641025641022</v>
      </c>
      <c r="BC48" s="12">
        <f t="array" ref="BC48">INDEX(BB:BB,MIN(IF(ISNUMBER(BB48:BB244),ROW(BB48:BB244),"")))</f>
        <v>4.1025641025641022</v>
      </c>
      <c r="BD48" s="12">
        <f>IF('Données projet'!$A$88&gt;35,BD47+BC48-BL47,IF(A48&lt;'Données projet'!$A$88,$BA$205^A48,IF(A48='Données projet'!$A$88,'Données projet'!$B$88,BD47+BC48-BL47)))</f>
        <v>103.84615384615385</v>
      </c>
      <c r="BE48" s="13">
        <f>BD48*VLOOKUP('Données projet'!$B$11,Paramètres!$A$1:$I$89,3,0)*VLOOKUP('Données projet'!$B$11,Paramètres!$A$1:$I$89,5,0)</f>
        <v>90.720000000000013</v>
      </c>
      <c r="BF48" s="13">
        <f t="shared" si="37"/>
        <v>24.738791046142097</v>
      </c>
      <c r="BG48" s="20">
        <f t="shared" si="7"/>
        <v>201.09072773869752</v>
      </c>
      <c r="BH48" s="59">
        <f t="shared" si="8"/>
        <v>455.2198798364816</v>
      </c>
      <c r="BI48" s="59">
        <f ca="1">AVERAGE(OFFSET($BH$3,0,0,'Données projet'!$E$11+1,1))-AVERAGE(OFFSET($H$3,0,0,'Données projet'!$E$11+1,1))</f>
        <v>225.75484198243581</v>
      </c>
      <c r="BJ48" s="59">
        <f t="shared" si="38"/>
        <v>199.49566488421061</v>
      </c>
      <c r="BK48" s="15">
        <f>IF(ISNA(VLOOKUP(A48,'Données projet'!$A$87:$I$107,3,0)),0,VLOOKUP(A48,'Données projet'!$A$87:$I$107,3,0))</f>
        <v>6</v>
      </c>
      <c r="BL48" s="15">
        <f>IF(ISNA(VLOOKUP(A48,'Données projet'!$A$87:$I$107,4,0)),0,VLOOKUP(A48,'Données projet'!$A$87:$I$107,4,0))</f>
        <v>12.179487179487179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0.215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0</v>
      </c>
      <c r="BQ48" s="21">
        <f>EXP(-LN(2)/25)*BQ47+(1-EXP(-LN(2)/25))/(LN(2)/25)*Calculateur!BL48*Calculateur!BN48*VLOOKUP('Données projet'!$B$11,Paramètres!$A$1:$I$89,3,0)*0.475*44/12</f>
        <v>11.955030225711036</v>
      </c>
      <c r="BR48" s="21">
        <f>EXP(-LN(2)/2)*BR47+(1-EXP(-LN(2)/2))/(LN(2)/2)*BL48*BO48*VLOOKUP('Données projet'!$B$11,Paramètres!$A$1:$I$89,3,0)*0.475*44/12</f>
        <v>0</v>
      </c>
      <c r="BS48" s="22">
        <f t="shared" si="9"/>
        <v>11.955030225711036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59.307950572122927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>
        <f>VLOOKUP(A48,'Données projet'!$A$113:$I$133,2,0)</f>
        <v>158</v>
      </c>
      <c r="BW48" s="12">
        <f>VLOOKUP(A48,'Données projet'!$A$113:$I$133,9,0)</f>
        <v>8.4</v>
      </c>
      <c r="BX48" s="12">
        <f t="array" ref="BX48">INDEX(BW:BW,MIN(IF(ISNUMBER(BW48:BW244),ROW(BW48:BW244),"")))</f>
        <v>8.4</v>
      </c>
      <c r="BY48" s="12">
        <f>IF('Données projet'!$A$114&gt;35,BY47+BX48-CG47,IF(A48&lt;'Données projet'!$A$114,$BV$205^A48,IF(A48='Données projet'!$A$114,'Données projet'!$B$114,BY47+BX48-CG47)))</f>
        <v>158.00000000000006</v>
      </c>
      <c r="BZ48" s="13">
        <f>BY48*VLOOKUP('Données projet'!$B$12,Paramètres!$A$1:$I$89,3,0)*VLOOKUP('Données projet'!$B$12,Paramètres!$A$1:$I$89,5,0)</f>
        <v>150.35280000000006</v>
      </c>
      <c r="CA48" s="13">
        <f t="shared" si="39"/>
        <v>38.658749721546236</v>
      </c>
      <c r="CB48" s="20">
        <f t="shared" si="10"/>
        <v>329.19511576502646</v>
      </c>
      <c r="CC48" s="59">
        <f t="shared" si="11"/>
        <v>583.32426786281053</v>
      </c>
      <c r="CD48" s="59">
        <f ca="1">AVERAGE(OFFSET($CC$3,0,0,'Données projet'!$E$12+1,1))-AVERAGE(OFFSET($H$3,0,0,'Données projet'!$E$12+1,1))</f>
        <v>413.9352601863377</v>
      </c>
      <c r="CE48" s="59">
        <f t="shared" si="40"/>
        <v>255.13997349799286</v>
      </c>
      <c r="CF48" s="15">
        <f>IF(ISNA(VLOOKUP(A48,'Données projet'!$A$113:$I$133,3,0)),0,VLOOKUP(A48,'Données projet'!$A$113:$I$133,3,0))</f>
        <v>5</v>
      </c>
      <c r="CG48" s="15">
        <f>IF(ISNA(VLOOKUP(A48,'Données projet'!$A$113:$I$133,4,0)),0,VLOOKUP(A48,'Données projet'!$A$113:$I$133,4,0))</f>
        <v>21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0.1075</v>
      </c>
      <c r="CJ48" s="16">
        <f>IF(ISNA(VLOOKUP(A48,'Données projet'!$A$113:$I$133,7,0)),0%,VLOOKUP(A48,'Données projet'!$A$113:$I$133,7,0))</f>
        <v>0.25</v>
      </c>
      <c r="CK48" s="21">
        <f>EXP(-LN(2)/35)*CK47+(1-EXP(-LN(2)/35))/(LN(2)/35)*CG48*CH48*VLOOKUP('Données projet'!$B$12,Paramètres!$A$1:$I$89,3,0)*0.475*44/12</f>
        <v>0</v>
      </c>
      <c r="CL48" s="21">
        <f>EXP(-LN(2)/25)*CL47+(1-EXP(-LN(2)/25))/(LN(2)/25)*Calculateur!CG48*Calculateur!CI48*VLOOKUP('Données projet'!$B$12,Paramètres!$A$1:$I$89,3,0)*0.475*44/12</f>
        <v>8.2955859079098726</v>
      </c>
      <c r="CM48" s="21">
        <f>EXP(-LN(2)/2)*CM47+(1-EXP(-LN(2)/2))/(LN(2)/2)*CG48*CJ48*VLOOKUP('Données projet'!$B$12,Paramètres!$A$1:$I$89,3,0)*0.475*44/12</f>
        <v>5.7221490575937448</v>
      </c>
      <c r="CN48" s="22">
        <f t="shared" si="12"/>
        <v>14.017734965503617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59.307950572122927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>
        <f>VLOOKUP(A48,'Données projet'!$A$139:$I$159,2,0)</f>
        <v>164</v>
      </c>
      <c r="CR48" s="12">
        <f>VLOOKUP(A48,'Données projet'!$A$139:$I$159,9,0)</f>
        <v>6.4</v>
      </c>
      <c r="CS48" s="12">
        <f t="array" ref="CS48">INDEX(CR:CR,MIN(IF(ISNUMBER(CR48:CR244),ROW(CR48:CR244),"")))</f>
        <v>6.4</v>
      </c>
      <c r="CT48" s="12">
        <f>IF('Données projet'!$A$140&gt;35,CT47+CS48-DB47,IF(A48&lt;'Données projet'!$A$140,$CQ$205^A48,IF(A48='Données projet'!$A$140,'Données projet'!$B$140,CT47+CS48-DB47)))</f>
        <v>163.99999999999997</v>
      </c>
      <c r="CU48" s="17">
        <f>CT48*VLOOKUP('Données projet'!$B$13,Paramètres!$A$1:$I$89,3,0)*VLOOKUP('Données projet'!$B$13,Paramètres!$A$1:$I$89,5,0)</f>
        <v>143.2704</v>
      </c>
      <c r="CV48" s="13">
        <f t="shared" si="41"/>
        <v>37.045198377171303</v>
      </c>
      <c r="CW48" s="20">
        <f t="shared" si="13"/>
        <v>314.04966717357325</v>
      </c>
      <c r="CX48" s="59">
        <f t="shared" si="14"/>
        <v>568.17881927135727</v>
      </c>
      <c r="CY48" s="59">
        <f ca="1">AVERAGE(OFFSET($CX$3,0,0,'Données projet'!$E$13+1,1))-AVERAGE(OFFSET($H$3,0,0,'Données projet'!$E$13+1,1))</f>
        <v>280.59827778697775</v>
      </c>
      <c r="CZ48" s="59">
        <f t="shared" si="42"/>
        <v>270.86588231964726</v>
      </c>
      <c r="DA48" s="15">
        <f>IF(ISNA(VLOOKUP(A48,'Données projet'!$A$139:$I$159,3,0)),0,VLOOKUP(A48,'Données projet'!$A$139:$I$159,3,0))</f>
        <v>6</v>
      </c>
      <c r="DB48" s="15">
        <f>IF(ISNA(VLOOKUP(A48,'Données projet'!$A$139:$I$159,4,0)),0,VLOOKUP(A48,'Données projet'!$A$139:$I$159,4,0))</f>
        <v>18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0.13250000000000001</v>
      </c>
      <c r="DE48" s="16">
        <f>IF(ISNA(VLOOKUP(A48,'Données projet'!$A$139:$I$159,7,0)),0%,VLOOKUP(A48,'Données projet'!$A$139:$I$159,7,0))</f>
        <v>0.25</v>
      </c>
      <c r="DF48" s="21">
        <f>EXP(-LN(2)/35)*DF47+(1-EXP(-LN(2)/35))/(LN(2)/35)*DB48*DC48*VLOOKUP('Données projet'!$B$13,Paramètres!$A$1:$I$89,3,0)*0.475*44/12</f>
        <v>0</v>
      </c>
      <c r="DG48" s="21">
        <f>EXP(-LN(2)/25)*DG47+(1-EXP(-LN(2)/25))/(LN(2)/25)*Calculateur!DB48*Calculateur!DD48*VLOOKUP('Données projet'!$B$13,Paramètres!$A$1:$I$89,3,0)*0.475*44/12</f>
        <v>11.29427812556316</v>
      </c>
      <c r="DH48" s="21">
        <f>EXP(-LN(2)/2)*DH47+(1-EXP(-LN(2)/2))/(LN(2)/2)*DB48*DE48*VLOOKUP('Données projet'!$B$13,Paramètres!$A$1:$I$89,3,0)*0.475*44/12</f>
        <v>4.6382847404255712</v>
      </c>
      <c r="DI48" s="22">
        <f t="shared" si="15"/>
        <v>15.932562865988732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59.307950572122927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>
        <f>VLOOKUP(A48,'Données projet'!$A$165:$I$185,2,0)</f>
        <v>98.717948717948715</v>
      </c>
      <c r="DM48" s="12">
        <f>VLOOKUP(A48,'Données projet'!$A$165:$I$185,9,0)</f>
        <v>4.7435897435897427</v>
      </c>
      <c r="DN48" s="12">
        <f t="array" ref="DN48">INDEX(DM:DM,MIN(IF(ISNUMBER(DM48:DM244),ROW(DM48:DM244),"")))</f>
        <v>4.7435897435897427</v>
      </c>
      <c r="DO48" s="12">
        <f>IF('Données projet'!$A$166&gt;35,DO47+DN48-DW47,IF(A48&lt;'Données projet'!$A$166,$DL$205^A48,IF(A48='Données projet'!$A$166,'Données projet'!$B$166,DO47+DN48-DW47)))</f>
        <v>98.717948717948701</v>
      </c>
      <c r="DP48" s="17">
        <f>DO48*VLOOKUP('Données projet'!$B$14,Paramètres!$A$1:$I$89,3,0)*VLOOKUP('Données projet'!$B$14,Paramètres!$A$1:$I$89,5,0)</f>
        <v>66.219999999999985</v>
      </c>
      <c r="DQ48" s="13">
        <f t="shared" si="43"/>
        <v>18.731739141092195</v>
      </c>
      <c r="DR48" s="20">
        <f t="shared" si="16"/>
        <v>147.9576123374022</v>
      </c>
      <c r="DS48" s="59">
        <f t="shared" si="17"/>
        <v>402.0867644351863</v>
      </c>
      <c r="DT48" s="59">
        <f ca="1">AVERAGE(OFFSET($DS$3,0,0,'Données projet'!$E$14+1,1))-AVERAGE(OFFSET($H$3,0,0,'Données projet'!$E$14+1,1))</f>
        <v>211.42385430331873</v>
      </c>
      <c r="DU48" s="59">
        <f t="shared" si="44"/>
        <v>146.84623106782686</v>
      </c>
      <c r="DV48" s="15">
        <f>IF(ISNA(VLOOKUP(A48,'Données projet'!$A$165:$I$185,3,0)),0,VLOOKUP(A48,'Données projet'!$A$165:$I$185,3,0))</f>
        <v>6</v>
      </c>
      <c r="DW48" s="15">
        <f>IF(ISNA(VLOOKUP(A48,'Données projet'!$A$165:$I$185,4,0)),0,VLOOKUP(A48,'Données projet'!$A$165:$I$185,4,0))</f>
        <v>13.461538461538462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0.13250000000000001</v>
      </c>
      <c r="DZ48" s="16">
        <f>IF(ISNA(VLOOKUP(A48,'Données projet'!$A$165:$I$185,7,0)),0%,VLOOKUP(A48,'Données projet'!$A$165:$I$185,7,0))</f>
        <v>0.25</v>
      </c>
      <c r="EA48" s="21">
        <f>EXP(-LN(2)/35)*EA47+(1-EXP(-LN(2)/35))/(LN(2)/35)*DW48*DX48*VLOOKUP('Données projet'!$B$14,Paramètres!$A$1:$I$89,3,0)*0.475*44/12</f>
        <v>0</v>
      </c>
      <c r="EB48" s="21">
        <f>EXP(-LN(2)/25)*EB47+(1-EXP(-LN(2)/25))/(LN(2)/25)*Calculateur!DW48*Calculateur!DY48*VLOOKUP('Données projet'!$B$14,Paramètres!$A$1:$I$89,3,0)*0.475*44/12</f>
        <v>4.9022914468297438</v>
      </c>
      <c r="EC48" s="21">
        <f>EXP(-LN(2)/2)*EC47+(1-EXP(-LN(2)/2))/(LN(2)/2)*DW48*DZ48*VLOOKUP('Données projet'!$B$14,Paramètres!$A$1:$I$89,3,0)*0.475*44/12</f>
        <v>2.560045604561366</v>
      </c>
      <c r="ED48" s="22">
        <f t="shared" si="18"/>
        <v>7.4623370513911098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59.307950572122927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>
        <f>VLOOKUP(A48,'Données projet'!$A$191:$I$211,2,0)</f>
        <v>54.487179487179482</v>
      </c>
      <c r="EH48" s="12">
        <f>VLOOKUP(A48,'Données projet'!$A$191:$I$211,9,0)</f>
        <v>2.4358974358974352</v>
      </c>
      <c r="EI48" s="12">
        <f t="array" ref="EI48">INDEX(EH:EH,MIN(IF(ISNUMBER(EH48:EH244),ROW(EH48:EH244),"")))</f>
        <v>2.4358974358974352</v>
      </c>
      <c r="EJ48" s="12">
        <f>IF('Données projet'!$A$192&gt;35,EJ47+EI48-ER47,IF(A48&lt;'Données projet'!$A$192,$EG$205^A48,IF(A48='Données projet'!$A$192,'Données projet'!$B$192,EJ47+EI48-ER47)))</f>
        <v>54.487179487179475</v>
      </c>
      <c r="EK48" s="17">
        <f>EJ48*VLOOKUP('Données projet'!$B$15,Paramètres!$A$1:$I$89,3,0)*VLOOKUP('Données projet'!$B$15,Paramètres!$A$1:$I$89,5,0)</f>
        <v>58.649999999999977</v>
      </c>
      <c r="EL48" s="13">
        <f t="shared" si="45"/>
        <v>16.826495907037607</v>
      </c>
      <c r="EM48" s="20">
        <f t="shared" si="19"/>
        <v>131.45489703809045</v>
      </c>
      <c r="EN48" s="59">
        <f t="shared" si="20"/>
        <v>385.58404913587452</v>
      </c>
      <c r="EO48" s="59">
        <f ca="1">AVERAGE(OFFSET($EN$3,0,0,'Données projet'!$E$15+1,1))-AVERAGE(OFFSET($H$3,0,0,'Données projet'!$E$15+1,1))</f>
        <v>212.00478362779876</v>
      </c>
      <c r="EP48" s="59">
        <f t="shared" si="46"/>
        <v>133.62262474506707</v>
      </c>
      <c r="EQ48" s="15">
        <f>IF(ISNA(VLOOKUP(A48,'Données projet'!$A$191:$I$211,3,0)),0,VLOOKUP(A48,'Données projet'!$A$191:$I$211,3,0))</f>
        <v>5</v>
      </c>
      <c r="ER48" s="15">
        <f>IF(ISNA(VLOOKUP(A48,'Données projet'!$A$191:$I$211,4,0)),0,VLOOKUP(A48,'Données projet'!$A$191:$I$211,4,0))</f>
        <v>5.7692307692307692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0.1075</v>
      </c>
      <c r="EU48" s="16">
        <f>IF(ISNA(VLOOKUP(A48,'Données projet'!$A$191:$I$211,7,0)),0%,VLOOKUP(A48,'Données projet'!$A$191:$I$211,7,0))</f>
        <v>0.25</v>
      </c>
      <c r="EV48" s="21">
        <f>EXP(-LN(2)/35)*EV47+(1-EXP(-LN(2)/35))/(LN(2)/35)*ER48*ES48*VLOOKUP('Données projet'!$B$15,Paramètres!$A$1:$I$89,3,0)*0.475*44/12</f>
        <v>0</v>
      </c>
      <c r="EW48" s="21">
        <f>EXP(-LN(2)/25)*EW47+(1-EXP(-LN(2)/25))/(LN(2)/25)*Calculateur!ER48*Calculateur!ET48*VLOOKUP('Données projet'!$B$15,Paramètres!$A$1:$I$89,3,0)*0.475*44/12</f>
        <v>2.7853644684022925</v>
      </c>
      <c r="EX48" s="21">
        <f>EXP(-LN(2)/2)*EX47+(1-EXP(-LN(2)/2))/(LN(2)/2)*ER48*EU48*VLOOKUP('Données projet'!$B$15,Paramètres!$A$1:$I$89,3,0)*0.475*44/12</f>
        <v>1.7781718165292559</v>
      </c>
      <c r="EY48" s="22">
        <f t="shared" si="21"/>
        <v>4.5635362849315486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59.307950572122927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>
        <f>VLOOKUP(A48,'Données projet'!$A$217:$I$237,2,0)</f>
        <v>54.487179487179482</v>
      </c>
      <c r="FC48" s="12">
        <f>VLOOKUP(A48,'Données projet'!$A$217:$I$237,9,0)</f>
        <v>2.4358974358974352</v>
      </c>
      <c r="FD48" s="12">
        <f t="array" ref="FD48">INDEX(FC:FC,MIN(IF(ISNUMBER(FC48:FC244),ROW(FC48:FC244),"")))</f>
        <v>2.4358974358974352</v>
      </c>
      <c r="FE48" s="12">
        <f>IF('Données projet'!$A$218&gt;35,FE47+FD48-FM47,IF(A48&lt;'Données projet'!$A$218,$FB$205^A48,IF(A48='Données projet'!$A$218,'Données projet'!$B$218,FE47+FD48-FM47)))</f>
        <v>54.487179487179475</v>
      </c>
      <c r="FF48" s="17">
        <f>FE48*VLOOKUP('Données projet'!$B$16,Paramètres!$A$1:$I$89,3,0)*VLOOKUP('Données projet'!$B$16,Paramètres!$A$1:$I$89,5,0)</f>
        <v>52.699999999999996</v>
      </c>
      <c r="FG48" s="13">
        <f t="shared" si="47"/>
        <v>15.308897824579391</v>
      </c>
      <c r="FH48" s="20">
        <f t="shared" si="22"/>
        <v>118.4488303778091</v>
      </c>
      <c r="FI48" s="59">
        <f t="shared" si="23"/>
        <v>372.57798247559316</v>
      </c>
      <c r="FJ48" s="59">
        <f ca="1">AVERAGE(OFFSET($FI$3,0,0,'Données projet'!$E$16+1,1))-AVERAGE(OFFSET($H$3,0,0,'Données projet'!$E$16+1,1))</f>
        <v>196.65742339093146</v>
      </c>
      <c r="FK48" s="59">
        <f t="shared" si="48"/>
        <v>125.41980634506001</v>
      </c>
      <c r="FL48" s="15">
        <f>IF(ISNA(VLOOKUP(A48,'Données projet'!$A$217:$I$237,3,0)),0,VLOOKUP(A48,'Données projet'!$A$217:$I$237,3,0))</f>
        <v>5</v>
      </c>
      <c r="FM48" s="15">
        <f>IF(ISNA(VLOOKUP(A48,'Données projet'!$A$217:$I$237,4,0)),0,VLOOKUP(A48,'Données projet'!$A$217:$I$237,4,0))</f>
        <v>5.7692307692307692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0.1075</v>
      </c>
      <c r="FP48" s="16">
        <f>IF(ISNA(VLOOKUP(A48,'Données projet'!$A$217:$I$237,7,0)),0%,VLOOKUP(A48,'Données projet'!$A$217:$I$237,7,0))</f>
        <v>0.25</v>
      </c>
      <c r="FQ48" s="21">
        <f>EXP(-LN(2)/35)*FQ47+(1-EXP(-LN(2)/35))/(LN(2)/35)*FM48*FN48*VLOOKUP('Données projet'!$B$16,Paramètres!$A$1:$I$89,3,0)*0.475*44/12</f>
        <v>0</v>
      </c>
      <c r="FR48" s="21">
        <f>EXP(-LN(2)/25)*FR47+(1-EXP(-LN(2)/25))/(LN(2)/25)*Calculateur!FM48*Calculateur!FO48*VLOOKUP('Données projet'!$B$16,Paramètres!$A$1:$I$89,3,0)*0.475*44/12</f>
        <v>2.5027912614629306</v>
      </c>
      <c r="FS48" s="21">
        <f>EXP(-LN(2)/2)*FS47+(1-EXP(-LN(2)/2))/(LN(2)/2)*FM48*FP48*VLOOKUP('Données projet'!$B$16,Paramètres!$A$1:$I$89,3,0)*0.475*44/12</f>
        <v>1.597777574272665</v>
      </c>
      <c r="FT48" s="22">
        <f t="shared" si="24"/>
        <v>4.1005688357355954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59.307950572122927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59.307950572122927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>
      <c r="A49" s="10">
        <f t="shared" si="31"/>
        <v>46</v>
      </c>
      <c r="B49" s="73">
        <f>'Scénario référence'!$B$16*5+'Scénario référence'!$B$17*0+'Scénario référence'!$B$18*5</f>
        <v>4.6999999999999993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2.4541919999999995</v>
      </c>
      <c r="D49" s="11">
        <f t="shared" si="32"/>
        <v>1.0187678880030078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17.807862123566302</v>
      </c>
      <c r="H49" s="67">
        <f t="shared" si="1"/>
        <v>193.7820718049386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59.493433725855127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15.714444444444442</v>
      </c>
      <c r="N49" s="13">
        <f>IF('Données projet'!$A$36&gt;35,N48+M49-V48,IF(A49&lt;'Données projet'!$A$36,$K$205^A49,IF(A49='Données projet'!$A$36,'Données projet'!$B$36,N48+M49-V48)))</f>
        <v>307.15222222222229</v>
      </c>
      <c r="O49" s="13">
        <f>N49*VLOOKUP('Données projet'!$B$9,Paramètres!$A$1:$I$89,3,0)*VLOOKUP('Données projet'!$B$9,Paramètres!$A$1:$I$89,5,0)</f>
        <v>183.67702888888894</v>
      </c>
      <c r="P49" s="13">
        <f t="shared" si="33"/>
        <v>46.139292054148385</v>
      </c>
      <c r="Q49" s="20">
        <f t="shared" si="53"/>
        <v>400.2634256424567</v>
      </c>
      <c r="R49" s="59">
        <f t="shared" si="0"/>
        <v>655.07268263725882</v>
      </c>
      <c r="S49" s="59">
        <f ca="1">AVERAGE(OFFSET($R$3,0,0,'Données projet'!$E$9+1,1))-AVERAGE(OFFSET($H$3,0,0,'Données projet'!$E$9+1,1))</f>
        <v>366.93249569585623</v>
      </c>
      <c r="T49" s="59">
        <f t="shared" si="34"/>
        <v>272.47262353368501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22.72280141983704</v>
      </c>
      <c r="AA49" s="21">
        <f>EXP(-LN(2)/25)*AA48+(1-EXP(-LN(2)/25))/(LN(2)/25)*Calculateur!V49*Calculateur!X49*VLOOKUP('Données projet'!$B$9,Paramètres!$A$1:$I$89,3,0)*0.475*44/12</f>
        <v>15.602299132873227</v>
      </c>
      <c r="AB49" s="21">
        <f>EXP(-LN(2)/2)*AB48+(1-EXP(-LN(2)/2))/(LN(2)/2)*V49*Y49*VLOOKUP('Données projet'!$B$9,Paramètres!$A$1:$I$89,3,0)*0.475*44/12</f>
        <v>1.8876053039758818</v>
      </c>
      <c r="AC49" s="22">
        <f t="shared" si="3"/>
        <v>40.212705856686149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59.493433725855127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18.28142857142857</v>
      </c>
      <c r="AI49" s="13">
        <f>IF('Données projet'!$A$62&gt;35,AI48+AH49-AQ48,IF(A49&lt;'Données projet'!$A$62,$AF$205^A49,IF(A49='Données projet'!$A$62,'Données projet'!$B$62,AI48+AH49-AQ48)))</f>
        <v>310.65571428571394</v>
      </c>
      <c r="AJ49" s="13">
        <f>AI49*VLOOKUP('Données projet'!$B$10,Paramètres!$A$1:$I$89,3,0)*VLOOKUP('Données projet'!$B$10,Paramètres!$A$1:$I$89,5,0)</f>
        <v>145.38687428571413</v>
      </c>
      <c r="AK49" s="13">
        <f t="shared" si="35"/>
        <v>37.528337984329553</v>
      </c>
      <c r="AL49" s="20">
        <f t="shared" si="4"/>
        <v>318.5773280369927</v>
      </c>
      <c r="AM49" s="59">
        <f t="shared" si="5"/>
        <v>573.38658503179477</v>
      </c>
      <c r="AN49" s="59">
        <f ca="1">AVERAGE(OFFSET($AM$3,0,0,'Données projet'!$E$10+1,1))-AVERAGE(OFFSET($H$3,0,0,'Données projet'!$E$10+1,1))</f>
        <v>382.89338473200229</v>
      </c>
      <c r="AO49" s="59">
        <f t="shared" si="36"/>
        <v>360.46248248971744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35.047363090339537</v>
      </c>
      <c r="AV49" s="21">
        <f>EXP(-LN(2)/25)*AV48+(1-EXP(-LN(2)/25))/(LN(2)/25)*Calculateur!AQ49*Calculateur!AS49*VLOOKUP('Données projet'!$B$10,Paramètres!$A$1:$I$89,3,0)*0.475*44/12</f>
        <v>11.273515435250605</v>
      </c>
      <c r="AW49" s="21">
        <f>EXP(-LN(2)/2)*AW48+(1-EXP(-LN(2)/2))/(LN(2)/2)*AQ49*AT49*VLOOKUP('Données projet'!$B$10,Paramètres!$A$1:$I$89,3,0)*0.475*44/12</f>
        <v>4.9059376360716316</v>
      </c>
      <c r="AX49" s="21">
        <f t="shared" si="6"/>
        <v>51.22681616166178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59.493433725855127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3.8461538461538454</v>
      </c>
      <c r="BD49" s="12">
        <f>IF('Données projet'!$A$88&gt;35,BD48+BC49-BL48,IF(A49&lt;'Données projet'!$A$88,$BA$205^A49,IF(A49='Données projet'!$A$88,'Données projet'!$B$88,BD48+BC49-BL48)))</f>
        <v>95.512820512820511</v>
      </c>
      <c r="BE49" s="13">
        <f>BD49*VLOOKUP('Données projet'!$B$11,Paramètres!$A$1:$I$89,3,0)*VLOOKUP('Données projet'!$B$11,Paramètres!$A$1:$I$89,5,0)</f>
        <v>83.440000000000012</v>
      </c>
      <c r="BF49" s="13">
        <f t="shared" si="37"/>
        <v>22.976210016812125</v>
      </c>
      <c r="BG49" s="20">
        <f t="shared" si="7"/>
        <v>185.34156577928113</v>
      </c>
      <c r="BH49" s="59">
        <f t="shared" si="8"/>
        <v>440.15082277408328</v>
      </c>
      <c r="BI49" s="59">
        <f ca="1">AVERAGE(OFFSET($BH$3,0,0,'Données projet'!$E$11+1,1))-AVERAGE(OFFSET($H$3,0,0,'Données projet'!$E$11+1,1))</f>
        <v>225.75484198243581</v>
      </c>
      <c r="BJ49" s="59">
        <f t="shared" si="38"/>
        <v>199.49566488421061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0</v>
      </c>
      <c r="BQ49" s="21">
        <f>EXP(-LN(2)/25)*BQ48+(1-EXP(-LN(2)/25))/(LN(2)/25)*Calculateur!BL49*Calculateur!BN49*VLOOKUP('Données projet'!$B$11,Paramètres!$A$1:$I$89,3,0)*0.475*44/12</f>
        <v>11.628119295501252</v>
      </c>
      <c r="BR49" s="21">
        <f>EXP(-LN(2)/2)*BR48+(1-EXP(-LN(2)/2))/(LN(2)/2)*BL49*BO49*VLOOKUP('Données projet'!$B$11,Paramètres!$A$1:$I$89,3,0)*0.475*44/12</f>
        <v>0</v>
      </c>
      <c r="BS49" s="22">
        <f t="shared" si="9"/>
        <v>11.628119295501252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59.493433725855127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8.1999999999999993</v>
      </c>
      <c r="BY49" s="12">
        <f>IF('Données projet'!$A$114&gt;35,BY48+BX49-CG48,IF(A49&lt;'Données projet'!$A$114,$BV$205^A49,IF(A49='Données projet'!$A$114,'Données projet'!$B$114,BY48+BX49-CG48)))</f>
        <v>145.20000000000005</v>
      </c>
      <c r="BZ49" s="13">
        <f>BY49*VLOOKUP('Données projet'!$B$12,Paramètres!$A$1:$I$89,3,0)*VLOOKUP('Données projet'!$B$12,Paramètres!$A$1:$I$89,5,0)</f>
        <v>138.17232000000004</v>
      </c>
      <c r="CA49" s="13">
        <f t="shared" si="39"/>
        <v>35.877989993863793</v>
      </c>
      <c r="CB49" s="20">
        <f t="shared" si="10"/>
        <v>303.13762323931286</v>
      </c>
      <c r="CC49" s="59">
        <f t="shared" si="11"/>
        <v>557.94688023411504</v>
      </c>
      <c r="CD49" s="59">
        <f ca="1">AVERAGE(OFFSET($CC$3,0,0,'Données projet'!$E$12+1,1))-AVERAGE(OFFSET($H$3,0,0,'Données projet'!$E$12+1,1))</f>
        <v>413.9352601863377</v>
      </c>
      <c r="CE49" s="59">
        <f t="shared" si="40"/>
        <v>255.13997349799286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0</v>
      </c>
      <c r="CL49" s="21">
        <f>EXP(-LN(2)/25)*CL48+(1-EXP(-LN(2)/25))/(LN(2)/25)*Calculateur!CG49*Calculateur!CI49*VLOOKUP('Données projet'!$B$12,Paramètres!$A$1:$I$89,3,0)*0.475*44/12</f>
        <v>8.0687426750121745</v>
      </c>
      <c r="CM49" s="21">
        <f>EXP(-LN(2)/2)*CM48+(1-EXP(-LN(2)/2))/(LN(2)/2)*CG49*CJ49*VLOOKUP('Données projet'!$B$12,Paramètres!$A$1:$I$89,3,0)*0.475*44/12</f>
        <v>4.0461704015847495</v>
      </c>
      <c r="CN49" s="22">
        <f t="shared" si="12"/>
        <v>12.114913076596924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59.493433725855127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5.6</v>
      </c>
      <c r="CT49" s="12">
        <f>IF('Données projet'!$A$140&gt;35,CT48+CS49-DB48,IF(A49&lt;'Données projet'!$A$140,$CQ$205^A49,IF(A49='Données projet'!$A$140,'Données projet'!$B$140,CT48+CS49-DB48)))</f>
        <v>151.59999999999997</v>
      </c>
      <c r="CU49" s="17">
        <f>CT49*VLOOKUP('Données projet'!$B$13,Paramètres!$A$1:$I$89,3,0)*VLOOKUP('Données projet'!$B$13,Paramètres!$A$1:$I$89,5,0)</f>
        <v>132.43776</v>
      </c>
      <c r="CV49" s="13">
        <f t="shared" si="41"/>
        <v>34.559043580858436</v>
      </c>
      <c r="CW49" s="20">
        <f t="shared" si="13"/>
        <v>290.85276623666175</v>
      </c>
      <c r="CX49" s="59">
        <f t="shared" si="14"/>
        <v>545.66202323146388</v>
      </c>
      <c r="CY49" s="59">
        <f ca="1">AVERAGE(OFFSET($CX$3,0,0,'Données projet'!$E$13+1,1))-AVERAGE(OFFSET($H$3,0,0,'Données projet'!$E$13+1,1))</f>
        <v>280.59827778697775</v>
      </c>
      <c r="CZ49" s="59">
        <f t="shared" si="42"/>
        <v>270.86588231964726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>
        <f>EXP(-LN(2)/35)*DF48+(1-EXP(-LN(2)/35))/(LN(2)/35)*DB49*DC49*VLOOKUP('Données projet'!$B$13,Paramètres!$A$1:$I$89,3,0)*0.475*44/12</f>
        <v>0</v>
      </c>
      <c r="DG49" s="21">
        <f>EXP(-LN(2)/25)*DG48+(1-EXP(-LN(2)/25))/(LN(2)/25)*Calculateur!DB49*Calculateur!DD49*VLOOKUP('Données projet'!$B$13,Paramètres!$A$1:$I$89,3,0)*0.475*44/12</f>
        <v>10.985435496279361</v>
      </c>
      <c r="DH49" s="21">
        <f>EXP(-LN(2)/2)*DH48+(1-EXP(-LN(2)/2))/(LN(2)/2)*DB49*DE49*VLOOKUP('Données projet'!$B$13,Paramètres!$A$1:$I$89,3,0)*0.475*44/12</f>
        <v>3.2797625930290071</v>
      </c>
      <c r="DI49" s="22">
        <f t="shared" si="15"/>
        <v>14.265198089308369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59.493433725855127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4.8717948717948731</v>
      </c>
      <c r="DO49" s="12">
        <f>IF('Données projet'!$A$166&gt;35,DO48+DN49-DW48,IF(A49&lt;'Données projet'!$A$166,$DL$205^A49,IF(A49='Données projet'!$A$166,'Données projet'!$B$166,DO48+DN49-DW48)))</f>
        <v>90.12820512820511</v>
      </c>
      <c r="DP49" s="17">
        <f>DO49*VLOOKUP('Données projet'!$B$14,Paramètres!$A$1:$I$89,3,0)*VLOOKUP('Données projet'!$B$14,Paramètres!$A$1:$I$89,5,0)</f>
        <v>60.457999999999984</v>
      </c>
      <c r="DQ49" s="13">
        <f t="shared" si="43"/>
        <v>17.284014483915104</v>
      </c>
      <c r="DR49" s="20">
        <f t="shared" si="16"/>
        <v>135.40067522615209</v>
      </c>
      <c r="DS49" s="59">
        <f t="shared" si="17"/>
        <v>390.20993222095422</v>
      </c>
      <c r="DT49" s="59">
        <f ca="1">AVERAGE(OFFSET($DS$3,0,0,'Données projet'!$E$14+1,1))-AVERAGE(OFFSET($H$3,0,0,'Données projet'!$E$14+1,1))</f>
        <v>211.42385430331873</v>
      </c>
      <c r="DU49" s="59">
        <f t="shared" si="44"/>
        <v>146.84623106782686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>
        <f>EXP(-LN(2)/35)*EA48+(1-EXP(-LN(2)/35))/(LN(2)/35)*DW49*DX49*VLOOKUP('Données projet'!$B$14,Paramètres!$A$1:$I$89,3,0)*0.475*44/12</f>
        <v>0</v>
      </c>
      <c r="EB49" s="21">
        <f>EXP(-LN(2)/25)*EB48+(1-EXP(-LN(2)/25))/(LN(2)/25)*Calculateur!DW49*Calculateur!DY49*VLOOKUP('Données projet'!$B$14,Paramètres!$A$1:$I$89,3,0)*0.475*44/12</f>
        <v>4.7682380294158815</v>
      </c>
      <c r="EC49" s="21">
        <f>EXP(-LN(2)/2)*EC48+(1-EXP(-LN(2)/2))/(LN(2)/2)*DW49*DZ49*VLOOKUP('Données projet'!$B$14,Paramètres!$A$1:$I$89,3,0)*0.475*44/12</f>
        <v>1.8102256071321567</v>
      </c>
      <c r="ED49" s="22">
        <f t="shared" si="18"/>
        <v>6.5784636365480385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59.493433725855127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2.5641025641025634</v>
      </c>
      <c r="EJ49" s="12">
        <f>IF('Données projet'!$A$192&gt;35,EJ48+EI49-ER48,IF(A49&lt;'Données projet'!$A$192,$EG$205^A49,IF(A49='Données projet'!$A$192,'Données projet'!$B$192,EJ48+EI49-ER48)))</f>
        <v>51.28205128205127</v>
      </c>
      <c r="EK49" s="17">
        <f>EJ49*VLOOKUP('Données projet'!$B$15,Paramètres!$A$1:$I$89,3,0)*VLOOKUP('Données projet'!$B$15,Paramètres!$A$1:$I$89,5,0)</f>
        <v>55.199999999999982</v>
      </c>
      <c r="EL49" s="13">
        <f t="shared" si="45"/>
        <v>15.948852220126023</v>
      </c>
      <c r="EM49" s="20">
        <f t="shared" si="19"/>
        <v>123.91758428338612</v>
      </c>
      <c r="EN49" s="59">
        <f t="shared" si="20"/>
        <v>378.72684127818826</v>
      </c>
      <c r="EO49" s="59">
        <f ca="1">AVERAGE(OFFSET($EN$3,0,0,'Données projet'!$E$15+1,1))-AVERAGE(OFFSET($H$3,0,0,'Données projet'!$E$15+1,1))</f>
        <v>212.00478362779876</v>
      </c>
      <c r="EP49" s="59">
        <f t="shared" si="46"/>
        <v>133.62262474506707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>
        <f>EXP(-LN(2)/35)*EV48+(1-EXP(-LN(2)/35))/(LN(2)/35)*ER49*ES49*VLOOKUP('Données projet'!$B$15,Paramètres!$A$1:$I$89,3,0)*0.475*44/12</f>
        <v>0</v>
      </c>
      <c r="EW49" s="21">
        <f>EXP(-LN(2)/25)*EW48+(1-EXP(-LN(2)/25))/(LN(2)/25)*Calculateur!ER49*Calculateur!ET49*VLOOKUP('Données projet'!$B$15,Paramètres!$A$1:$I$89,3,0)*0.475*44/12</f>
        <v>2.7091985305378805</v>
      </c>
      <c r="EX49" s="21">
        <f>EXP(-LN(2)/2)*EX48+(1-EXP(-LN(2)/2))/(LN(2)/2)*ER49*EU49*VLOOKUP('Données projet'!$B$15,Paramètres!$A$1:$I$89,3,0)*0.475*44/12</f>
        <v>1.2573573495826385</v>
      </c>
      <c r="EY49" s="22">
        <f t="shared" si="21"/>
        <v>3.9665558801205192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59.493433725855127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2.5641025641025634</v>
      </c>
      <c r="FE49" s="12">
        <f>IF('Données projet'!$A$218&gt;35,FE48+FD49-FM48,IF(A49&lt;'Données projet'!$A$218,$FB$205^A49,IF(A49='Données projet'!$A$218,'Données projet'!$B$218,FE48+FD49-FM48)))</f>
        <v>51.28205128205127</v>
      </c>
      <c r="FF49" s="17">
        <f>FE49*VLOOKUP('Données projet'!$B$16,Paramètres!$A$1:$I$89,3,0)*VLOOKUP('Données projet'!$B$16,Paramètres!$A$1:$I$89,5,0)</f>
        <v>49.599999999999994</v>
      </c>
      <c r="FG49" s="13">
        <f t="shared" si="47"/>
        <v>14.510409678054639</v>
      </c>
      <c r="FH49" s="20">
        <f t="shared" si="22"/>
        <v>111.65896352261181</v>
      </c>
      <c r="FI49" s="59">
        <f t="shared" si="23"/>
        <v>366.46822051741395</v>
      </c>
      <c r="FJ49" s="59">
        <f ca="1">AVERAGE(OFFSET($FI$3,0,0,'Données projet'!$E$16+1,1))-AVERAGE(OFFSET($H$3,0,0,'Données projet'!$E$16+1,1))</f>
        <v>196.65742339093146</v>
      </c>
      <c r="FK49" s="59">
        <f t="shared" si="48"/>
        <v>125.41980634506001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>
        <f>EXP(-LN(2)/35)*FQ48+(1-EXP(-LN(2)/35))/(LN(2)/35)*FM49*FN49*VLOOKUP('Données projet'!$B$16,Paramètres!$A$1:$I$89,3,0)*0.475*44/12</f>
        <v>0</v>
      </c>
      <c r="FR49" s="21">
        <f>EXP(-LN(2)/25)*FR48+(1-EXP(-LN(2)/25))/(LN(2)/25)*Calculateur!FM49*Calculateur!FO49*VLOOKUP('Données projet'!$B$16,Paramètres!$A$1:$I$89,3,0)*0.475*44/12</f>
        <v>2.4343523028021545</v>
      </c>
      <c r="FS49" s="21">
        <f>EXP(-LN(2)/2)*FS48+(1-EXP(-LN(2)/2))/(LN(2)/2)*FM49*FP49*VLOOKUP('Données projet'!$B$16,Paramètres!$A$1:$I$89,3,0)*0.475*44/12</f>
        <v>1.1297993575959941</v>
      </c>
      <c r="FT49" s="22">
        <f t="shared" si="24"/>
        <v>3.5641516603981485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59.493433725855127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59.493433725855127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>
      <c r="A50" s="10">
        <f t="shared" si="31"/>
        <v>47</v>
      </c>
      <c r="B50" s="73">
        <f>'Scénario référence'!$B$16*5+'Scénario référence'!$B$17*0+'Scénario référence'!$B$18*5</f>
        <v>4.6999999999999993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2.5075439999999993</v>
      </c>
      <c r="D50" s="11">
        <f t="shared" si="32"/>
        <v>1.0383125290347726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17.841624778359964</v>
      </c>
      <c r="H50" s="67">
        <f t="shared" si="1"/>
        <v>193.90903345473558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59.67569916154828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15.714444444444442</v>
      </c>
      <c r="N50" s="13">
        <f>IF('Données projet'!$A$36&gt;35,N49+M50-V49,IF(A50&lt;'Données projet'!$A$36,$K$205^A50,IF(A50='Données projet'!$A$36,'Données projet'!$B$36,N49+M50-V49)))</f>
        <v>322.86666666666673</v>
      </c>
      <c r="O50" s="13">
        <f>N50*VLOOKUP('Données projet'!$B$9,Paramètres!$A$1:$I$89,3,0)*VLOOKUP('Données projet'!$B$9,Paramètres!$A$1:$I$89,5,0)</f>
        <v>193.07426666666672</v>
      </c>
      <c r="P50" s="13">
        <f t="shared" si="33"/>
        <v>48.218993334236252</v>
      </c>
      <c r="Q50" s="20">
        <f t="shared" si="53"/>
        <v>420.25242783490597</v>
      </c>
      <c r="R50" s="59">
        <f t="shared" si="0"/>
        <v>675.72999142724962</v>
      </c>
      <c r="S50" s="59">
        <f ca="1">AVERAGE(OFFSET($R$3,0,0,'Données projet'!$E$9+1,1))-AVERAGE(OFFSET($H$3,0,0,'Données projet'!$E$9+1,1))</f>
        <v>366.93249569585623</v>
      </c>
      <c r="T50" s="59">
        <f t="shared" si="34"/>
        <v>272.47262353368501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22.277221143534387</v>
      </c>
      <c r="AA50" s="21">
        <f>EXP(-LN(2)/25)*AA49+(1-EXP(-LN(2)/25))/(LN(2)/25)*Calculateur!V50*Calculateur!X50*VLOOKUP('Données projet'!$B$9,Paramètres!$A$1:$I$89,3,0)*0.475*44/12</f>
        <v>15.175653442595557</v>
      </c>
      <c r="AB50" s="21">
        <f>EXP(-LN(2)/2)*AB49+(1-EXP(-LN(2)/2))/(LN(2)/2)*V50*Y50*VLOOKUP('Données projet'!$B$9,Paramètres!$A$1:$I$89,3,0)*0.475*44/12</f>
        <v>1.3347385106450405</v>
      </c>
      <c r="AC50" s="22">
        <f t="shared" si="3"/>
        <v>38.787613096774983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59.67569916154828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18.28142857142857</v>
      </c>
      <c r="AI50" s="13">
        <f>IF('Données projet'!$A$62&gt;35,AI49+AH50-AQ49,IF(A50&lt;'Données projet'!$A$62,$AF$205^A50,IF(A50='Données projet'!$A$62,'Données projet'!$B$62,AI49+AH50-AQ49)))</f>
        <v>328.93714285714253</v>
      </c>
      <c r="AJ50" s="13">
        <f>AI50*VLOOKUP('Données projet'!$B$10,Paramètres!$A$1:$I$89,3,0)*VLOOKUP('Données projet'!$B$10,Paramètres!$A$1:$I$89,5,0)</f>
        <v>153.9425828571427</v>
      </c>
      <c r="AK50" s="13">
        <f t="shared" si="35"/>
        <v>39.473194365725568</v>
      </c>
      <c r="AL50" s="20">
        <f t="shared" si="4"/>
        <v>336.86581199649555</v>
      </c>
      <c r="AM50" s="59">
        <f t="shared" si="5"/>
        <v>592.34337558883931</v>
      </c>
      <c r="AN50" s="59">
        <f ca="1">AVERAGE(OFFSET($AM$3,0,0,'Données projet'!$E$10+1,1))-AVERAGE(OFFSET($H$3,0,0,'Données projet'!$E$10+1,1))</f>
        <v>382.89338473200229</v>
      </c>
      <c r="AO50" s="59">
        <f t="shared" si="36"/>
        <v>360.46248248971744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34.360105676918685</v>
      </c>
      <c r="AV50" s="21">
        <f>EXP(-LN(2)/25)*AV49+(1-EXP(-LN(2)/25))/(LN(2)/25)*Calculateur!AQ50*Calculateur!AS50*VLOOKUP('Données projet'!$B$10,Paramètres!$A$1:$I$89,3,0)*0.475*44/12</f>
        <v>10.965240562825267</v>
      </c>
      <c r="AW50" s="21">
        <f>EXP(-LN(2)/2)*AW49+(1-EXP(-LN(2)/2))/(LN(2)/2)*AQ50*AT50*VLOOKUP('Données projet'!$B$10,Paramètres!$A$1:$I$89,3,0)*0.475*44/12</f>
        <v>3.4690217705445519</v>
      </c>
      <c r="AX50" s="21">
        <f t="shared" si="6"/>
        <v>48.794368010288501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59.67569916154828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3.8461538461538454</v>
      </c>
      <c r="BD50" s="12">
        <f>IF('Données projet'!$A$88&gt;35,BD49+BC50-BL49,IF(A50&lt;'Données projet'!$A$88,$BA$205^A50,IF(A50='Données projet'!$A$88,'Données projet'!$B$88,BD49+BC50-BL49)))</f>
        <v>99.358974358974351</v>
      </c>
      <c r="BE50" s="13">
        <f>BD50*VLOOKUP('Données projet'!$B$11,Paramètres!$A$1:$I$89,3,0)*VLOOKUP('Données projet'!$B$11,Paramètres!$A$1:$I$89,5,0)</f>
        <v>86.800000000000011</v>
      </c>
      <c r="BF50" s="13">
        <f t="shared" si="37"/>
        <v>23.791843477385203</v>
      </c>
      <c r="BG50" s="20">
        <f t="shared" si="7"/>
        <v>192.61412738977924</v>
      </c>
      <c r="BH50" s="59">
        <f t="shared" si="8"/>
        <v>448.09169098212294</v>
      </c>
      <c r="BI50" s="59">
        <f ca="1">AVERAGE(OFFSET($BH$3,0,0,'Données projet'!$E$11+1,1))-AVERAGE(OFFSET($H$3,0,0,'Données projet'!$E$11+1,1))</f>
        <v>225.75484198243581</v>
      </c>
      <c r="BJ50" s="59">
        <f t="shared" si="38"/>
        <v>199.49566488421061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0</v>
      </c>
      <c r="BQ50" s="21">
        <f>EXP(-LN(2)/25)*BQ49+(1-EXP(-LN(2)/25))/(LN(2)/25)*Calculateur!BL50*Calculateur!BN50*VLOOKUP('Données projet'!$B$11,Paramètres!$A$1:$I$89,3,0)*0.475*44/12</f>
        <v>11.310147761869553</v>
      </c>
      <c r="BR50" s="21">
        <f>EXP(-LN(2)/2)*BR49+(1-EXP(-LN(2)/2))/(LN(2)/2)*BL50*BO50*VLOOKUP('Données projet'!$B$11,Paramètres!$A$1:$I$89,3,0)*0.475*44/12</f>
        <v>0</v>
      </c>
      <c r="BS50" s="22">
        <f t="shared" si="9"/>
        <v>11.310147761869553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59.67569916154828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8.1999999999999993</v>
      </c>
      <c r="BY50" s="12">
        <f>IF('Données projet'!$A$114&gt;35,BY49+BX50-CG49,IF(A50&lt;'Données projet'!$A$114,$BV$205^A50,IF(A50='Données projet'!$A$114,'Données projet'!$B$114,BY49+BX50-CG49)))</f>
        <v>153.40000000000003</v>
      </c>
      <c r="BZ50" s="13">
        <f>BY50*VLOOKUP('Données projet'!$B$12,Paramètres!$A$1:$I$89,3,0)*VLOOKUP('Données projet'!$B$12,Paramètres!$A$1:$I$89,5,0)</f>
        <v>145.97544000000002</v>
      </c>
      <c r="CA50" s="13">
        <f t="shared" si="39"/>
        <v>37.662547285900686</v>
      </c>
      <c r="CB50" s="20">
        <f t="shared" si="10"/>
        <v>319.83616118961032</v>
      </c>
      <c r="CC50" s="59">
        <f t="shared" si="11"/>
        <v>575.31372478195408</v>
      </c>
      <c r="CD50" s="59">
        <f ca="1">AVERAGE(OFFSET($CC$3,0,0,'Données projet'!$E$12+1,1))-AVERAGE(OFFSET($H$3,0,0,'Données projet'!$E$12+1,1))</f>
        <v>413.9352601863377</v>
      </c>
      <c r="CE50" s="59">
        <f t="shared" si="40"/>
        <v>255.13997349799286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0</v>
      </c>
      <c r="CL50" s="21">
        <f>EXP(-LN(2)/25)*CL49+(1-EXP(-LN(2)/25))/(LN(2)/25)*Calculateur!CG50*Calculateur!CI50*VLOOKUP('Données projet'!$B$12,Paramètres!$A$1:$I$89,3,0)*0.475*44/12</f>
        <v>7.8481024822472305</v>
      </c>
      <c r="CM50" s="21">
        <f>EXP(-LN(2)/2)*CM49+(1-EXP(-LN(2)/2))/(LN(2)/2)*CG50*CJ50*VLOOKUP('Données projet'!$B$12,Paramètres!$A$1:$I$89,3,0)*0.475*44/12</f>
        <v>2.8610745287968729</v>
      </c>
      <c r="CN50" s="22">
        <f t="shared" si="12"/>
        <v>10.709177011044103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59.67569916154828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5.6</v>
      </c>
      <c r="CT50" s="12">
        <f>IF('Données projet'!$A$140&gt;35,CT49+CS50-DB49,IF(A50&lt;'Données projet'!$A$140,$CQ$205^A50,IF(A50='Données projet'!$A$140,'Données projet'!$B$140,CT49+CS50-DB49)))</f>
        <v>157.19999999999996</v>
      </c>
      <c r="CU50" s="17">
        <f>CT50*VLOOKUP('Données projet'!$B$13,Paramètres!$A$1:$I$89,3,0)*VLOOKUP('Données projet'!$B$13,Paramètres!$A$1:$I$89,5,0)</f>
        <v>137.32991999999999</v>
      </c>
      <c r="CV50" s="13">
        <f t="shared" si="41"/>
        <v>35.684643836992151</v>
      </c>
      <c r="CW50" s="20">
        <f t="shared" si="13"/>
        <v>301.33369868276128</v>
      </c>
      <c r="CX50" s="59">
        <f t="shared" si="14"/>
        <v>556.81126227510504</v>
      </c>
      <c r="CY50" s="59">
        <f ca="1">AVERAGE(OFFSET($CX$3,0,0,'Données projet'!$E$13+1,1))-AVERAGE(OFFSET($H$3,0,0,'Données projet'!$E$13+1,1))</f>
        <v>280.59827778697775</v>
      </c>
      <c r="CZ50" s="59">
        <f t="shared" si="42"/>
        <v>270.86588231964726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>
        <f>EXP(-LN(2)/35)*DF49+(1-EXP(-LN(2)/35))/(LN(2)/35)*DB50*DC50*VLOOKUP('Données projet'!$B$13,Paramètres!$A$1:$I$89,3,0)*0.475*44/12</f>
        <v>0</v>
      </c>
      <c r="DG50" s="21">
        <f>EXP(-LN(2)/25)*DG49+(1-EXP(-LN(2)/25))/(LN(2)/25)*Calculateur!DB50*Calculateur!DD50*VLOOKUP('Données projet'!$B$13,Paramètres!$A$1:$I$89,3,0)*0.475*44/12</f>
        <v>10.685038184934657</v>
      </c>
      <c r="DH50" s="21">
        <f>EXP(-LN(2)/2)*DH49+(1-EXP(-LN(2)/2))/(LN(2)/2)*DB50*DE50*VLOOKUP('Données projet'!$B$13,Paramètres!$A$1:$I$89,3,0)*0.475*44/12</f>
        <v>2.319142370212786</v>
      </c>
      <c r="DI50" s="22">
        <f t="shared" si="15"/>
        <v>13.004180555147443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59.67569916154828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4.8717948717948731</v>
      </c>
      <c r="DO50" s="12">
        <f>IF('Données projet'!$A$166&gt;35,DO49+DN50-DW49,IF(A50&lt;'Données projet'!$A$166,$DL$205^A50,IF(A50='Données projet'!$A$166,'Données projet'!$B$166,DO49+DN50-DW49)))</f>
        <v>94.999999999999986</v>
      </c>
      <c r="DP50" s="17">
        <f>DO50*VLOOKUP('Données projet'!$B$14,Paramètres!$A$1:$I$89,3,0)*VLOOKUP('Données projet'!$B$14,Paramètres!$A$1:$I$89,5,0)</f>
        <v>63.725999999999992</v>
      </c>
      <c r="DQ50" s="13">
        <f t="shared" si="43"/>
        <v>18.106990134115833</v>
      </c>
      <c r="DR50" s="20">
        <f t="shared" si="16"/>
        <v>142.52579115025171</v>
      </c>
      <c r="DS50" s="59">
        <f t="shared" si="17"/>
        <v>398.00335474259543</v>
      </c>
      <c r="DT50" s="59">
        <f ca="1">AVERAGE(OFFSET($DS$3,0,0,'Données projet'!$E$14+1,1))-AVERAGE(OFFSET($H$3,0,0,'Données projet'!$E$14+1,1))</f>
        <v>211.42385430331873</v>
      </c>
      <c r="DU50" s="59">
        <f t="shared" si="44"/>
        <v>146.84623106782686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>
        <f>EXP(-LN(2)/35)*EA49+(1-EXP(-LN(2)/35))/(LN(2)/35)*DW50*DX50*VLOOKUP('Données projet'!$B$14,Paramètres!$A$1:$I$89,3,0)*0.475*44/12</f>
        <v>0</v>
      </c>
      <c r="EB50" s="21">
        <f>EXP(-LN(2)/25)*EB49+(1-EXP(-LN(2)/25))/(LN(2)/25)*Calculateur!DW50*Calculateur!DY50*VLOOKUP('Données projet'!$B$14,Paramètres!$A$1:$I$89,3,0)*0.475*44/12</f>
        <v>4.637850309750764</v>
      </c>
      <c r="EC50" s="21">
        <f>EXP(-LN(2)/2)*EC49+(1-EXP(-LN(2)/2))/(LN(2)/2)*DW50*DZ50*VLOOKUP('Données projet'!$B$14,Paramètres!$A$1:$I$89,3,0)*0.475*44/12</f>
        <v>1.2800228022806832</v>
      </c>
      <c r="ED50" s="22">
        <f t="shared" si="18"/>
        <v>5.9178731120314474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59.67569916154828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2.5641025641025634</v>
      </c>
      <c r="EJ50" s="12">
        <f>IF('Données projet'!$A$192&gt;35,EJ49+EI50-ER49,IF(A50&lt;'Données projet'!$A$192,$EG$205^A50,IF(A50='Données projet'!$A$192,'Données projet'!$B$192,EJ49+EI50-ER49)))</f>
        <v>53.846153846153832</v>
      </c>
      <c r="EK50" s="17">
        <f>EJ50*VLOOKUP('Données projet'!$B$15,Paramètres!$A$1:$I$89,3,0)*VLOOKUP('Données projet'!$B$15,Paramètres!$A$1:$I$89,5,0)</f>
        <v>57.95999999999998</v>
      </c>
      <c r="EL50" s="13">
        <f t="shared" si="45"/>
        <v>16.651459239215004</v>
      </c>
      <c r="EM50" s="20">
        <f t="shared" si="19"/>
        <v>129.94829150829943</v>
      </c>
      <c r="EN50" s="59">
        <f t="shared" si="20"/>
        <v>385.42585510064316</v>
      </c>
      <c r="EO50" s="59">
        <f ca="1">AVERAGE(OFFSET($EN$3,0,0,'Données projet'!$E$15+1,1))-AVERAGE(OFFSET($H$3,0,0,'Données projet'!$E$15+1,1))</f>
        <v>212.00478362779876</v>
      </c>
      <c r="EP50" s="59">
        <f t="shared" si="46"/>
        <v>133.62262474506707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>
        <f>EXP(-LN(2)/35)*EV49+(1-EXP(-LN(2)/35))/(LN(2)/35)*ER50*ES50*VLOOKUP('Données projet'!$B$15,Paramètres!$A$1:$I$89,3,0)*0.475*44/12</f>
        <v>0</v>
      </c>
      <c r="EW50" s="21">
        <f>EXP(-LN(2)/25)*EW49+(1-EXP(-LN(2)/25))/(LN(2)/25)*Calculateur!ER50*Calculateur!ET50*VLOOKUP('Données projet'!$B$15,Paramètres!$A$1:$I$89,3,0)*0.475*44/12</f>
        <v>2.6351153542497636</v>
      </c>
      <c r="EX50" s="21">
        <f>EXP(-LN(2)/2)*EX49+(1-EXP(-LN(2)/2))/(LN(2)/2)*ER50*EU50*VLOOKUP('Données projet'!$B$15,Paramètres!$A$1:$I$89,3,0)*0.475*44/12</f>
        <v>0.88908590826462808</v>
      </c>
      <c r="EY50" s="22">
        <f t="shared" si="21"/>
        <v>3.5242012625143917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59.67569916154828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2.5641025641025634</v>
      </c>
      <c r="FE50" s="12">
        <f>IF('Données projet'!$A$218&gt;35,FE49+FD50-FM49,IF(A50&lt;'Données projet'!$A$218,$FB$205^A50,IF(A50='Données projet'!$A$218,'Données projet'!$B$218,FE49+FD50-FM49)))</f>
        <v>53.846153846153832</v>
      </c>
      <c r="FF50" s="17">
        <f>FE50*VLOOKUP('Données projet'!$B$16,Paramètres!$A$1:$I$89,3,0)*VLOOKUP('Données projet'!$B$16,Paramètres!$A$1:$I$89,5,0)</f>
        <v>52.079999999999984</v>
      </c>
      <c r="FG50" s="13">
        <f t="shared" si="47"/>
        <v>15.149647884600476</v>
      </c>
      <c r="FH50" s="20">
        <f t="shared" si="22"/>
        <v>117.09163673234582</v>
      </c>
      <c r="FI50" s="59">
        <f t="shared" si="23"/>
        <v>372.56920032468952</v>
      </c>
      <c r="FJ50" s="59">
        <f ca="1">AVERAGE(OFFSET($FI$3,0,0,'Données projet'!$E$16+1,1))-AVERAGE(OFFSET($H$3,0,0,'Données projet'!$E$16+1,1))</f>
        <v>196.65742339093146</v>
      </c>
      <c r="FK50" s="59">
        <f t="shared" si="48"/>
        <v>125.41980634506001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>
        <f>EXP(-LN(2)/35)*FQ49+(1-EXP(-LN(2)/35))/(LN(2)/35)*FM50*FN50*VLOOKUP('Données projet'!$B$16,Paramètres!$A$1:$I$89,3,0)*0.475*44/12</f>
        <v>0</v>
      </c>
      <c r="FR50" s="21">
        <f>EXP(-LN(2)/25)*FR49+(1-EXP(-LN(2)/25))/(LN(2)/25)*Calculateur!FM50*Calculateur!FO50*VLOOKUP('Données projet'!$B$16,Paramètres!$A$1:$I$89,3,0)*0.475*44/12</f>
        <v>2.3677848110650057</v>
      </c>
      <c r="FS50" s="21">
        <f>EXP(-LN(2)/2)*FS49+(1-EXP(-LN(2)/2))/(LN(2)/2)*FM50*FP50*VLOOKUP('Données projet'!$B$16,Paramètres!$A$1:$I$89,3,0)*0.475*44/12</f>
        <v>0.7988887871363326</v>
      </c>
      <c r="FT50" s="22">
        <f t="shared" si="24"/>
        <v>3.1666735982013385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59.67569916154828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59.67569916154828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>
      <c r="A51" s="10">
        <f t="shared" si="31"/>
        <v>48</v>
      </c>
      <c r="B51" s="73">
        <f>'Scénario référence'!$B$16*5+'Scénario référence'!$B$17*0+'Scénario référence'!$B$18*5</f>
        <v>4.6999999999999993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2.5608959999999992</v>
      </c>
      <c r="D51" s="11">
        <f t="shared" si="32"/>
        <v>1.0578088219252995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17.875365040330312</v>
      </c>
      <c r="H51" s="67">
        <f t="shared" si="1"/>
        <v>194.03591089818659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59.854802699416631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15.714444444444442</v>
      </c>
      <c r="N51" s="13">
        <f>IF('Données projet'!$A$36&gt;35,N50+M51-V50,IF(A51&lt;'Données projet'!$A$36,$K$205^A51,IF(A51='Données projet'!$A$36,'Données projet'!$B$36,N50+M51-V50)))</f>
        <v>338.58111111111117</v>
      </c>
      <c r="O51" s="13">
        <f>N51*VLOOKUP('Données projet'!$B$9,Paramètres!$A$1:$I$89,3,0)*VLOOKUP('Données projet'!$B$9,Paramètres!$A$1:$I$89,5,0)</f>
        <v>202.47150444444449</v>
      </c>
      <c r="P51" s="13">
        <f t="shared" si="33"/>
        <v>50.28694073581002</v>
      </c>
      <c r="Q51" s="20">
        <f t="shared" si="53"/>
        <v>440.22095868894326</v>
      </c>
      <c r="R51" s="59">
        <f t="shared" si="0"/>
        <v>696.35523525347094</v>
      </c>
      <c r="S51" s="59">
        <f ca="1">AVERAGE(OFFSET($R$3,0,0,'Données projet'!$E$9+1,1))-AVERAGE(OFFSET($H$3,0,0,'Données projet'!$E$9+1,1))</f>
        <v>366.93249569585623</v>
      </c>
      <c r="T51" s="59">
        <f t="shared" si="34"/>
        <v>272.47262353368501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21.840378424672895</v>
      </c>
      <c r="AA51" s="21">
        <f>EXP(-LN(2)/25)*AA50+(1-EXP(-LN(2)/25))/(LN(2)/25)*Calculateur!V51*Calculateur!X51*VLOOKUP('Données projet'!$B$9,Paramètres!$A$1:$I$89,3,0)*0.475*44/12</f>
        <v>14.760674401154851</v>
      </c>
      <c r="AB51" s="21">
        <f>EXP(-LN(2)/2)*AB50+(1-EXP(-LN(2)/2))/(LN(2)/2)*V51*Y51*VLOOKUP('Données projet'!$B$9,Paramètres!$A$1:$I$89,3,0)*0.475*44/12</f>
        <v>0.943802651987941</v>
      </c>
      <c r="AC51" s="22">
        <f t="shared" si="3"/>
        <v>37.544855477815695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59.854802699416631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18.28142857142857</v>
      </c>
      <c r="AI51" s="13">
        <f>IF('Données projet'!$A$62&gt;35,AI50+AH51-AQ50,IF(A51&lt;'Données projet'!$A$62,$AF$205^A51,IF(A51='Données projet'!$A$62,'Données projet'!$B$62,AI50+AH51-AQ50)))</f>
        <v>347.21857142857112</v>
      </c>
      <c r="AJ51" s="13">
        <f>AI51*VLOOKUP('Données projet'!$B$10,Paramètres!$A$1:$I$89,3,0)*VLOOKUP('Données projet'!$B$10,Paramètres!$A$1:$I$89,5,0)</f>
        <v>162.49829142857129</v>
      </c>
      <c r="AK51" s="13">
        <f t="shared" si="35"/>
        <v>41.405502883606893</v>
      </c>
      <c r="AL51" s="20">
        <f t="shared" si="4"/>
        <v>355.13244176037705</v>
      </c>
      <c r="AM51" s="59">
        <f t="shared" si="5"/>
        <v>611.26671832490479</v>
      </c>
      <c r="AN51" s="59">
        <f ca="1">AVERAGE(OFFSET($AM$3,0,0,'Données projet'!$E$10+1,1))-AVERAGE(OFFSET($H$3,0,0,'Données projet'!$E$10+1,1))</f>
        <v>382.89338473200229</v>
      </c>
      <c r="AO51" s="59">
        <f t="shared" si="36"/>
        <v>360.46248248971744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33.686324962189381</v>
      </c>
      <c r="AV51" s="21">
        <f>EXP(-LN(2)/25)*AV50+(1-EXP(-LN(2)/25))/(LN(2)/25)*Calculateur!AQ51*Calculateur!AS51*VLOOKUP('Données projet'!$B$10,Paramètres!$A$1:$I$89,3,0)*0.475*44/12</f>
        <v>10.665395482997869</v>
      </c>
      <c r="AW51" s="21">
        <f>EXP(-LN(2)/2)*AW50+(1-EXP(-LN(2)/2))/(LN(2)/2)*AQ51*AT51*VLOOKUP('Données projet'!$B$10,Paramètres!$A$1:$I$89,3,0)*0.475*44/12</f>
        <v>2.4529688180358162</v>
      </c>
      <c r="AX51" s="21">
        <f t="shared" si="6"/>
        <v>46.804689263223068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59.854802699416631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3.8461538461538454</v>
      </c>
      <c r="BD51" s="12">
        <f>IF('Données projet'!$A$88&gt;35,BD50+BC51-BL50,IF(A51&lt;'Données projet'!$A$88,$BA$205^A51,IF(A51='Données projet'!$A$88,'Données projet'!$B$88,BD50+BC51-BL50)))</f>
        <v>103.20512820512819</v>
      </c>
      <c r="BE51" s="13">
        <f>BD51*VLOOKUP('Données projet'!$B$11,Paramètres!$A$1:$I$89,3,0)*VLOOKUP('Données projet'!$B$11,Paramètres!$A$1:$I$89,5,0)</f>
        <v>90.16</v>
      </c>
      <c r="BF51" s="13">
        <f t="shared" si="37"/>
        <v>24.603809151169582</v>
      </c>
      <c r="BG51" s="20">
        <f t="shared" si="7"/>
        <v>199.88030093828698</v>
      </c>
      <c r="BH51" s="59">
        <f t="shared" si="8"/>
        <v>456.01457750281463</v>
      </c>
      <c r="BI51" s="59">
        <f ca="1">AVERAGE(OFFSET($BH$3,0,0,'Données projet'!$E$11+1,1))-AVERAGE(OFFSET($H$3,0,0,'Données projet'!$E$11+1,1))</f>
        <v>225.75484198243581</v>
      </c>
      <c r="BJ51" s="59">
        <f t="shared" si="38"/>
        <v>199.49566488421061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0</v>
      </c>
      <c r="BQ51" s="21">
        <f>EXP(-LN(2)/25)*BQ50+(1-EXP(-LN(2)/25))/(LN(2)/25)*Calculateur!BL51*Calculateur!BN51*VLOOKUP('Données projet'!$B$11,Paramètres!$A$1:$I$89,3,0)*0.475*44/12</f>
        <v>11.00087117654641</v>
      </c>
      <c r="BR51" s="21">
        <f>EXP(-LN(2)/2)*BR50+(1-EXP(-LN(2)/2))/(LN(2)/2)*BL51*BO51*VLOOKUP('Données projet'!$B$11,Paramètres!$A$1:$I$89,3,0)*0.475*44/12</f>
        <v>0</v>
      </c>
      <c r="BS51" s="22">
        <f t="shared" si="9"/>
        <v>11.00087117654641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59.854802699416631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8.1999999999999993</v>
      </c>
      <c r="BY51" s="12">
        <f>IF('Données projet'!$A$114&gt;35,BY50+BX51-CG50,IF(A51&lt;'Données projet'!$A$114,$BV$205^A51,IF(A51='Données projet'!$A$114,'Données projet'!$B$114,BY50+BX51-CG50)))</f>
        <v>161.60000000000002</v>
      </c>
      <c r="BZ51" s="13">
        <f>BY51*VLOOKUP('Données projet'!$B$12,Paramètres!$A$1:$I$89,3,0)*VLOOKUP('Données projet'!$B$12,Paramètres!$A$1:$I$89,5,0)</f>
        <v>153.77856000000003</v>
      </c>
      <c r="CA51" s="13">
        <f t="shared" si="39"/>
        <v>39.436029674841947</v>
      </c>
      <c r="CB51" s="20">
        <f t="shared" si="10"/>
        <v>336.51541035034978</v>
      </c>
      <c r="CC51" s="59">
        <f t="shared" si="11"/>
        <v>592.64968691487752</v>
      </c>
      <c r="CD51" s="59">
        <f ca="1">AVERAGE(OFFSET($CC$3,0,0,'Données projet'!$E$12+1,1))-AVERAGE(OFFSET($H$3,0,0,'Données projet'!$E$12+1,1))</f>
        <v>413.9352601863377</v>
      </c>
      <c r="CE51" s="59">
        <f t="shared" si="40"/>
        <v>255.13997349799286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0</v>
      </c>
      <c r="CL51" s="21">
        <f>EXP(-LN(2)/25)*CL50+(1-EXP(-LN(2)/25))/(LN(2)/25)*Calculateur!CG51*Calculateur!CI51*VLOOKUP('Données projet'!$B$12,Paramètres!$A$1:$I$89,3,0)*0.475*44/12</f>
        <v>7.6334957071564071</v>
      </c>
      <c r="CM51" s="21">
        <f>EXP(-LN(2)/2)*CM50+(1-EXP(-LN(2)/2))/(LN(2)/2)*CG51*CJ51*VLOOKUP('Données projet'!$B$12,Paramètres!$A$1:$I$89,3,0)*0.475*44/12</f>
        <v>2.0230852007923752</v>
      </c>
      <c r="CN51" s="22">
        <f t="shared" si="12"/>
        <v>9.6565809079487828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59.854802699416631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5.6</v>
      </c>
      <c r="CT51" s="12">
        <f>IF('Données projet'!$A$140&gt;35,CT50+CS51-DB50,IF(A51&lt;'Données projet'!$A$140,$CQ$205^A51,IF(A51='Données projet'!$A$140,'Données projet'!$B$140,CT50+CS51-DB50)))</f>
        <v>162.79999999999995</v>
      </c>
      <c r="CU51" s="17">
        <f>CT51*VLOOKUP('Données projet'!$B$13,Paramètres!$A$1:$I$89,3,0)*VLOOKUP('Données projet'!$B$13,Paramètres!$A$1:$I$89,5,0)</f>
        <v>142.22207999999998</v>
      </c>
      <c r="CV51" s="13">
        <f t="shared" si="41"/>
        <v>36.805585341198615</v>
      </c>
      <c r="CW51" s="20">
        <f t="shared" si="13"/>
        <v>311.8065171359209</v>
      </c>
      <c r="CX51" s="59">
        <f t="shared" si="14"/>
        <v>567.94079370044858</v>
      </c>
      <c r="CY51" s="59">
        <f ca="1">AVERAGE(OFFSET($CX$3,0,0,'Données projet'!$E$13+1,1))-AVERAGE(OFFSET($H$3,0,0,'Données projet'!$E$13+1,1))</f>
        <v>280.59827778697775</v>
      </c>
      <c r="CZ51" s="59">
        <f t="shared" si="42"/>
        <v>270.86588231964726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>
        <f>EXP(-LN(2)/35)*DF50+(1-EXP(-LN(2)/35))/(LN(2)/35)*DB51*DC51*VLOOKUP('Données projet'!$B$13,Paramètres!$A$1:$I$89,3,0)*0.475*44/12</f>
        <v>0</v>
      </c>
      <c r="DG51" s="21">
        <f>EXP(-LN(2)/25)*DG50+(1-EXP(-LN(2)/25))/(LN(2)/25)*Calculateur!DB51*Calculateur!DD51*VLOOKUP('Données projet'!$B$13,Paramètres!$A$1:$I$89,3,0)*0.475*44/12</f>
        <v>10.392855253865882</v>
      </c>
      <c r="DH51" s="21">
        <f>EXP(-LN(2)/2)*DH50+(1-EXP(-LN(2)/2))/(LN(2)/2)*DB51*DE51*VLOOKUP('Données projet'!$B$13,Paramètres!$A$1:$I$89,3,0)*0.475*44/12</f>
        <v>1.6398812965145038</v>
      </c>
      <c r="DI51" s="22">
        <f t="shared" si="15"/>
        <v>12.032736550380386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59.854802699416631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4.8717948717948731</v>
      </c>
      <c r="DO51" s="12">
        <f>IF('Données projet'!$A$166&gt;35,DO50+DN51-DW50,IF(A51&lt;'Données projet'!$A$166,$DL$205^A51,IF(A51='Données projet'!$A$166,'Données projet'!$B$166,DO50+DN51-DW50)))</f>
        <v>99.871794871794862</v>
      </c>
      <c r="DP51" s="17">
        <f>DO51*VLOOKUP('Données projet'!$B$14,Paramètres!$A$1:$I$89,3,0)*VLOOKUP('Données projet'!$B$14,Paramètres!$A$1:$I$89,5,0)</f>
        <v>66.993999999999986</v>
      </c>
      <c r="DQ51" s="13">
        <f t="shared" si="43"/>
        <v>18.925065618177005</v>
      </c>
      <c r="DR51" s="20">
        <f t="shared" si="16"/>
        <v>149.64237261832491</v>
      </c>
      <c r="DS51" s="59">
        <f t="shared" si="17"/>
        <v>405.77664918285257</v>
      </c>
      <c r="DT51" s="59">
        <f ca="1">AVERAGE(OFFSET($DS$3,0,0,'Données projet'!$E$14+1,1))-AVERAGE(OFFSET($H$3,0,0,'Données projet'!$E$14+1,1))</f>
        <v>211.42385430331873</v>
      </c>
      <c r="DU51" s="59">
        <f t="shared" si="44"/>
        <v>146.84623106782686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>
        <f>EXP(-LN(2)/35)*EA50+(1-EXP(-LN(2)/35))/(LN(2)/35)*DW51*DX51*VLOOKUP('Données projet'!$B$14,Paramètres!$A$1:$I$89,3,0)*0.475*44/12</f>
        <v>0</v>
      </c>
      <c r="EB51" s="21">
        <f>EXP(-LN(2)/25)*EB50+(1-EXP(-LN(2)/25))/(LN(2)/25)*Calculateur!DW51*Calculateur!DY51*VLOOKUP('Données projet'!$B$14,Paramètres!$A$1:$I$89,3,0)*0.475*44/12</f>
        <v>4.5110280491366819</v>
      </c>
      <c r="EC51" s="21">
        <f>EXP(-LN(2)/2)*EC50+(1-EXP(-LN(2)/2))/(LN(2)/2)*DW51*DZ51*VLOOKUP('Données projet'!$B$14,Paramètres!$A$1:$I$89,3,0)*0.475*44/12</f>
        <v>0.90511280356607848</v>
      </c>
      <c r="ED51" s="22">
        <f t="shared" si="18"/>
        <v>5.4161408527027604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59.854802699416631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2.5641025641025634</v>
      </c>
      <c r="EJ51" s="12">
        <f>IF('Données projet'!$A$192&gt;35,EJ50+EI51-ER50,IF(A51&lt;'Données projet'!$A$192,$EG$205^A51,IF(A51='Données projet'!$A$192,'Données projet'!$B$192,EJ50+EI51-ER50)))</f>
        <v>56.410256410256395</v>
      </c>
      <c r="EK51" s="17">
        <f>EJ51*VLOOKUP('Données projet'!$B$15,Paramètres!$A$1:$I$89,3,0)*VLOOKUP('Données projet'!$B$15,Paramètres!$A$1:$I$89,5,0)</f>
        <v>60.719999999999985</v>
      </c>
      <c r="EL51" s="13">
        <f t="shared" si="45"/>
        <v>17.350181030898838</v>
      </c>
      <c r="EM51" s="20">
        <f t="shared" si="19"/>
        <v>135.97223196214878</v>
      </c>
      <c r="EN51" s="59">
        <f t="shared" si="20"/>
        <v>392.10650852667646</v>
      </c>
      <c r="EO51" s="59">
        <f ca="1">AVERAGE(OFFSET($EN$3,0,0,'Données projet'!$E$15+1,1))-AVERAGE(OFFSET($H$3,0,0,'Données projet'!$E$15+1,1))</f>
        <v>212.00478362779876</v>
      </c>
      <c r="EP51" s="59">
        <f t="shared" si="46"/>
        <v>133.62262474506707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>
        <f>EXP(-LN(2)/35)*EV50+(1-EXP(-LN(2)/35))/(LN(2)/35)*ER51*ES51*VLOOKUP('Données projet'!$B$15,Paramètres!$A$1:$I$89,3,0)*0.475*44/12</f>
        <v>0</v>
      </c>
      <c r="EW51" s="21">
        <f>EXP(-LN(2)/25)*EW50+(1-EXP(-LN(2)/25))/(LN(2)/25)*Calculateur!ER51*Calculateur!ET51*VLOOKUP('Données projet'!$B$15,Paramètres!$A$1:$I$89,3,0)*0.475*44/12</f>
        <v>2.56305798631311</v>
      </c>
      <c r="EX51" s="21">
        <f>EXP(-LN(2)/2)*EX50+(1-EXP(-LN(2)/2))/(LN(2)/2)*ER51*EU51*VLOOKUP('Données projet'!$B$15,Paramètres!$A$1:$I$89,3,0)*0.475*44/12</f>
        <v>0.62867867479131923</v>
      </c>
      <c r="EY51" s="22">
        <f t="shared" si="21"/>
        <v>3.1917366611044291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59.854802699416631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2.5641025641025634</v>
      </c>
      <c r="FE51" s="12">
        <f>IF('Données projet'!$A$218&gt;35,FE50+FD51-FM50,IF(A51&lt;'Données projet'!$A$218,$FB$205^A51,IF(A51='Données projet'!$A$218,'Données projet'!$B$218,FE50+FD51-FM50)))</f>
        <v>56.410256410256395</v>
      </c>
      <c r="FF51" s="17">
        <f>FE51*VLOOKUP('Données projet'!$B$16,Paramètres!$A$1:$I$89,3,0)*VLOOKUP('Données projet'!$B$16,Paramètres!$A$1:$I$89,5,0)</f>
        <v>54.559999999999988</v>
      </c>
      <c r="FG51" s="13">
        <f t="shared" si="47"/>
        <v>15.785351276191415</v>
      </c>
      <c r="FH51" s="20">
        <f t="shared" si="22"/>
        <v>122.51815347270004</v>
      </c>
      <c r="FI51" s="59">
        <f t="shared" si="23"/>
        <v>378.6524300372277</v>
      </c>
      <c r="FJ51" s="59">
        <f ca="1">AVERAGE(OFFSET($FI$3,0,0,'Données projet'!$E$16+1,1))-AVERAGE(OFFSET($H$3,0,0,'Données projet'!$E$16+1,1))</f>
        <v>196.65742339093146</v>
      </c>
      <c r="FK51" s="59">
        <f t="shared" si="48"/>
        <v>125.41980634506001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>
        <f>EXP(-LN(2)/35)*FQ50+(1-EXP(-LN(2)/35))/(LN(2)/35)*FM51*FN51*VLOOKUP('Données projet'!$B$16,Paramètres!$A$1:$I$89,3,0)*0.475*44/12</f>
        <v>0</v>
      </c>
      <c r="FR51" s="21">
        <f>EXP(-LN(2)/25)*FR50+(1-EXP(-LN(2)/25))/(LN(2)/25)*Calculateur!FM51*Calculateur!FO51*VLOOKUP('Données projet'!$B$16,Paramètres!$A$1:$I$89,3,0)*0.475*44/12</f>
        <v>2.3030376108900414</v>
      </c>
      <c r="FS51" s="21">
        <f>EXP(-LN(2)/2)*FS50+(1-EXP(-LN(2)/2))/(LN(2)/2)*FM51*FP51*VLOOKUP('Données projet'!$B$16,Paramètres!$A$1:$I$89,3,0)*0.475*44/12</f>
        <v>0.56489967879799707</v>
      </c>
      <c r="FT51" s="22">
        <f t="shared" si="24"/>
        <v>2.8679372896880384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59.854802699416631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59.854802699416631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>
      <c r="A52" s="10">
        <f t="shared" si="31"/>
        <v>49</v>
      </c>
      <c r="B52" s="73">
        <f>'Scénario référence'!$B$16*5+'Scénario référence'!$B$17*0+'Scénario référence'!$B$18*5</f>
        <v>4.6999999999999993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2.614247999999999</v>
      </c>
      <c r="D52" s="11">
        <f t="shared" si="32"/>
        <v>1.0772578899734835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17.909083429742104</v>
      </c>
      <c r="H52" s="67">
        <f t="shared" si="1"/>
        <v>194.16270609170382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60.030799191318479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15.714444444444442</v>
      </c>
      <c r="N52" s="13">
        <f>IF('Données projet'!$A$36&gt;35,N51+M52-V51,IF(A52&lt;'Données projet'!$A$36,$K$205^A52,IF(A52='Données projet'!$A$36,'Données projet'!$B$36,N51+M52-V51)))</f>
        <v>354.29555555555561</v>
      </c>
      <c r="O52" s="13">
        <f>N52*VLOOKUP('Données projet'!$B$9,Paramètres!$A$1:$I$89,3,0)*VLOOKUP('Données projet'!$B$9,Paramètres!$A$1:$I$89,5,0)</f>
        <v>211.86874222222229</v>
      </c>
      <c r="P52" s="13">
        <f t="shared" si="33"/>
        <v>52.343742090960504</v>
      </c>
      <c r="Q52" s="20">
        <f t="shared" si="53"/>
        <v>460.17007684546002</v>
      </c>
      <c r="R52" s="59">
        <f t="shared" si="0"/>
        <v>716.94967388029443</v>
      </c>
      <c r="S52" s="59">
        <f ca="1">AVERAGE(OFFSET($R$3,0,0,'Données projet'!$E$9+1,1))-AVERAGE(OFFSET($H$3,0,0,'Données projet'!$E$9+1,1))</f>
        <v>366.93249569585623</v>
      </c>
      <c r="T52" s="59">
        <f t="shared" si="34"/>
        <v>272.47262353368501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21.412101925080528</v>
      </c>
      <c r="AA52" s="21">
        <f>EXP(-LN(2)/25)*AA51+(1-EXP(-LN(2)/25))/(LN(2)/25)*Calculateur!V52*Calculateur!X52*VLOOKUP('Données projet'!$B$9,Paramètres!$A$1:$I$89,3,0)*0.475*44/12</f>
        <v>14.357042983425142</v>
      </c>
      <c r="AB52" s="21">
        <f>EXP(-LN(2)/2)*AB51+(1-EXP(-LN(2)/2))/(LN(2)/2)*V52*Y52*VLOOKUP('Données projet'!$B$9,Paramètres!$A$1:$I$89,3,0)*0.475*44/12</f>
        <v>0.66736925532252034</v>
      </c>
      <c r="AC52" s="22">
        <f t="shared" si="3"/>
        <v>36.436514163828186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60.030799191318479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>
        <f>VLOOKUP(A52,'Données projet'!$A$61:$I$81,2,0)</f>
        <v>365.5</v>
      </c>
      <c r="AG52" s="12">
        <f>VLOOKUP(A52,'Données projet'!$A$61:$I$81,9,0)</f>
        <v>18.28142857142857</v>
      </c>
      <c r="AH52" s="12">
        <f t="array" ref="AH52">INDEX(AG:AG,MIN(IF(ISNUMBER(AG52:AG248),ROW(AG52:AG248),"")))</f>
        <v>18.28142857142857</v>
      </c>
      <c r="AI52" s="13">
        <f>IF('Données projet'!$A$62&gt;35,AI51+AH52-AQ51,IF(A52&lt;'Données projet'!$A$62,$AF$205^A52,IF(A52='Données projet'!$A$62,'Données projet'!$B$62,AI51+AH52-AQ51)))</f>
        <v>365.49999999999972</v>
      </c>
      <c r="AJ52" s="13">
        <f>AI52*VLOOKUP('Données projet'!$B$10,Paramètres!$A$1:$I$89,3,0)*VLOOKUP('Données projet'!$B$10,Paramètres!$A$1:$I$89,5,0)</f>
        <v>171.05399999999989</v>
      </c>
      <c r="AK52" s="13">
        <f t="shared" si="35"/>
        <v>43.325999538979005</v>
      </c>
      <c r="AL52" s="20">
        <f t="shared" si="4"/>
        <v>373.37849919705485</v>
      </c>
      <c r="AM52" s="59">
        <f t="shared" si="5"/>
        <v>630.1580962318892</v>
      </c>
      <c r="AN52" s="59">
        <f ca="1">AVERAGE(OFFSET($AM$3,0,0,'Données projet'!$E$10+1,1))-AVERAGE(OFFSET($H$3,0,0,'Données projet'!$E$10+1,1))</f>
        <v>382.89338473200229</v>
      </c>
      <c r="AO52" s="59">
        <f t="shared" si="36"/>
        <v>360.46248248971744</v>
      </c>
      <c r="AP52" s="15">
        <f>IF(ISNA(VLOOKUP(A52,'Données projet'!$A$61:$I$81,3,0)),0,VLOOKUP(A52,'Données projet'!$A$61:$I$81,3,0))</f>
        <v>2</v>
      </c>
      <c r="AQ52" s="15">
        <f>IF(ISNA(VLOOKUP(A52,'Données projet'!$A$61:$I$81,4,0)),0,VLOOKUP(A52,'Données projet'!$A$61:$I$81,4,0))</f>
        <v>101.22000000000003</v>
      </c>
      <c r="AR52" s="16">
        <f>IF(ISNA(VLOOKUP(A52,'Données projet'!$A$61:$I$81,5,0)),0%,VLOOKUP(A52,'Données projet'!$A$61:$I$81,5,0)*VLOOKUP('Données projet'!$B$10,Paramètres!$A$1:$I$89,7,0))</f>
        <v>0.33</v>
      </c>
      <c r="AS52" s="16">
        <f>IF(ISNA(VLOOKUP(A52,'Données projet'!$A$61:$I$81,6,0)),0%,VLOOKUP(A52,'Données projet'!$A$61:$I$81,6,0)*VLOOKUP('Données projet'!$B$10,Paramètres!$A$1:$I$89,7,0))</f>
        <v>0.11000000000000001</v>
      </c>
      <c r="AT52" s="16">
        <f>IF(ISNA(VLOOKUP(A52,'Données projet'!$A$61:$I$81,7,0)),0%,VLOOKUP(A52,'Données projet'!$A$61:$I$81,7,0))</f>
        <v>0.2</v>
      </c>
      <c r="AU52" s="21">
        <f>EXP(-LN(2)/35)*AU51+(1-EXP(-LN(2)/35))/(LN(2)/35)*AQ52*AR52*VLOOKUP('Données projet'!$B$10,Paramètres!$A$1:$I$89,3,0)*0.475*44/12</f>
        <v>53.763165155806192</v>
      </c>
      <c r="AV52" s="21">
        <f>EXP(-LN(2)/25)*AV51+(1-EXP(-LN(2)/25))/(LN(2)/25)*Calculateur!AQ52*Calculateur!AS52*VLOOKUP('Données projet'!$B$10,Paramètres!$A$1:$I$89,3,0)*0.475*44/12</f>
        <v>17.259002149559869</v>
      </c>
      <c r="AW52" s="21">
        <f>EXP(-LN(2)/2)*AW51+(1-EXP(-LN(2)/2))/(LN(2)/2)*AQ52*AT52*VLOOKUP('Données projet'!$B$10,Paramètres!$A$1:$I$89,3,0)*0.475*44/12</f>
        <v>12.461497060639143</v>
      </c>
      <c r="AX52" s="21">
        <f t="shared" si="6"/>
        <v>83.4836643660052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60.030799191318479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3.8461538461538454</v>
      </c>
      <c r="BD52" s="12">
        <f>IF('Données projet'!$A$88&gt;35,BD51+BC52-BL51,IF(A52&lt;'Données projet'!$A$88,$BA$205^A52,IF(A52='Données projet'!$A$88,'Données projet'!$B$88,BD51+BC52-BL51)))</f>
        <v>107.05128205128203</v>
      </c>
      <c r="BE52" s="13">
        <f>BD52*VLOOKUP('Données projet'!$B$11,Paramètres!$A$1:$I$89,3,0)*VLOOKUP('Données projet'!$B$11,Paramètres!$A$1:$I$89,5,0)</f>
        <v>93.52</v>
      </c>
      <c r="BF52" s="13">
        <f t="shared" si="37"/>
        <v>25.412259377583936</v>
      </c>
      <c r="BG52" s="20">
        <f t="shared" si="7"/>
        <v>207.14035174929199</v>
      </c>
      <c r="BH52" s="59">
        <f t="shared" si="8"/>
        <v>463.9199487841264</v>
      </c>
      <c r="BI52" s="59">
        <f ca="1">AVERAGE(OFFSET($BH$3,0,0,'Données projet'!$E$11+1,1))-AVERAGE(OFFSET($H$3,0,0,'Données projet'!$E$11+1,1))</f>
        <v>225.75484198243581</v>
      </c>
      <c r="BJ52" s="59">
        <f t="shared" si="38"/>
        <v>199.49566488421061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0</v>
      </c>
      <c r="BQ52" s="21">
        <f>EXP(-LN(2)/25)*BQ51+(1-EXP(-LN(2)/25))/(LN(2)/25)*Calculateur!BL52*Calculateur!BN52*VLOOKUP('Données projet'!$B$11,Paramètres!$A$1:$I$89,3,0)*0.475*44/12</f>
        <v>10.700051775713076</v>
      </c>
      <c r="BR52" s="21">
        <f>EXP(-LN(2)/2)*BR51+(1-EXP(-LN(2)/2))/(LN(2)/2)*BL52*BO52*VLOOKUP('Données projet'!$B$11,Paramètres!$A$1:$I$89,3,0)*0.475*44/12</f>
        <v>0</v>
      </c>
      <c r="BS52" s="22">
        <f t="shared" si="9"/>
        <v>10.700051775713076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60.030799191318479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8.1999999999999993</v>
      </c>
      <c r="BY52" s="12">
        <f>IF('Données projet'!$A$114&gt;35,BY51+BX52-CG51,IF(A52&lt;'Données projet'!$A$114,$BV$205^A52,IF(A52='Données projet'!$A$114,'Données projet'!$B$114,BY51+BX52-CG51)))</f>
        <v>169.8</v>
      </c>
      <c r="BZ52" s="13">
        <f>BY52*VLOOKUP('Données projet'!$B$12,Paramètres!$A$1:$I$89,3,0)*VLOOKUP('Données projet'!$B$12,Paramètres!$A$1:$I$89,5,0)</f>
        <v>161.58168000000001</v>
      </c>
      <c r="CA52" s="13">
        <f t="shared" si="39"/>
        <v>41.199063244334951</v>
      </c>
      <c r="CB52" s="20">
        <f t="shared" si="10"/>
        <v>353.17646115055004</v>
      </c>
      <c r="CC52" s="59">
        <f t="shared" si="11"/>
        <v>609.95605818538445</v>
      </c>
      <c r="CD52" s="59">
        <f ca="1">AVERAGE(OFFSET($CC$3,0,0,'Données projet'!$E$12+1,1))-AVERAGE(OFFSET($H$3,0,0,'Données projet'!$E$12+1,1))</f>
        <v>413.9352601863377</v>
      </c>
      <c r="CE52" s="59">
        <f t="shared" si="40"/>
        <v>255.13997349799286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0</v>
      </c>
      <c r="CL52" s="21">
        <f>EXP(-LN(2)/25)*CL51+(1-EXP(-LN(2)/25))/(LN(2)/25)*Calculateur!CG52*Calculateur!CI52*VLOOKUP('Données projet'!$B$12,Paramètres!$A$1:$I$89,3,0)*0.475*44/12</f>
        <v>7.4247573656161228</v>
      </c>
      <c r="CM52" s="21">
        <f>EXP(-LN(2)/2)*CM51+(1-EXP(-LN(2)/2))/(LN(2)/2)*CG52*CJ52*VLOOKUP('Données projet'!$B$12,Paramètres!$A$1:$I$89,3,0)*0.475*44/12</f>
        <v>1.4305372643984366</v>
      </c>
      <c r="CN52" s="22">
        <f t="shared" si="12"/>
        <v>8.8552946300145585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60.030799191318479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5.6</v>
      </c>
      <c r="CT52" s="12">
        <f>IF('Données projet'!$A$140&gt;35,CT51+CS52-DB51,IF(A52&lt;'Données projet'!$A$140,$CQ$205^A52,IF(A52='Données projet'!$A$140,'Données projet'!$B$140,CT51+CS52-DB51)))</f>
        <v>168.39999999999995</v>
      </c>
      <c r="CU52" s="17">
        <f>CT52*VLOOKUP('Données projet'!$B$13,Paramètres!$A$1:$I$89,3,0)*VLOOKUP('Données projet'!$B$13,Paramètres!$A$1:$I$89,5,0)</f>
        <v>147.11423999999997</v>
      </c>
      <c r="CV52" s="13">
        <f t="shared" si="41"/>
        <v>37.922046712608186</v>
      </c>
      <c r="CW52" s="20">
        <f t="shared" si="13"/>
        <v>322.27153269112586</v>
      </c>
      <c r="CX52" s="59">
        <f t="shared" si="14"/>
        <v>579.05112972596021</v>
      </c>
      <c r="CY52" s="59">
        <f ca="1">AVERAGE(OFFSET($CX$3,0,0,'Données projet'!$E$13+1,1))-AVERAGE(OFFSET($H$3,0,0,'Données projet'!$E$13+1,1))</f>
        <v>280.59827778697775</v>
      </c>
      <c r="CZ52" s="59">
        <f t="shared" si="42"/>
        <v>270.86588231964726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>
        <f>EXP(-LN(2)/35)*DF51+(1-EXP(-LN(2)/35))/(LN(2)/35)*DB52*DC52*VLOOKUP('Données projet'!$B$13,Paramètres!$A$1:$I$89,3,0)*0.475*44/12</f>
        <v>0</v>
      </c>
      <c r="DG52" s="21">
        <f>EXP(-LN(2)/25)*DG51+(1-EXP(-LN(2)/25))/(LN(2)/25)*Calculateur!DB52*Calculateur!DD52*VLOOKUP('Données projet'!$B$13,Paramètres!$A$1:$I$89,3,0)*0.475*44/12</f>
        <v>10.108662080412415</v>
      </c>
      <c r="DH52" s="21">
        <f>EXP(-LN(2)/2)*DH51+(1-EXP(-LN(2)/2))/(LN(2)/2)*DB52*DE52*VLOOKUP('Données projet'!$B$13,Paramètres!$A$1:$I$89,3,0)*0.475*44/12</f>
        <v>1.1595711851063932</v>
      </c>
      <c r="DI52" s="22">
        <f t="shared" si="15"/>
        <v>11.268233265518809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60.030799191318479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4.8717948717948731</v>
      </c>
      <c r="DO52" s="12">
        <f>IF('Données projet'!$A$166&gt;35,DO51+DN52-DW51,IF(A52&lt;'Données projet'!$A$166,$DL$205^A52,IF(A52='Données projet'!$A$166,'Données projet'!$B$166,DO51+DN52-DW51)))</f>
        <v>104.74358974358974</v>
      </c>
      <c r="DP52" s="17">
        <f>DO52*VLOOKUP('Données projet'!$B$14,Paramètres!$A$1:$I$89,3,0)*VLOOKUP('Données projet'!$B$14,Paramètres!$A$1:$I$89,5,0)</f>
        <v>70.262</v>
      </c>
      <c r="DQ52" s="13">
        <f t="shared" si="43"/>
        <v>19.738507251987695</v>
      </c>
      <c r="DR52" s="20">
        <f t="shared" si="16"/>
        <v>156.75088346387858</v>
      </c>
      <c r="DS52" s="59">
        <f t="shared" si="17"/>
        <v>413.53048049871302</v>
      </c>
      <c r="DT52" s="59">
        <f ca="1">AVERAGE(OFFSET($DS$3,0,0,'Données projet'!$E$14+1,1))-AVERAGE(OFFSET($H$3,0,0,'Données projet'!$E$14+1,1))</f>
        <v>211.42385430331873</v>
      </c>
      <c r="DU52" s="59">
        <f t="shared" si="44"/>
        <v>146.84623106782686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>
        <f>EXP(-LN(2)/35)*EA51+(1-EXP(-LN(2)/35))/(LN(2)/35)*DW52*DX52*VLOOKUP('Données projet'!$B$14,Paramètres!$A$1:$I$89,3,0)*0.475*44/12</f>
        <v>0</v>
      </c>
      <c r="EB52" s="21">
        <f>EXP(-LN(2)/25)*EB51+(1-EXP(-LN(2)/25))/(LN(2)/25)*Calculateur!DW52*Calculateur!DY52*VLOOKUP('Données projet'!$B$14,Paramètres!$A$1:$I$89,3,0)*0.475*44/12</f>
        <v>4.3876737499083847</v>
      </c>
      <c r="EC52" s="21">
        <f>EXP(-LN(2)/2)*EC51+(1-EXP(-LN(2)/2))/(LN(2)/2)*DW52*DZ52*VLOOKUP('Données projet'!$B$14,Paramètres!$A$1:$I$89,3,0)*0.475*44/12</f>
        <v>0.64001140114034172</v>
      </c>
      <c r="ED52" s="22">
        <f t="shared" si="18"/>
        <v>5.0276851510487264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60.030799191318479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2.5641025641025634</v>
      </c>
      <c r="EJ52" s="12">
        <f>IF('Données projet'!$A$192&gt;35,EJ51+EI52-ER51,IF(A52&lt;'Données projet'!$A$192,$EG$205^A52,IF(A52='Données projet'!$A$192,'Données projet'!$B$192,EJ51+EI52-ER51)))</f>
        <v>58.974358974358957</v>
      </c>
      <c r="EK52" s="17">
        <f>EJ52*VLOOKUP('Données projet'!$B$15,Paramètres!$A$1:$I$89,3,0)*VLOOKUP('Données projet'!$B$15,Paramètres!$A$1:$I$89,5,0)</f>
        <v>63.479999999999983</v>
      </c>
      <c r="EL52" s="13">
        <f t="shared" si="45"/>
        <v>18.045214370619362</v>
      </c>
      <c r="EM52" s="20">
        <f t="shared" si="19"/>
        <v>141.98974836216203</v>
      </c>
      <c r="EN52" s="59">
        <f t="shared" si="20"/>
        <v>398.76934539699641</v>
      </c>
      <c r="EO52" s="59">
        <f ca="1">AVERAGE(OFFSET($EN$3,0,0,'Données projet'!$E$15+1,1))-AVERAGE(OFFSET($H$3,0,0,'Données projet'!$E$15+1,1))</f>
        <v>212.00478362779876</v>
      </c>
      <c r="EP52" s="59">
        <f t="shared" si="46"/>
        <v>133.62262474506707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>
        <f>EXP(-LN(2)/35)*EV51+(1-EXP(-LN(2)/35))/(LN(2)/35)*ER52*ES52*VLOOKUP('Données projet'!$B$15,Paramètres!$A$1:$I$89,3,0)*0.475*44/12</f>
        <v>0</v>
      </c>
      <c r="EW52" s="21">
        <f>EXP(-LN(2)/25)*EW51+(1-EXP(-LN(2)/25))/(LN(2)/25)*Calculateur!ER52*Calculateur!ET52*VLOOKUP('Données projet'!$B$15,Paramètres!$A$1:$I$89,3,0)*0.475*44/12</f>
        <v>2.4929710308920163</v>
      </c>
      <c r="EX52" s="21">
        <f>EXP(-LN(2)/2)*EX51+(1-EXP(-LN(2)/2))/(LN(2)/2)*ER52*EU52*VLOOKUP('Données projet'!$B$15,Paramètres!$A$1:$I$89,3,0)*0.475*44/12</f>
        <v>0.44454295413231404</v>
      </c>
      <c r="EY52" s="22">
        <f t="shared" si="21"/>
        <v>2.9375139850243306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60.030799191318479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2.5641025641025634</v>
      </c>
      <c r="FE52" s="12">
        <f>IF('Données projet'!$A$218&gt;35,FE51+FD52-FM51,IF(A52&lt;'Données projet'!$A$218,$FB$205^A52,IF(A52='Données projet'!$A$218,'Données projet'!$B$218,FE51+FD52-FM51)))</f>
        <v>58.974358974358957</v>
      </c>
      <c r="FF52" s="17">
        <f>FE52*VLOOKUP('Données projet'!$B$16,Paramètres!$A$1:$I$89,3,0)*VLOOKUP('Données projet'!$B$16,Paramètres!$A$1:$I$89,5,0)</f>
        <v>57.039999999999985</v>
      </c>
      <c r="FG52" s="13">
        <f t="shared" si="47"/>
        <v>16.417698880900208</v>
      </c>
      <c r="FH52" s="20">
        <f t="shared" si="22"/>
        <v>127.93882555090117</v>
      </c>
      <c r="FI52" s="59">
        <f t="shared" si="23"/>
        <v>384.7184225857356</v>
      </c>
      <c r="FJ52" s="59">
        <f ca="1">AVERAGE(OFFSET($FI$3,0,0,'Données projet'!$E$16+1,1))-AVERAGE(OFFSET($H$3,0,0,'Données projet'!$E$16+1,1))</f>
        <v>196.65742339093146</v>
      </c>
      <c r="FK52" s="59">
        <f t="shared" si="48"/>
        <v>125.41980634506001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>
        <f>EXP(-LN(2)/35)*FQ51+(1-EXP(-LN(2)/35))/(LN(2)/35)*FM52*FN52*VLOOKUP('Données projet'!$B$16,Paramètres!$A$1:$I$89,3,0)*0.475*44/12</f>
        <v>0</v>
      </c>
      <c r="FR52" s="21">
        <f>EXP(-LN(2)/25)*FR51+(1-EXP(-LN(2)/25))/(LN(2)/25)*Calculateur!FM52*Calculateur!FO52*VLOOKUP('Données projet'!$B$16,Paramètres!$A$1:$I$89,3,0)*0.475*44/12</f>
        <v>2.240060926308769</v>
      </c>
      <c r="FS52" s="21">
        <f>EXP(-LN(2)/2)*FS51+(1-EXP(-LN(2)/2))/(LN(2)/2)*FM52*FP52*VLOOKUP('Données projet'!$B$16,Paramètres!$A$1:$I$89,3,0)*0.475*44/12</f>
        <v>0.3994443935681663</v>
      </c>
      <c r="FT52" s="22">
        <f t="shared" si="24"/>
        <v>2.6395053198769354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60.030799191318479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60.030799191318479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>
      <c r="A53" s="10">
        <f t="shared" si="31"/>
        <v>50</v>
      </c>
      <c r="B53" s="73">
        <f>'Scénario référence'!$B$16*5+'Scénario référence'!$B$17*0+'Scénario référence'!$B$18*5</f>
        <v>4.6999999999999993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2.6675999999999989</v>
      </c>
      <c r="D53" s="11">
        <f t="shared" si="32"/>
        <v>1.096660808008362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17.942780444410889</v>
      </c>
      <c r="H53" s="67">
        <f t="shared" si="1"/>
        <v>194.28942090728125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60.203742537555058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370.01</v>
      </c>
      <c r="L53" s="12">
        <f>VLOOKUP(A53,'Données projet'!$A$35:$I$55,9,0)</f>
        <v>15.714444444444442</v>
      </c>
      <c r="M53" s="12">
        <f t="array" ref="M53">INDEX(L:L,MIN(IF(ISNUMBER(L53:L249),ROW(L53:L249),"")))</f>
        <v>15.714444444444442</v>
      </c>
      <c r="N53" s="13">
        <f>IF('Données projet'!$A$36&gt;35,N52+M53-V52,IF(A53&lt;'Données projet'!$A$36,$K$205^A53,IF(A53='Données projet'!$A$36,'Données projet'!$B$36,N52+M53-V52)))</f>
        <v>370.01000000000005</v>
      </c>
      <c r="O53" s="13">
        <f>N53*VLOOKUP('Données projet'!$B$9,Paramètres!$A$1:$I$89,3,0)*VLOOKUP('Données projet'!$B$9,Paramètres!$A$1:$I$89,5,0)</f>
        <v>221.26598000000004</v>
      </c>
      <c r="P53" s="13">
        <f t="shared" si="33"/>
        <v>54.389948263584252</v>
      </c>
      <c r="Q53" s="20">
        <f t="shared" si="53"/>
        <v>480.10074172574264</v>
      </c>
      <c r="R53" s="59">
        <f t="shared" si="0"/>
        <v>737.51446436344452</v>
      </c>
      <c r="S53" s="59">
        <f ca="1">AVERAGE(OFFSET($R$3,0,0,'Données projet'!$E$9+1,1))-AVERAGE(OFFSET($H$3,0,0,'Données projet'!$E$9+1,1))</f>
        <v>366.93249569585623</v>
      </c>
      <c r="T53" s="59">
        <f t="shared" si="34"/>
        <v>272.47262353368501</v>
      </c>
      <c r="U53" s="15">
        <f>IF(ISNA(VLOOKUP(A53,'Données projet'!$A$35:$I$55,3,0)),0,VLOOKUP(A53,'Données projet'!$A$35:$I$55,3,0))</f>
        <v>5</v>
      </c>
      <c r="V53" s="15">
        <f>IF(ISNA(VLOOKUP(A53,'Données projet'!$A$35:$I$55,4,0)),0,VLOOKUP(A53,'Données projet'!$A$35:$I$55,4,0))</f>
        <v>70.20999999999998</v>
      </c>
      <c r="W53" s="16">
        <f>IF(ISNA(VLOOKUP(A53,'Données projet'!$A$35:$I$55,5,0)),0%,VLOOKUP(A53,'Données projet'!$A$35:$I$55,5,0)*VLOOKUP('Données projet'!$B$9,Paramètres!$A$1:$I$89,7,0))</f>
        <v>0.27</v>
      </c>
      <c r="X53" s="16">
        <f>IF(ISNA(VLOOKUP(A53,'Données projet'!$A$35:$I$55,6,0)),0%,VLOOKUP(A53,'Données projet'!$A$35:$I$55,6,0)*VLOOKUP('Données projet'!$B$9,Paramètres!$A$1:$I$89,7,0))</f>
        <v>9.0000000000000011E-2</v>
      </c>
      <c r="Y53" s="16">
        <f>IF(ISNA(VLOOKUP(A53,'Données projet'!$A$35:$I$55,7,0)),0%,VLOOKUP(A53,'Données projet'!$A$35:$I$55,7,0))</f>
        <v>0.2</v>
      </c>
      <c r="Z53" s="21">
        <f>EXP(-LN(2)/35)*Z52+(1-EXP(-LN(2)/35))/(LN(2)/35)*V53*W53*VLOOKUP('Données projet'!$B$9,Paramètres!$A$1:$I$89,3,0)*0.475*44/12</f>
        <v>36.030299745055871</v>
      </c>
      <c r="AA53" s="21">
        <f>EXP(-LN(2)/25)*AA52+(1-EXP(-LN(2)/25))/(LN(2)/25)*Calculateur!V53*Calculateur!X53*VLOOKUP('Données projet'!$B$9,Paramètres!$A$1:$I$89,3,0)*0.475*44/12</f>
        <v>18.9574040357579</v>
      </c>
      <c r="AB53" s="21">
        <f>EXP(-LN(2)/2)*AB52+(1-EXP(-LN(2)/2))/(LN(2)/2)*V53*Y53*VLOOKUP('Données projet'!$B$9,Paramètres!$A$1:$I$89,3,0)*0.475*44/12</f>
        <v>9.9793872672702157</v>
      </c>
      <c r="AC53" s="22">
        <f t="shared" si="3"/>
        <v>64.967091048083986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60.203742537555058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17.124285714285715</v>
      </c>
      <c r="AI53" s="13">
        <f>IF('Données projet'!$A$62&gt;35,AI52+AH53-AQ52,IF(A53&lt;'Données projet'!$A$62,$AF$205^A53,IF(A53='Données projet'!$A$62,'Données projet'!$B$62,AI52+AH53-AQ52)))</f>
        <v>281.40428571428538</v>
      </c>
      <c r="AJ53" s="13">
        <f>AI53*VLOOKUP('Données projet'!$B$10,Paramètres!$A$1:$I$89,3,0)*VLOOKUP('Données projet'!$B$10,Paramètres!$A$1:$I$89,5,0)</f>
        <v>131.69720571428556</v>
      </c>
      <c r="AK53" s="13">
        <f t="shared" si="35"/>
        <v>34.388237195240038</v>
      </c>
      <c r="AL53" s="20">
        <f t="shared" si="4"/>
        <v>289.26547973409038</v>
      </c>
      <c r="AM53" s="59">
        <f t="shared" si="5"/>
        <v>546.67920237179226</v>
      </c>
      <c r="AN53" s="59">
        <f ca="1">AVERAGE(OFFSET($AM$3,0,0,'Données projet'!$E$10+1,1))-AVERAGE(OFFSET($H$3,0,0,'Données projet'!$E$10+1,1))</f>
        <v>382.89338473200229</v>
      </c>
      <c r="AO53" s="59">
        <f t="shared" si="36"/>
        <v>360.46248248971744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52.708902279393605</v>
      </c>
      <c r="AV53" s="21">
        <f>EXP(-LN(2)/25)*AV52+(1-EXP(-LN(2)/25))/(LN(2)/25)*Calculateur!AQ53*Calculateur!AS53*VLOOKUP('Données projet'!$B$10,Paramètres!$A$1:$I$89,3,0)*0.475*44/12</f>
        <v>16.787053828168677</v>
      </c>
      <c r="AW53" s="21">
        <f>EXP(-LN(2)/2)*AW52+(1-EXP(-LN(2)/2))/(LN(2)/2)*AQ53*AT53*VLOOKUP('Données projet'!$B$10,Paramètres!$A$1:$I$89,3,0)*0.475*44/12</f>
        <v>8.811609075314168</v>
      </c>
      <c r="AX53" s="21">
        <f t="shared" si="6"/>
        <v>78.307565182876445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60.203742537555058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110.89743589743588</v>
      </c>
      <c r="BB53" s="12">
        <f>VLOOKUP(A53,'Données projet'!$A$87:$I$107,9,0)</f>
        <v>3.8461538461538454</v>
      </c>
      <c r="BC53" s="12">
        <f t="array" ref="BC53">INDEX(BB:BB,MIN(IF(ISNUMBER(BB53:BB249),ROW(BB53:BB249),"")))</f>
        <v>3.8461538461538454</v>
      </c>
      <c r="BD53" s="12">
        <f>IF('Données projet'!$A$88&gt;35,BD52+BC53-BL52,IF(A53&lt;'Données projet'!$A$88,$BA$205^A53,IF(A53='Données projet'!$A$88,'Données projet'!$B$88,BD52+BC53-BL52)))</f>
        <v>110.89743589743587</v>
      </c>
      <c r="BE53" s="13">
        <f>BD53*VLOOKUP('Données projet'!$B$11,Paramètres!$A$1:$I$89,3,0)*VLOOKUP('Données projet'!$B$11,Paramètres!$A$1:$I$89,5,0)</f>
        <v>96.88</v>
      </c>
      <c r="BF53" s="13">
        <f t="shared" si="37"/>
        <v>26.217334929013017</v>
      </c>
      <c r="BG53" s="20">
        <f t="shared" si="7"/>
        <v>214.39452500136431</v>
      </c>
      <c r="BH53" s="59">
        <f t="shared" si="8"/>
        <v>471.80824763906617</v>
      </c>
      <c r="BI53" s="59">
        <f ca="1">AVERAGE(OFFSET($BH$3,0,0,'Données projet'!$E$11+1,1))-AVERAGE(OFFSET($H$3,0,0,'Données projet'!$E$11+1,1))</f>
        <v>225.75484198243581</v>
      </c>
      <c r="BJ53" s="59">
        <f t="shared" si="38"/>
        <v>199.49566488421061</v>
      </c>
      <c r="BK53" s="15">
        <f>IF(ISNA(VLOOKUP(A53,'Données projet'!$A$87:$I$107,3,0)),0,VLOOKUP(A53,'Données projet'!$A$87:$I$107,3,0))</f>
        <v>7</v>
      </c>
      <c r="BL53" s="15">
        <f>IF(ISNA(VLOOKUP(A53,'Données projet'!$A$87:$I$107,4,0)),0,VLOOKUP(A53,'Données projet'!$A$87:$I$107,4,0))</f>
        <v>11.538461538461538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0.215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0</v>
      </c>
      <c r="BQ53" s="21">
        <f>EXP(-LN(2)/25)*BQ52+(1-EXP(-LN(2)/25))/(LN(2)/25)*Calculateur!BL53*Calculateur!BN53*VLOOKUP('Données projet'!$B$11,Paramètres!$A$1:$I$89,3,0)*0.475*44/12</f>
        <v>12.793800623101264</v>
      </c>
      <c r="BR53" s="21">
        <f>EXP(-LN(2)/2)*BR52+(1-EXP(-LN(2)/2))/(LN(2)/2)*BL53*BO53*VLOOKUP('Données projet'!$B$11,Paramètres!$A$1:$I$89,3,0)*0.475*44/12</f>
        <v>0</v>
      </c>
      <c r="BS53" s="22">
        <f t="shared" si="9"/>
        <v>12.793800623101264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60.203742537555058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>
        <f>VLOOKUP(A53,'Données projet'!$A$113:$I$133,2,0)</f>
        <v>178</v>
      </c>
      <c r="BW53" s="12">
        <f>VLOOKUP(A53,'Données projet'!$A$113:$I$133,9,0)</f>
        <v>8.1999999999999993</v>
      </c>
      <c r="BX53" s="12">
        <f t="array" ref="BX53">INDEX(BW:BW,MIN(IF(ISNUMBER(BW53:BW249),ROW(BW53:BW249),"")))</f>
        <v>8.1999999999999993</v>
      </c>
      <c r="BY53" s="12">
        <f>IF('Données projet'!$A$114&gt;35,BY52+BX53-CG52,IF(A53&lt;'Données projet'!$A$114,$BV$205^A53,IF(A53='Données projet'!$A$114,'Données projet'!$B$114,BY52+BX53-CG52)))</f>
        <v>178</v>
      </c>
      <c r="BZ53" s="13">
        <f>BY53*VLOOKUP('Données projet'!$B$12,Paramètres!$A$1:$I$89,3,0)*VLOOKUP('Données projet'!$B$12,Paramètres!$A$1:$I$89,5,0)</f>
        <v>169.38480000000001</v>
      </c>
      <c r="CA53" s="13">
        <f t="shared" si="39"/>
        <v>42.952210191662466</v>
      </c>
      <c r="CB53" s="20">
        <f t="shared" si="10"/>
        <v>369.82029275047876</v>
      </c>
      <c r="CC53" s="59">
        <f t="shared" si="11"/>
        <v>627.23401538818064</v>
      </c>
      <c r="CD53" s="59">
        <f ca="1">AVERAGE(OFFSET($CC$3,0,0,'Données projet'!$E$12+1,1))-AVERAGE(OFFSET($H$3,0,0,'Données projet'!$E$12+1,1))</f>
        <v>413.9352601863377</v>
      </c>
      <c r="CE53" s="59">
        <f t="shared" si="40"/>
        <v>255.13997349799286</v>
      </c>
      <c r="CF53" s="15">
        <f>IF(ISNA(VLOOKUP(A53,'Données projet'!$A$113:$I$133,3,0)),0,VLOOKUP(A53,'Données projet'!$A$113:$I$133,3,0))</f>
        <v>6</v>
      </c>
      <c r="CG53" s="15">
        <f>IF(ISNA(VLOOKUP(A53,'Données projet'!$A$113:$I$133,4,0)),0,VLOOKUP(A53,'Données projet'!$A$113:$I$133,4,0))</f>
        <v>21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0.1075</v>
      </c>
      <c r="CJ53" s="16">
        <f>IF(ISNA(VLOOKUP(A53,'Données projet'!$A$113:$I$133,7,0)),0%,VLOOKUP(A53,'Données projet'!$A$113:$I$133,7,0))</f>
        <v>0.25</v>
      </c>
      <c r="CK53" s="21">
        <f>EXP(-LN(2)/35)*CK52+(1-EXP(-LN(2)/35))/(LN(2)/35)*CG53*CH53*VLOOKUP('Données projet'!$B$12,Paramètres!$A$1:$I$89,3,0)*0.475*44/12</f>
        <v>0</v>
      </c>
      <c r="CL53" s="21">
        <f>EXP(-LN(2)/25)*CL52+(1-EXP(-LN(2)/25))/(LN(2)/25)*Calculateur!CG53*Calculateur!CI53*VLOOKUP('Données projet'!$B$12,Paramètres!$A$1:$I$89,3,0)*0.475*44/12</f>
        <v>9.5871888155371519</v>
      </c>
      <c r="CM53" s="21">
        <f>EXP(-LN(2)/2)*CM52+(1-EXP(-LN(2)/2))/(LN(2)/2)*CG53*CJ53*VLOOKUP('Données projet'!$B$12,Paramètres!$A$1:$I$89,3,0)*0.475*44/12</f>
        <v>5.7253087130732467</v>
      </c>
      <c r="CN53" s="22">
        <f t="shared" si="12"/>
        <v>15.312497528610399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60.203742537555058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>
        <f>VLOOKUP(A53,'Données projet'!$A$139:$I$159,2,0)</f>
        <v>174</v>
      </c>
      <c r="CR53" s="12">
        <f>VLOOKUP(A53,'Données projet'!$A$139:$I$159,9,0)</f>
        <v>5.6</v>
      </c>
      <c r="CS53" s="12">
        <f t="array" ref="CS53">INDEX(CR:CR,MIN(IF(ISNUMBER(CR53:CR249),ROW(CR53:CR249),"")))</f>
        <v>5.6</v>
      </c>
      <c r="CT53" s="12">
        <f>IF('Données projet'!$A$140&gt;35,CT52+CS53-DB52,IF(A53&lt;'Données projet'!$A$140,$CQ$205^A53,IF(A53='Données projet'!$A$140,'Données projet'!$B$140,CT52+CS53-DB52)))</f>
        <v>173.99999999999994</v>
      </c>
      <c r="CU53" s="17">
        <f>CT53*VLOOKUP('Données projet'!$B$13,Paramètres!$A$1:$I$89,3,0)*VLOOKUP('Données projet'!$B$13,Paramètres!$A$1:$I$89,5,0)</f>
        <v>152.00639999999999</v>
      </c>
      <c r="CV53" s="13">
        <f t="shared" si="41"/>
        <v>39.03419401656145</v>
      </c>
      <c r="CW53" s="20">
        <f t="shared" si="13"/>
        <v>332.72903457884451</v>
      </c>
      <c r="CX53" s="59">
        <f t="shared" si="14"/>
        <v>590.14275721654644</v>
      </c>
      <c r="CY53" s="59">
        <f ca="1">AVERAGE(OFFSET($CX$3,0,0,'Données projet'!$E$13+1,1))-AVERAGE(OFFSET($H$3,0,0,'Données projet'!$E$13+1,1))</f>
        <v>280.59827778697775</v>
      </c>
      <c r="CZ53" s="59">
        <f t="shared" si="42"/>
        <v>270.86588231964726</v>
      </c>
      <c r="DA53" s="15">
        <f>IF(ISNA(VLOOKUP(A53,'Données projet'!$A$139:$I$159,3,0)),0,VLOOKUP(A53,'Données projet'!$A$139:$I$159,3,0))</f>
        <v>7</v>
      </c>
      <c r="DB53" s="15">
        <f>IF(ISNA(VLOOKUP(A53,'Données projet'!$A$139:$I$159,4,0)),0,VLOOKUP(A53,'Données projet'!$A$139:$I$159,4,0))</f>
        <v>13</v>
      </c>
      <c r="DC53" s="16">
        <f>IF(ISNA(VLOOKUP(A53,'Données projet'!$A$139:$I$159,5,0)),0%,VLOOKUP(A53,'Données projet'!$A$139:$I$159,5,0)*VLOOKUP('Données projet'!$B$13,Paramètres!$A$1:$I$89,7,0))</f>
        <v>0.13250000000000001</v>
      </c>
      <c r="DD53" s="16">
        <f>IF(ISNA(VLOOKUP(A53,'Données projet'!$A$139:$I$159,6,0)),0%,VLOOKUP(A53,'Données projet'!$A$139:$I$159,6,0)*VLOOKUP('Données projet'!$B$13,Paramètres!$A$1:$I$89,7,0))</f>
        <v>0.13250000000000001</v>
      </c>
      <c r="DE53" s="16">
        <f>IF(ISNA(VLOOKUP(A53,'Données projet'!$A$139:$I$159,7,0)),0%,VLOOKUP(A53,'Données projet'!$A$139:$I$159,7,0))</f>
        <v>0.25</v>
      </c>
      <c r="DF53" s="21">
        <f>EXP(-LN(2)/35)*DF52+(1-EXP(-LN(2)/35))/(LN(2)/35)*DB53*DC53*VLOOKUP('Données projet'!$B$13,Paramètres!$A$1:$I$89,3,0)*0.475*44/12</f>
        <v>1.6634852958320749</v>
      </c>
      <c r="DG53" s="21">
        <f>EXP(-LN(2)/25)*DG52+(1-EXP(-LN(2)/25))/(LN(2)/25)*Calculateur!DB53*Calculateur!DD53*VLOOKUP('Données projet'!$B$13,Paramètres!$A$1:$I$89,3,0)*0.475*44/12</f>
        <v>11.489175704616896</v>
      </c>
      <c r="DH53" s="21">
        <f>EXP(-LN(2)/2)*DH52+(1-EXP(-LN(2)/2))/(LN(2)/2)*DB53*DE53*VLOOKUP('Données projet'!$B$13,Paramètres!$A$1:$I$89,3,0)*0.475*44/12</f>
        <v>3.4988022642048704</v>
      </c>
      <c r="DI53" s="22">
        <f t="shared" si="15"/>
        <v>16.651463264653842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60.203742537555058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>
        <f>VLOOKUP(A53,'Données projet'!$A$165:$I$185,2,0)</f>
        <v>109.61538461538461</v>
      </c>
      <c r="DM53" s="12">
        <f>VLOOKUP(A53,'Données projet'!$A$165:$I$185,9,0)</f>
        <v>4.8717948717948731</v>
      </c>
      <c r="DN53" s="12">
        <f t="array" ref="DN53">INDEX(DM:DM,MIN(IF(ISNUMBER(DM53:DM249),ROW(DM53:DM249),"")))</f>
        <v>4.8717948717948731</v>
      </c>
      <c r="DO53" s="12">
        <f>IF('Données projet'!$A$166&gt;35,DO52+DN53-DW52,IF(A53&lt;'Données projet'!$A$166,$DL$205^A53,IF(A53='Données projet'!$A$166,'Données projet'!$B$166,DO52+DN53-DW52)))</f>
        <v>109.61538461538461</v>
      </c>
      <c r="DP53" s="17">
        <f>DO53*VLOOKUP('Données projet'!$B$14,Paramètres!$A$1:$I$89,3,0)*VLOOKUP('Données projet'!$B$14,Paramètres!$A$1:$I$89,5,0)</f>
        <v>73.53</v>
      </c>
      <c r="DQ53" s="13">
        <f t="shared" si="43"/>
        <v>20.547555177775536</v>
      </c>
      <c r="DR53" s="20">
        <f t="shared" si="16"/>
        <v>163.85174193462572</v>
      </c>
      <c r="DS53" s="59">
        <f t="shared" si="17"/>
        <v>421.26546457232757</v>
      </c>
      <c r="DT53" s="59">
        <f ca="1">AVERAGE(OFFSET($DS$3,0,0,'Données projet'!$E$14+1,1))-AVERAGE(OFFSET($H$3,0,0,'Données projet'!$E$14+1,1))</f>
        <v>211.42385430331873</v>
      </c>
      <c r="DU53" s="59">
        <f t="shared" si="44"/>
        <v>146.84623106782686</v>
      </c>
      <c r="DV53" s="15">
        <f>IF(ISNA(VLOOKUP(A53,'Données projet'!$A$165:$I$185,3,0)),0,VLOOKUP(A53,'Données projet'!$A$165:$I$185,3,0))</f>
        <v>7</v>
      </c>
      <c r="DW53" s="15">
        <f>IF(ISNA(VLOOKUP(A53,'Données projet'!$A$165:$I$185,4,0)),0,VLOOKUP(A53,'Données projet'!$A$165:$I$185,4,0))</f>
        <v>14.102564102564102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0.13250000000000001</v>
      </c>
      <c r="DZ53" s="16">
        <f>IF(ISNA(VLOOKUP(A53,'Données projet'!$A$165:$I$185,7,0)),0%,VLOOKUP(A53,'Données projet'!$A$165:$I$185,7,0))</f>
        <v>0.25</v>
      </c>
      <c r="EA53" s="21">
        <f>EXP(-LN(2)/35)*EA52+(1-EXP(-LN(2)/35))/(LN(2)/35)*DW53*DX53*VLOOKUP('Données projet'!$B$14,Paramètres!$A$1:$I$89,3,0)*0.475*44/12</f>
        <v>0</v>
      </c>
      <c r="EB53" s="21">
        <f>EXP(-LN(2)/25)*EB52+(1-EXP(-LN(2)/25))/(LN(2)/25)*Calculateur!DW53*Calculateur!DY53*VLOOKUP('Données projet'!$B$14,Paramètres!$A$1:$I$89,3,0)*0.475*44/12</f>
        <v>5.6478885884077084</v>
      </c>
      <c r="EC53" s="21">
        <f>EXP(-LN(2)/2)*EC52+(1-EXP(-LN(2)/2))/(LN(2)/2)*DW53*DZ53*VLOOKUP('Données projet'!$B$14,Paramètres!$A$1:$I$89,3,0)*0.475*44/12</f>
        <v>2.6839975548247827</v>
      </c>
      <c r="ED53" s="22">
        <f t="shared" si="18"/>
        <v>8.3318861432324915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60.203742537555058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>
        <f>VLOOKUP(A53,'Données projet'!$A$191:$I$211,2,0)</f>
        <v>61.538461538461533</v>
      </c>
      <c r="EH53" s="12">
        <f>VLOOKUP(A53,'Données projet'!$A$191:$I$211,9,0)</f>
        <v>2.5641025641025634</v>
      </c>
      <c r="EI53" s="12">
        <f t="array" ref="EI53">INDEX(EH:EH,MIN(IF(ISNUMBER(EH53:EH249),ROW(EH53:EH249),"")))</f>
        <v>2.5641025641025634</v>
      </c>
      <c r="EJ53" s="12">
        <f>IF('Données projet'!$A$192&gt;35,EJ52+EI53-ER52,IF(A53&lt;'Données projet'!$A$192,$EG$205^A53,IF(A53='Données projet'!$A$192,'Données projet'!$B$192,EJ52+EI53-ER52)))</f>
        <v>61.538461538461519</v>
      </c>
      <c r="EK53" s="17">
        <f>EJ53*VLOOKUP('Données projet'!$B$15,Paramètres!$A$1:$I$89,3,0)*VLOOKUP('Données projet'!$B$15,Paramètres!$A$1:$I$89,5,0)</f>
        <v>66.239999999999981</v>
      </c>
      <c r="EL53" s="13">
        <f t="shared" si="45"/>
        <v>18.736737955287808</v>
      </c>
      <c r="EM53" s="20">
        <f t="shared" si="19"/>
        <v>148.0011519387929</v>
      </c>
      <c r="EN53" s="59">
        <f t="shared" si="20"/>
        <v>405.41487457649475</v>
      </c>
      <c r="EO53" s="59">
        <f ca="1">AVERAGE(OFFSET($EN$3,0,0,'Données projet'!$E$15+1,1))-AVERAGE(OFFSET($H$3,0,0,'Données projet'!$E$15+1,1))</f>
        <v>212.00478362779876</v>
      </c>
      <c r="EP53" s="59">
        <f t="shared" si="46"/>
        <v>133.62262474506707</v>
      </c>
      <c r="EQ53" s="15">
        <f>IF(ISNA(VLOOKUP(A53,'Données projet'!$A$191:$I$211,3,0)),0,VLOOKUP(A53,'Données projet'!$A$191:$I$211,3,0))</f>
        <v>6</v>
      </c>
      <c r="ER53" s="15">
        <f>IF(ISNA(VLOOKUP(A53,'Données projet'!$A$191:$I$211,4,0)),0,VLOOKUP(A53,'Données projet'!$A$191:$I$211,4,0))</f>
        <v>6.4102564102564097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0.1075</v>
      </c>
      <c r="EU53" s="16">
        <f>IF(ISNA(VLOOKUP(A53,'Données projet'!$A$191:$I$211,7,0)),0%,VLOOKUP(A53,'Données projet'!$A$191:$I$211,7,0))</f>
        <v>0.25</v>
      </c>
      <c r="EV53" s="21">
        <f>EXP(-LN(2)/35)*EV52+(1-EXP(-LN(2)/35))/(LN(2)/35)*ER53*ES53*VLOOKUP('Données projet'!$B$15,Paramètres!$A$1:$I$89,3,0)*0.475*44/12</f>
        <v>0</v>
      </c>
      <c r="EW53" s="21">
        <f>EXP(-LN(2)/25)*EW52+(1-EXP(-LN(2)/25))/(LN(2)/25)*Calculateur!ER53*Calculateur!ET53*VLOOKUP('Données projet'!$B$15,Paramètres!$A$1:$I$89,3,0)*0.475*44/12</f>
        <v>3.2415546768244341</v>
      </c>
      <c r="EX53" s="21">
        <f>EXP(-LN(2)/2)*EX52+(1-EXP(-LN(2)/2))/(LN(2)/2)*ER53*EU53*VLOOKUP('Données projet'!$B$15,Paramètres!$A$1:$I$89,3,0)*0.475*44/12</f>
        <v>1.9419232650899538</v>
      </c>
      <c r="EY53" s="22">
        <f t="shared" si="21"/>
        <v>5.1834779419143882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60.203742537555058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>
        <f>VLOOKUP(A53,'Données projet'!$A$217:$I$237,2,0)</f>
        <v>61.538461538461533</v>
      </c>
      <c r="FC53" s="12">
        <f>VLOOKUP(A53,'Données projet'!$A$217:$I$237,9,0)</f>
        <v>2.5641025641025634</v>
      </c>
      <c r="FD53" s="12">
        <f t="array" ref="FD53">INDEX(FC:FC,MIN(IF(ISNUMBER(FC53:FC249),ROW(FC53:FC249),"")))</f>
        <v>2.5641025641025634</v>
      </c>
      <c r="FE53" s="12">
        <f>IF('Données projet'!$A$218&gt;35,FE52+FD53-FM52,IF(A53&lt;'Données projet'!$A$218,$FB$205^A53,IF(A53='Données projet'!$A$218,'Données projet'!$B$218,FE52+FD53-FM52)))</f>
        <v>61.538461538461519</v>
      </c>
      <c r="FF53" s="17">
        <f>FE53*VLOOKUP('Données projet'!$B$16,Paramètres!$A$1:$I$89,3,0)*VLOOKUP('Données projet'!$B$16,Paramètres!$A$1:$I$89,5,0)</f>
        <v>59.519999999999982</v>
      </c>
      <c r="FG53" s="13">
        <f t="shared" si="47"/>
        <v>17.046853278789335</v>
      </c>
      <c r="FH53" s="20">
        <f t="shared" si="22"/>
        <v>133.35393612722473</v>
      </c>
      <c r="FI53" s="59">
        <f t="shared" si="23"/>
        <v>390.76765876492664</v>
      </c>
      <c r="FJ53" s="59">
        <f ca="1">AVERAGE(OFFSET($FI$3,0,0,'Données projet'!$E$16+1,1))-AVERAGE(OFFSET($H$3,0,0,'Données projet'!$E$16+1,1))</f>
        <v>196.65742339093146</v>
      </c>
      <c r="FK53" s="59">
        <f t="shared" si="48"/>
        <v>125.41980634506001</v>
      </c>
      <c r="FL53" s="15">
        <f>IF(ISNA(VLOOKUP(A53,'Données projet'!$A$217:$I$237,3,0)),0,VLOOKUP(A53,'Données projet'!$A$217:$I$237,3,0))</f>
        <v>6</v>
      </c>
      <c r="FM53" s="15">
        <f>IF(ISNA(VLOOKUP(A53,'Données projet'!$A$217:$I$237,4,0)),0,VLOOKUP(A53,'Données projet'!$A$217:$I$237,4,0))</f>
        <v>6.4102564102564097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0.1075</v>
      </c>
      <c r="FP53" s="16">
        <f>IF(ISNA(VLOOKUP(A53,'Données projet'!$A$217:$I$237,7,0)),0%,VLOOKUP(A53,'Données projet'!$A$217:$I$237,7,0))</f>
        <v>0.25</v>
      </c>
      <c r="FQ53" s="21">
        <f>EXP(-LN(2)/35)*FQ52+(1-EXP(-LN(2)/35))/(LN(2)/35)*FM53*FN53*VLOOKUP('Données projet'!$B$16,Paramètres!$A$1:$I$89,3,0)*0.475*44/12</f>
        <v>0</v>
      </c>
      <c r="FR53" s="21">
        <f>EXP(-LN(2)/25)*FR52+(1-EXP(-LN(2)/25))/(LN(2)/25)*Calculateur!FM53*Calculateur!FO53*VLOOKUP('Données projet'!$B$16,Paramètres!$A$1:$I$89,3,0)*0.475*44/12</f>
        <v>2.9127013038132605</v>
      </c>
      <c r="FS53" s="21">
        <f>EXP(-LN(2)/2)*FS52+(1-EXP(-LN(2)/2))/(LN(2)/2)*FM53*FP53*VLOOKUP('Données projet'!$B$16,Paramètres!$A$1:$I$89,3,0)*0.475*44/12</f>
        <v>1.7449165570373499</v>
      </c>
      <c r="FT53" s="22">
        <f t="shared" si="24"/>
        <v>4.6576178608506105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60.203742537555058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60.203742537555058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>
      <c r="A54" s="10">
        <f t="shared" si="31"/>
        <v>51</v>
      </c>
      <c r="B54" s="73">
        <f>'Scénario référence'!$B$16*5+'Scénario référence'!$B$17*0+'Scénario référence'!$B$18*5</f>
        <v>4.6999999999999993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2.7209519999999987</v>
      </c>
      <c r="D54" s="11">
        <f t="shared" si="32"/>
        <v>1.1160186054074355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17.976456561100985</v>
      </c>
      <c r="H54" s="67">
        <f t="shared" si="1"/>
        <v>194.4160571377513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60.373685703377816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14.113999999999999</v>
      </c>
      <c r="N54" s="13">
        <f>IF('Données projet'!$A$36&gt;35,N53+M54-V53,IF(A54&lt;'Données projet'!$A$36,$K$205^A54,IF(A54='Données projet'!$A$36,'Données projet'!$B$36,N53+M54-V53)))</f>
        <v>313.91400000000004</v>
      </c>
      <c r="O54" s="13">
        <f>N54*VLOOKUP('Données projet'!$B$9,Paramètres!$A$1:$I$89,3,0)*VLOOKUP('Données projet'!$B$9,Paramètres!$A$1:$I$89,5,0)</f>
        <v>187.72057200000006</v>
      </c>
      <c r="P54" s="13">
        <f t="shared" si="33"/>
        <v>47.035650233472225</v>
      </c>
      <c r="Q54" s="20">
        <f t="shared" si="53"/>
        <v>408.86708705663085</v>
      </c>
      <c r="R54" s="59">
        <f t="shared" si="0"/>
        <v>666.90393463568284</v>
      </c>
      <c r="S54" s="59">
        <f ca="1">AVERAGE(OFFSET($R$3,0,0,'Données projet'!$E$9+1,1))-AVERAGE(OFFSET($H$3,0,0,'Données projet'!$E$9+1,1))</f>
        <v>366.93249569585623</v>
      </c>
      <c r="T54" s="59">
        <f t="shared" si="34"/>
        <v>272.47262353368501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35.323767543368191</v>
      </c>
      <c r="AA54" s="21">
        <f>EXP(-LN(2)/25)*AA53+(1-EXP(-LN(2)/25))/(LN(2)/25)*Calculateur!V54*Calculateur!X54*VLOOKUP('Données projet'!$B$9,Paramètres!$A$1:$I$89,3,0)*0.475*44/12</f>
        <v>18.439012825473551</v>
      </c>
      <c r="AB54" s="21">
        <f>EXP(-LN(2)/2)*AB53+(1-EXP(-LN(2)/2))/(LN(2)/2)*V54*Y54*VLOOKUP('Données projet'!$B$9,Paramètres!$A$1:$I$89,3,0)*0.475*44/12</f>
        <v>7.0564924087734591</v>
      </c>
      <c r="AC54" s="22">
        <f t="shared" si="3"/>
        <v>60.819272777615204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60.373685703377816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17.124285714285715</v>
      </c>
      <c r="AI54" s="13">
        <f>IF('Données projet'!$A$62&gt;35,AI53+AH54-AQ53,IF(A54&lt;'Données projet'!$A$62,$AF$205^A54,IF(A54='Données projet'!$A$62,'Données projet'!$B$62,AI53+AH54-AQ53)))</f>
        <v>298.52857142857107</v>
      </c>
      <c r="AJ54" s="13">
        <f>AI54*VLOOKUP('Données projet'!$B$10,Paramètres!$A$1:$I$89,3,0)*VLOOKUP('Données projet'!$B$10,Paramètres!$A$1:$I$89,5,0)</f>
        <v>139.71137142857125</v>
      </c>
      <c r="AK54" s="13">
        <f t="shared" si="35"/>
        <v>36.230876802623818</v>
      </c>
      <c r="AL54" s="20">
        <f t="shared" si="4"/>
        <v>306.43274900266471</v>
      </c>
      <c r="AM54" s="59">
        <f t="shared" si="5"/>
        <v>564.4695965817167</v>
      </c>
      <c r="AN54" s="59">
        <f ca="1">AVERAGE(OFFSET($AM$3,0,0,'Données projet'!$E$10+1,1))-AVERAGE(OFFSET($H$3,0,0,'Données projet'!$E$10+1,1))</f>
        <v>382.89338473200229</v>
      </c>
      <c r="AO54" s="59">
        <f t="shared" si="36"/>
        <v>360.46248248971744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51.675312854950612</v>
      </c>
      <c r="AV54" s="21">
        <f>EXP(-LN(2)/25)*AV53+(1-EXP(-LN(2)/25))/(LN(2)/25)*Calculateur!AQ54*Calculateur!AS54*VLOOKUP('Données projet'!$B$10,Paramètres!$A$1:$I$89,3,0)*0.475*44/12</f>
        <v>16.328010958444612</v>
      </c>
      <c r="AW54" s="21">
        <f>EXP(-LN(2)/2)*AW53+(1-EXP(-LN(2)/2))/(LN(2)/2)*AQ54*AT54*VLOOKUP('Données projet'!$B$10,Paramètres!$A$1:$I$89,3,0)*0.475*44/12</f>
        <v>6.2307485303195724</v>
      </c>
      <c r="AX54" s="21">
        <f t="shared" si="6"/>
        <v>74.2340723437148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60.373685703377816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3.3333333333333344</v>
      </c>
      <c r="BD54" s="12">
        <f>IF('Données projet'!$A$88&gt;35,BD53+BC54-BL53,IF(A54&lt;'Données projet'!$A$88,$BA$205^A54,IF(A54='Données projet'!$A$88,'Données projet'!$B$88,BD53+BC54-BL53)))</f>
        <v>102.69230769230766</v>
      </c>
      <c r="BE54" s="13">
        <f>BD54*VLOOKUP('Données projet'!$B$11,Paramètres!$A$1:$I$89,3,0)*VLOOKUP('Données projet'!$B$11,Paramètres!$A$1:$I$89,5,0)</f>
        <v>89.711999999999989</v>
      </c>
      <c r="BF54" s="13">
        <f t="shared" si="37"/>
        <v>24.495753377522256</v>
      </c>
      <c r="BG54" s="20">
        <f t="shared" si="7"/>
        <v>198.91183713251789</v>
      </c>
      <c r="BH54" s="59">
        <f t="shared" si="8"/>
        <v>456.94868471156985</v>
      </c>
      <c r="BI54" s="59">
        <f ca="1">AVERAGE(OFFSET($BH$3,0,0,'Données projet'!$E$11+1,1))-AVERAGE(OFFSET($H$3,0,0,'Données projet'!$E$11+1,1))</f>
        <v>225.75484198243581</v>
      </c>
      <c r="BJ54" s="59">
        <f t="shared" si="38"/>
        <v>199.49566488421061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0</v>
      </c>
      <c r="BQ54" s="21">
        <f>EXP(-LN(2)/25)*BQ53+(1-EXP(-LN(2)/25))/(LN(2)/25)*Calculateur!BL54*Calculateur!BN54*VLOOKUP('Données projet'!$B$11,Paramètres!$A$1:$I$89,3,0)*0.475*44/12</f>
        <v>12.443953472265825</v>
      </c>
      <c r="BR54" s="21">
        <f>EXP(-LN(2)/2)*BR53+(1-EXP(-LN(2)/2))/(LN(2)/2)*BL54*BO54*VLOOKUP('Données projet'!$B$11,Paramètres!$A$1:$I$89,3,0)*0.475*44/12</f>
        <v>0</v>
      </c>
      <c r="BS54" s="22">
        <f t="shared" si="9"/>
        <v>12.443953472265825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60.373685703377816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8</v>
      </c>
      <c r="BY54" s="12">
        <f>IF('Données projet'!$A$114&gt;35,BY53+BX54-CG53,IF(A54&lt;'Données projet'!$A$114,$BV$205^A54,IF(A54='Données projet'!$A$114,'Données projet'!$B$114,BY53+BX54-CG53)))</f>
        <v>165</v>
      </c>
      <c r="BZ54" s="13">
        <f>BY54*VLOOKUP('Données projet'!$B$12,Paramètres!$A$1:$I$89,3,0)*VLOOKUP('Données projet'!$B$12,Paramètres!$A$1:$I$89,5,0)</f>
        <v>157.01399999999998</v>
      </c>
      <c r="CA54" s="13">
        <f t="shared" si="39"/>
        <v>40.168278112836184</v>
      </c>
      <c r="CB54" s="20">
        <f t="shared" si="10"/>
        <v>343.42580104652302</v>
      </c>
      <c r="CC54" s="59">
        <f t="shared" si="11"/>
        <v>601.46264862557496</v>
      </c>
      <c r="CD54" s="59">
        <f ca="1">AVERAGE(OFFSET($CC$3,0,0,'Données projet'!$E$12+1,1))-AVERAGE(OFFSET($H$3,0,0,'Données projet'!$E$12+1,1))</f>
        <v>413.9352601863377</v>
      </c>
      <c r="CE54" s="59">
        <f t="shared" si="40"/>
        <v>255.13997349799286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0</v>
      </c>
      <c r="CL54" s="21">
        <f>EXP(-LN(2)/25)*CL53+(1-EXP(-LN(2)/25))/(LN(2)/25)*Calculateur!CG54*Calculateur!CI54*VLOOKUP('Données projet'!$B$12,Paramètres!$A$1:$I$89,3,0)*0.475*44/12</f>
        <v>9.3250266332079406</v>
      </c>
      <c r="CM54" s="21">
        <f>EXP(-LN(2)/2)*CM53+(1-EXP(-LN(2)/2))/(LN(2)/2)*CG54*CJ54*VLOOKUP('Données projet'!$B$12,Paramètres!$A$1:$I$89,3,0)*0.475*44/12</f>
        <v>4.0484046154005187</v>
      </c>
      <c r="CN54" s="22">
        <f t="shared" si="12"/>
        <v>13.373431248608458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60.373685703377816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4.8</v>
      </c>
      <c r="CT54" s="12">
        <f>IF('Données projet'!$A$140&gt;35,CT53+CS54-DB53,IF(A54&lt;'Données projet'!$A$140,$CQ$205^A54,IF(A54='Données projet'!$A$140,'Données projet'!$B$140,CT53+CS54-DB53)))</f>
        <v>165.79999999999995</v>
      </c>
      <c r="CU54" s="17">
        <f>CT54*VLOOKUP('Données projet'!$B$13,Paramètres!$A$1:$I$89,3,0)*VLOOKUP('Données projet'!$B$13,Paramètres!$A$1:$I$89,5,0)</f>
        <v>144.84287999999998</v>
      </c>
      <c r="CV54" s="13">
        <f t="shared" si="41"/>
        <v>37.40423595784457</v>
      </c>
      <c r="CW54" s="20">
        <f t="shared" si="13"/>
        <v>317.41372695991259</v>
      </c>
      <c r="CX54" s="59">
        <f t="shared" si="14"/>
        <v>575.45057453896459</v>
      </c>
      <c r="CY54" s="59">
        <f ca="1">AVERAGE(OFFSET($CX$3,0,0,'Données projet'!$E$13+1,1))-AVERAGE(OFFSET($H$3,0,0,'Données projet'!$E$13+1,1))</f>
        <v>280.59827778697775</v>
      </c>
      <c r="CZ54" s="59">
        <f t="shared" si="42"/>
        <v>270.86588231964726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>
        <f>EXP(-LN(2)/35)*DF53+(1-EXP(-LN(2)/35))/(LN(2)/35)*DB54*DC54*VLOOKUP('Données projet'!$B$13,Paramètres!$A$1:$I$89,3,0)*0.475*44/12</f>
        <v>1.6308653638066524</v>
      </c>
      <c r="DG54" s="21">
        <f>EXP(-LN(2)/25)*DG53+(1-EXP(-LN(2)/25))/(LN(2)/25)*Calculateur!DB54*Calculateur!DD54*VLOOKUP('Données projet'!$B$13,Paramètres!$A$1:$I$89,3,0)*0.475*44/12</f>
        <v>11.175003590784655</v>
      </c>
      <c r="DH54" s="21">
        <f>EXP(-LN(2)/2)*DH53+(1-EXP(-LN(2)/2))/(LN(2)/2)*DB54*DE54*VLOOKUP('Données projet'!$B$13,Paramètres!$A$1:$I$89,3,0)*0.475*44/12</f>
        <v>2.4740268070501106</v>
      </c>
      <c r="DI54" s="22">
        <f t="shared" si="15"/>
        <v>15.279895761641418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60.373685703377816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4.6153846153846159</v>
      </c>
      <c r="DO54" s="12">
        <f>IF('Données projet'!$A$166&gt;35,DO53+DN54-DW53,IF(A54&lt;'Données projet'!$A$166,$DL$205^A54,IF(A54='Données projet'!$A$166,'Données projet'!$B$166,DO53+DN54-DW53)))</f>
        <v>100.12820512820512</v>
      </c>
      <c r="DP54" s="17">
        <f>DO54*VLOOKUP('Données projet'!$B$14,Paramètres!$A$1:$I$89,3,0)*VLOOKUP('Données projet'!$B$14,Paramètres!$A$1:$I$89,5,0)</f>
        <v>67.165999999999997</v>
      </c>
      <c r="DQ54" s="13">
        <f t="shared" si="43"/>
        <v>18.967991655907035</v>
      </c>
      <c r="DR54" s="20">
        <f t="shared" si="16"/>
        <v>150.01670213403807</v>
      </c>
      <c r="DS54" s="59">
        <f t="shared" si="17"/>
        <v>408.05354971309009</v>
      </c>
      <c r="DT54" s="59">
        <f ca="1">AVERAGE(OFFSET($DS$3,0,0,'Données projet'!$E$14+1,1))-AVERAGE(OFFSET($H$3,0,0,'Données projet'!$E$14+1,1))</f>
        <v>211.42385430331873</v>
      </c>
      <c r="DU54" s="59">
        <f t="shared" si="44"/>
        <v>146.84623106782686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>
        <f>EXP(-LN(2)/35)*EA53+(1-EXP(-LN(2)/35))/(LN(2)/35)*DW54*DX54*VLOOKUP('Données projet'!$B$14,Paramètres!$A$1:$I$89,3,0)*0.475*44/12</f>
        <v>0</v>
      </c>
      <c r="EB54" s="21">
        <f>EXP(-LN(2)/25)*EB53+(1-EXP(-LN(2)/25))/(LN(2)/25)*Calculateur!DW54*Calculateur!DY54*VLOOKUP('Données projet'!$B$14,Paramètres!$A$1:$I$89,3,0)*0.475*44/12</f>
        <v>5.4934467779481473</v>
      </c>
      <c r="EC54" s="21">
        <f>EXP(-LN(2)/2)*EC53+(1-EXP(-LN(2)/2))/(LN(2)/2)*DW54*DZ54*VLOOKUP('Données projet'!$B$14,Paramètres!$A$1:$I$89,3,0)*0.475*44/12</f>
        <v>1.8978728717047164</v>
      </c>
      <c r="ED54" s="22">
        <f t="shared" si="18"/>
        <v>7.3913196496528641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60.373685703377816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2.5641025641025634</v>
      </c>
      <c r="EJ54" s="12">
        <f>IF('Données projet'!$A$192&gt;35,EJ53+EI54-ER53,IF(A54&lt;'Données projet'!$A$192,$EG$205^A54,IF(A54='Données projet'!$A$192,'Données projet'!$B$192,EJ53+EI54-ER53)))</f>
        <v>57.692307692307679</v>
      </c>
      <c r="EK54" s="17">
        <f>EJ54*VLOOKUP('Données projet'!$B$15,Paramètres!$A$1:$I$89,3,0)*VLOOKUP('Données projet'!$B$15,Paramètres!$A$1:$I$89,5,0)</f>
        <v>62.09999999999998</v>
      </c>
      <c r="EL54" s="13">
        <f t="shared" si="45"/>
        <v>17.698147194554668</v>
      </c>
      <c r="EM54" s="20">
        <f t="shared" si="19"/>
        <v>138.981773030516</v>
      </c>
      <c r="EN54" s="59">
        <f t="shared" si="20"/>
        <v>397.01862060956796</v>
      </c>
      <c r="EO54" s="59">
        <f ca="1">AVERAGE(OFFSET($EN$3,0,0,'Données projet'!$E$15+1,1))-AVERAGE(OFFSET($H$3,0,0,'Données projet'!$E$15+1,1))</f>
        <v>212.00478362779876</v>
      </c>
      <c r="EP54" s="59">
        <f t="shared" si="46"/>
        <v>133.62262474506707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>
        <f>EXP(-LN(2)/35)*EV53+(1-EXP(-LN(2)/35))/(LN(2)/35)*ER54*ES54*VLOOKUP('Données projet'!$B$15,Paramètres!$A$1:$I$89,3,0)*0.475*44/12</f>
        <v>0</v>
      </c>
      <c r="EW54" s="21">
        <f>EXP(-LN(2)/25)*EW53+(1-EXP(-LN(2)/25))/(LN(2)/25)*Calculateur!ER54*Calculateur!ET54*VLOOKUP('Données projet'!$B$15,Paramètres!$A$1:$I$89,3,0)*0.475*44/12</f>
        <v>3.1529141937207181</v>
      </c>
      <c r="EX54" s="21">
        <f>EXP(-LN(2)/2)*EX53+(1-EXP(-LN(2)/2))/(LN(2)/2)*ER54*EU54*VLOOKUP('Données projet'!$B$15,Paramètres!$A$1:$I$89,3,0)*0.475*44/12</f>
        <v>1.3731471092890279</v>
      </c>
      <c r="EY54" s="22">
        <f t="shared" si="21"/>
        <v>4.5260613030097456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60.373685703377816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2.5641025641025634</v>
      </c>
      <c r="FE54" s="12">
        <f>IF('Données projet'!$A$218&gt;35,FE53+FD54-FM53,IF(A54&lt;'Données projet'!$A$218,$FB$205^A54,IF(A54='Données projet'!$A$218,'Données projet'!$B$218,FE53+FD54-FM53)))</f>
        <v>57.692307692307679</v>
      </c>
      <c r="FF54" s="17">
        <f>FE54*VLOOKUP('Données projet'!$B$16,Paramètres!$A$1:$I$89,3,0)*VLOOKUP('Données projet'!$B$16,Paramètres!$A$1:$I$89,5,0)</f>
        <v>55.79999999999999</v>
      </c>
      <c r="FG54" s="13">
        <f t="shared" si="47"/>
        <v>16.101934032057411</v>
      </c>
      <c r="FH54" s="20">
        <f t="shared" si="22"/>
        <v>125.22920177249996</v>
      </c>
      <c r="FI54" s="59">
        <f t="shared" si="23"/>
        <v>383.26604935155194</v>
      </c>
      <c r="FJ54" s="59">
        <f ca="1">AVERAGE(OFFSET($FI$3,0,0,'Données projet'!$E$16+1,1))-AVERAGE(OFFSET($H$3,0,0,'Données projet'!$E$16+1,1))</f>
        <v>196.65742339093146</v>
      </c>
      <c r="FK54" s="59">
        <f t="shared" si="48"/>
        <v>125.41980634506001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>
        <f>EXP(-LN(2)/35)*FQ53+(1-EXP(-LN(2)/35))/(LN(2)/35)*FM54*FN54*VLOOKUP('Données projet'!$B$16,Paramètres!$A$1:$I$89,3,0)*0.475*44/12</f>
        <v>0</v>
      </c>
      <c r="FR54" s="21">
        <f>EXP(-LN(2)/25)*FR53+(1-EXP(-LN(2)/25))/(LN(2)/25)*Calculateur!FM54*Calculateur!FO54*VLOOKUP('Données projet'!$B$16,Paramètres!$A$1:$I$89,3,0)*0.475*44/12</f>
        <v>2.8330533334881824</v>
      </c>
      <c r="FS54" s="21">
        <f>EXP(-LN(2)/2)*FS53+(1-EXP(-LN(2)/2))/(LN(2)/2)*FM54*FP54*VLOOKUP('Données projet'!$B$16,Paramètres!$A$1:$I$89,3,0)*0.475*44/12</f>
        <v>1.2338423300857932</v>
      </c>
      <c r="FT54" s="22">
        <f t="shared" si="24"/>
        <v>4.0668956635739759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60.373685703377816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60.373685703377816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>
      <c r="A55" s="10">
        <f t="shared" si="31"/>
        <v>52</v>
      </c>
      <c r="B55" s="73">
        <f>'Scénario référence'!$B$16*5+'Scénario référence'!$B$17*0+'Scénario référence'!$B$18*5</f>
        <v>4.6999999999999993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2.7743039999999985</v>
      </c>
      <c r="D55" s="11">
        <f t="shared" si="32"/>
        <v>1.1353322688715686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18.010112236810688</v>
      </c>
      <c r="H55" s="67">
        <f t="shared" si="1"/>
        <v>194.542616501618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60.540680735209556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14.113999999999999</v>
      </c>
      <c r="N55" s="13">
        <f>IF('Données projet'!$A$36&gt;35,N54+M55-V54,IF(A55&lt;'Données projet'!$A$36,$K$205^A55,IF(A55='Données projet'!$A$36,'Données projet'!$B$36,N54+M55-V54)))</f>
        <v>328.02800000000002</v>
      </c>
      <c r="O55" s="13">
        <f>N55*VLOOKUP('Données projet'!$B$9,Paramètres!$A$1:$I$89,3,0)*VLOOKUP('Données projet'!$B$9,Paramètres!$A$1:$I$89,5,0)</f>
        <v>196.16074400000002</v>
      </c>
      <c r="P55" s="13">
        <f t="shared" si="33"/>
        <v>48.899465996260361</v>
      </c>
      <c r="Q55" s="20">
        <f t="shared" si="53"/>
        <v>426.81319907682013</v>
      </c>
      <c r="R55" s="59">
        <f t="shared" si="0"/>
        <v>685.46236177258845</v>
      </c>
      <c r="S55" s="59">
        <f ca="1">AVERAGE(OFFSET($R$3,0,0,'Données projet'!$E$9+1,1))-AVERAGE(OFFSET($H$3,0,0,'Données projet'!$E$9+1,1))</f>
        <v>366.93249569585623</v>
      </c>
      <c r="T55" s="59">
        <f t="shared" si="34"/>
        <v>272.47262353368501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34.631090007213515</v>
      </c>
      <c r="AA55" s="21">
        <f>EXP(-LN(2)/25)*AA54+(1-EXP(-LN(2)/25))/(LN(2)/25)*Calculateur!V55*Calculateur!X55*VLOOKUP('Données projet'!$B$9,Paramètres!$A$1:$I$89,3,0)*0.475*44/12</f>
        <v>17.934797050095433</v>
      </c>
      <c r="AB55" s="21">
        <f>EXP(-LN(2)/2)*AB54+(1-EXP(-LN(2)/2))/(LN(2)/2)*V55*Y55*VLOOKUP('Données projet'!$B$9,Paramètres!$A$1:$I$89,3,0)*0.475*44/12</f>
        <v>4.9896936336351088</v>
      </c>
      <c r="AC55" s="22">
        <f t="shared" si="3"/>
        <v>57.555580690944055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60.540680735209556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17.124285714285715</v>
      </c>
      <c r="AI55" s="13">
        <f>IF('Données projet'!$A$62&gt;35,AI54+AH55-AQ54,IF(A55&lt;'Données projet'!$A$62,$AF$205^A55,IF(A55='Données projet'!$A$62,'Données projet'!$B$62,AI54+AH55-AQ54)))</f>
        <v>315.65285714285676</v>
      </c>
      <c r="AJ55" s="13">
        <f>AI55*VLOOKUP('Données projet'!$B$10,Paramètres!$A$1:$I$89,3,0)*VLOOKUP('Données projet'!$B$10,Paramètres!$A$1:$I$89,5,0)</f>
        <v>147.72553714285698</v>
      </c>
      <c r="AK55" s="13">
        <f t="shared" si="35"/>
        <v>38.061247038135996</v>
      </c>
      <c r="AL55" s="20">
        <f t="shared" si="4"/>
        <v>323.57864911522944</v>
      </c>
      <c r="AM55" s="59">
        <f t="shared" si="5"/>
        <v>582.22781181099776</v>
      </c>
      <c r="AN55" s="59">
        <f ca="1">AVERAGE(OFFSET($AM$3,0,0,'Données projet'!$E$10+1,1))-AVERAGE(OFFSET($H$3,0,0,'Données projet'!$E$10+1,1))</f>
        <v>382.89338473200229</v>
      </c>
      <c r="AO55" s="59">
        <f t="shared" si="36"/>
        <v>360.46248248971744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50.661991488693644</v>
      </c>
      <c r="AV55" s="21">
        <f>EXP(-LN(2)/25)*AV54+(1-EXP(-LN(2)/25))/(LN(2)/25)*Calculateur!AQ55*Calculateur!AS55*VLOOKUP('Données projet'!$B$10,Paramètres!$A$1:$I$89,3,0)*0.475*44/12</f>
        <v>15.881520640133166</v>
      </c>
      <c r="AW55" s="21">
        <f>EXP(-LN(2)/2)*AW54+(1-EXP(-LN(2)/2))/(LN(2)/2)*AQ55*AT55*VLOOKUP('Données projet'!$B$10,Paramètres!$A$1:$I$89,3,0)*0.475*44/12</f>
        <v>4.4058045376570849</v>
      </c>
      <c r="AX55" s="21">
        <f t="shared" si="6"/>
        <v>70.949316666483895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60.540680735209556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3.3333333333333344</v>
      </c>
      <c r="BD55" s="12">
        <f>IF('Données projet'!$A$88&gt;35,BD54+BC55-BL54,IF(A55&lt;'Données projet'!$A$88,$BA$205^A55,IF(A55='Données projet'!$A$88,'Données projet'!$B$88,BD54+BC55-BL54)))</f>
        <v>106.02564102564099</v>
      </c>
      <c r="BE55" s="13">
        <f>BD55*VLOOKUP('Données projet'!$B$11,Paramètres!$A$1:$I$89,3,0)*VLOOKUP('Données projet'!$B$11,Paramètres!$A$1:$I$89,5,0)</f>
        <v>92.623999999999981</v>
      </c>
      <c r="BF55" s="13">
        <f t="shared" si="37"/>
        <v>25.19700823637309</v>
      </c>
      <c r="BG55" s="20">
        <f t="shared" si="7"/>
        <v>205.20492267834979</v>
      </c>
      <c r="BH55" s="59">
        <f t="shared" si="8"/>
        <v>463.85408537411809</v>
      </c>
      <c r="BI55" s="59">
        <f ca="1">AVERAGE(OFFSET($BH$3,0,0,'Données projet'!$E$11+1,1))-AVERAGE(OFFSET($H$3,0,0,'Données projet'!$E$11+1,1))</f>
        <v>225.75484198243581</v>
      </c>
      <c r="BJ55" s="59">
        <f t="shared" si="38"/>
        <v>199.49566488421061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0</v>
      </c>
      <c r="BQ55" s="21">
        <f>EXP(-LN(2)/25)*BQ54+(1-EXP(-LN(2)/25))/(LN(2)/25)*Calculateur!BL55*Calculateur!BN55*VLOOKUP('Données projet'!$B$11,Paramètres!$A$1:$I$89,3,0)*0.475*44/12</f>
        <v>12.103672910167644</v>
      </c>
      <c r="BR55" s="21">
        <f>EXP(-LN(2)/2)*BR54+(1-EXP(-LN(2)/2))/(LN(2)/2)*BL55*BO55*VLOOKUP('Données projet'!$B$11,Paramètres!$A$1:$I$89,3,0)*0.475*44/12</f>
        <v>0</v>
      </c>
      <c r="BS55" s="22">
        <f t="shared" si="9"/>
        <v>12.103672910167644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60.540680735209556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8</v>
      </c>
      <c r="BY55" s="12">
        <f>IF('Données projet'!$A$114&gt;35,BY54+BX55-CG54,IF(A55&lt;'Données projet'!$A$114,$BV$205^A55,IF(A55='Données projet'!$A$114,'Données projet'!$B$114,BY54+BX55-CG54)))</f>
        <v>173</v>
      </c>
      <c r="BZ55" s="13">
        <f>BY55*VLOOKUP('Données projet'!$B$12,Paramètres!$A$1:$I$89,3,0)*VLOOKUP('Données projet'!$B$12,Paramètres!$A$1:$I$89,5,0)</f>
        <v>164.6268</v>
      </c>
      <c r="CA55" s="13">
        <f t="shared" si="39"/>
        <v>41.884365321551833</v>
      </c>
      <c r="CB55" s="20">
        <f t="shared" si="10"/>
        <v>359.67361293503609</v>
      </c>
      <c r="CC55" s="59">
        <f t="shared" si="11"/>
        <v>618.32277563080447</v>
      </c>
      <c r="CD55" s="59">
        <f ca="1">AVERAGE(OFFSET($CC$3,0,0,'Données projet'!$E$12+1,1))-AVERAGE(OFFSET($H$3,0,0,'Données projet'!$E$12+1,1))</f>
        <v>413.9352601863377</v>
      </c>
      <c r="CE55" s="59">
        <f t="shared" si="40"/>
        <v>255.13997349799286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0</v>
      </c>
      <c r="CL55" s="21">
        <f>EXP(-LN(2)/25)*CL54+(1-EXP(-LN(2)/25))/(LN(2)/25)*Calculateur!CG55*Calculateur!CI55*VLOOKUP('Données projet'!$B$12,Paramètres!$A$1:$I$89,3,0)*0.475*44/12</f>
        <v>9.0700332895410316</v>
      </c>
      <c r="CM55" s="21">
        <f>EXP(-LN(2)/2)*CM54+(1-EXP(-LN(2)/2))/(LN(2)/2)*CG55*CJ55*VLOOKUP('Données projet'!$B$12,Paramètres!$A$1:$I$89,3,0)*0.475*44/12</f>
        <v>2.8626543565366238</v>
      </c>
      <c r="CN55" s="22">
        <f t="shared" si="12"/>
        <v>11.932687646077655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60.540680735209556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4.8</v>
      </c>
      <c r="CT55" s="12">
        <f>IF('Données projet'!$A$140&gt;35,CT54+CS55-DB54,IF(A55&lt;'Données projet'!$A$140,$CQ$205^A55,IF(A55='Données projet'!$A$140,'Données projet'!$B$140,CT54+CS55-DB54)))</f>
        <v>170.59999999999997</v>
      </c>
      <c r="CU55" s="17">
        <f>CT55*VLOOKUP('Données projet'!$B$13,Paramètres!$A$1:$I$89,3,0)*VLOOKUP('Données projet'!$B$13,Paramètres!$A$1:$I$89,5,0)</f>
        <v>149.03616</v>
      </c>
      <c r="CV55" s="13">
        <f t="shared" si="41"/>
        <v>38.35946741279561</v>
      </c>
      <c r="CW55" s="20">
        <f t="shared" si="13"/>
        <v>326.38071774395229</v>
      </c>
      <c r="CX55" s="59">
        <f t="shared" si="14"/>
        <v>585.02988043972061</v>
      </c>
      <c r="CY55" s="59">
        <f ca="1">AVERAGE(OFFSET($CX$3,0,0,'Données projet'!$E$13+1,1))-AVERAGE(OFFSET($H$3,0,0,'Données projet'!$E$13+1,1))</f>
        <v>280.59827778697775</v>
      </c>
      <c r="CZ55" s="59">
        <f t="shared" si="42"/>
        <v>270.86588231964726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>
        <f>EXP(-LN(2)/35)*DF54+(1-EXP(-LN(2)/35))/(LN(2)/35)*DB55*DC55*VLOOKUP('Données projet'!$B$13,Paramètres!$A$1:$I$89,3,0)*0.475*44/12</f>
        <v>1.5988850887520545</v>
      </c>
      <c r="DG55" s="21">
        <f>EXP(-LN(2)/25)*DG54+(1-EXP(-LN(2)/25))/(LN(2)/25)*Calculateur!DB55*Calculateur!DD55*VLOOKUP('Données projet'!$B$13,Paramètres!$A$1:$I$89,3,0)*0.475*44/12</f>
        <v>10.869422529926752</v>
      </c>
      <c r="DH55" s="21">
        <f>EXP(-LN(2)/2)*DH54+(1-EXP(-LN(2)/2))/(LN(2)/2)*DB55*DE55*VLOOKUP('Données projet'!$B$13,Paramètres!$A$1:$I$89,3,0)*0.475*44/12</f>
        <v>1.7494011321024354</v>
      </c>
      <c r="DI55" s="22">
        <f t="shared" si="15"/>
        <v>14.217708750781242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60.540680735209556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4.6153846153846159</v>
      </c>
      <c r="DO55" s="12">
        <f>IF('Données projet'!$A$166&gt;35,DO54+DN55-DW54,IF(A55&lt;'Données projet'!$A$166,$DL$205^A55,IF(A55='Données projet'!$A$166,'Données projet'!$B$166,DO54+DN55-DW54)))</f>
        <v>104.74358974358974</v>
      </c>
      <c r="DP55" s="17">
        <f>DO55*VLOOKUP('Données projet'!$B$14,Paramètres!$A$1:$I$89,3,0)*VLOOKUP('Données projet'!$B$14,Paramètres!$A$1:$I$89,5,0)</f>
        <v>70.262</v>
      </c>
      <c r="DQ55" s="13">
        <f t="shared" si="43"/>
        <v>19.738507251987695</v>
      </c>
      <c r="DR55" s="20">
        <f t="shared" si="16"/>
        <v>156.75088346387858</v>
      </c>
      <c r="DS55" s="59">
        <f t="shared" si="17"/>
        <v>415.40004615964688</v>
      </c>
      <c r="DT55" s="59">
        <f ca="1">AVERAGE(OFFSET($DS$3,0,0,'Données projet'!$E$14+1,1))-AVERAGE(OFFSET($H$3,0,0,'Données projet'!$E$14+1,1))</f>
        <v>211.42385430331873</v>
      </c>
      <c r="DU55" s="59">
        <f t="shared" si="44"/>
        <v>146.84623106782686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>
        <f>EXP(-LN(2)/35)*EA54+(1-EXP(-LN(2)/35))/(LN(2)/35)*DW55*DX55*VLOOKUP('Données projet'!$B$14,Paramètres!$A$1:$I$89,3,0)*0.475*44/12</f>
        <v>0</v>
      </c>
      <c r="EB55" s="21">
        <f>EXP(-LN(2)/25)*EB54+(1-EXP(-LN(2)/25))/(LN(2)/25)*Calculateur!DW55*Calculateur!DY55*VLOOKUP('Données projet'!$B$14,Paramètres!$A$1:$I$89,3,0)*0.475*44/12</f>
        <v>5.3432281869173446</v>
      </c>
      <c r="EC55" s="21">
        <f>EXP(-LN(2)/2)*EC54+(1-EXP(-LN(2)/2))/(LN(2)/2)*DW55*DZ55*VLOOKUP('Données projet'!$B$14,Paramètres!$A$1:$I$89,3,0)*0.475*44/12</f>
        <v>1.3419987774123916</v>
      </c>
      <c r="ED55" s="22">
        <f t="shared" si="18"/>
        <v>6.6852269643297362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60.540680735209556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2.5641025641025634</v>
      </c>
      <c r="EJ55" s="12">
        <f>IF('Données projet'!$A$192&gt;35,EJ54+EI55-ER54,IF(A55&lt;'Données projet'!$A$192,$EG$205^A55,IF(A55='Données projet'!$A$192,'Données projet'!$B$192,EJ54+EI55-ER54)))</f>
        <v>60.256410256410241</v>
      </c>
      <c r="EK55" s="17">
        <f>EJ55*VLOOKUP('Données projet'!$B$15,Paramètres!$A$1:$I$89,3,0)*VLOOKUP('Données projet'!$B$15,Paramètres!$A$1:$I$89,5,0)</f>
        <v>64.859999999999985</v>
      </c>
      <c r="EL55" s="13">
        <f t="shared" si="45"/>
        <v>18.391404353016956</v>
      </c>
      <c r="EM55" s="20">
        <f t="shared" si="19"/>
        <v>144.99619591483781</v>
      </c>
      <c r="EN55" s="59">
        <f t="shared" si="20"/>
        <v>403.64535861060614</v>
      </c>
      <c r="EO55" s="59">
        <f ca="1">AVERAGE(OFFSET($EN$3,0,0,'Données projet'!$E$15+1,1))-AVERAGE(OFFSET($H$3,0,0,'Données projet'!$E$15+1,1))</f>
        <v>212.00478362779876</v>
      </c>
      <c r="EP55" s="59">
        <f t="shared" si="46"/>
        <v>133.62262474506707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>
        <f>EXP(-LN(2)/35)*EV54+(1-EXP(-LN(2)/35))/(LN(2)/35)*ER55*ES55*VLOOKUP('Données projet'!$B$15,Paramètres!$A$1:$I$89,3,0)*0.475*44/12</f>
        <v>0</v>
      </c>
      <c r="EW55" s="21">
        <f>EXP(-LN(2)/25)*EW54+(1-EXP(-LN(2)/25))/(LN(2)/25)*Calculateur!ER55*Calculateur!ET55*VLOOKUP('Données projet'!$B$15,Paramètres!$A$1:$I$89,3,0)*0.475*44/12</f>
        <v>3.0666975892888737</v>
      </c>
      <c r="EX55" s="21">
        <f>EXP(-LN(2)/2)*EX54+(1-EXP(-LN(2)/2))/(LN(2)/2)*ER55*EU55*VLOOKUP('Données projet'!$B$15,Paramètres!$A$1:$I$89,3,0)*0.475*44/12</f>
        <v>0.97096163254497703</v>
      </c>
      <c r="EY55" s="22">
        <f t="shared" si="21"/>
        <v>4.0376592218338505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60.540680735209556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2.5641025641025634</v>
      </c>
      <c r="FE55" s="12">
        <f>IF('Données projet'!$A$218&gt;35,FE54+FD55-FM54,IF(A55&lt;'Données projet'!$A$218,$FB$205^A55,IF(A55='Données projet'!$A$218,'Données projet'!$B$218,FE54+FD55-FM54)))</f>
        <v>60.256410256410241</v>
      </c>
      <c r="FF55" s="17">
        <f>FE55*VLOOKUP('Données projet'!$B$16,Paramètres!$A$1:$I$89,3,0)*VLOOKUP('Données projet'!$B$16,Paramètres!$A$1:$I$89,5,0)</f>
        <v>58.279999999999987</v>
      </c>
      <c r="FG55" s="13">
        <f t="shared" si="47"/>
        <v>16.732665651028569</v>
      </c>
      <c r="FH55" s="20">
        <f t="shared" si="22"/>
        <v>130.64705934220805</v>
      </c>
      <c r="FI55" s="59">
        <f t="shared" si="23"/>
        <v>389.29622203797635</v>
      </c>
      <c r="FJ55" s="59">
        <f ca="1">AVERAGE(OFFSET($FI$3,0,0,'Données projet'!$E$16+1,1))-AVERAGE(OFFSET($H$3,0,0,'Données projet'!$E$16+1,1))</f>
        <v>196.65742339093146</v>
      </c>
      <c r="FK55" s="59">
        <f t="shared" si="48"/>
        <v>125.41980634506001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>
        <f>EXP(-LN(2)/35)*FQ54+(1-EXP(-LN(2)/35))/(LN(2)/35)*FM55*FN55*VLOOKUP('Données projet'!$B$16,Paramètres!$A$1:$I$89,3,0)*0.475*44/12</f>
        <v>0</v>
      </c>
      <c r="FR55" s="21">
        <f>EXP(-LN(2)/25)*FR54+(1-EXP(-LN(2)/25))/(LN(2)/25)*Calculateur!FM55*Calculateur!FO55*VLOOKUP('Données projet'!$B$16,Paramètres!$A$1:$I$89,3,0)*0.475*44/12</f>
        <v>2.7555833411001482</v>
      </c>
      <c r="FS55" s="21">
        <f>EXP(-LN(2)/2)*FS54+(1-EXP(-LN(2)/2))/(LN(2)/2)*FM55*FP55*VLOOKUP('Données projet'!$B$16,Paramètres!$A$1:$I$89,3,0)*0.475*44/12</f>
        <v>0.87245827851867497</v>
      </c>
      <c r="FT55" s="22">
        <f t="shared" si="24"/>
        <v>3.6280416196188234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60.540680735209556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60.540680735209556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>
      <c r="A56" s="10">
        <f t="shared" si="31"/>
        <v>53</v>
      </c>
      <c r="B56" s="73">
        <f>'Scénario référence'!$B$16*5+'Scénario référence'!$B$17*0+'Scénario référence'!$B$18*5</f>
        <v>4.6999999999999993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2.8276559999999984</v>
      </c>
      <c r="D56" s="11">
        <f t="shared" si="32"/>
        <v>1.1546027449804015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18.043747909955833</v>
      </c>
      <c r="H56" s="67">
        <f t="shared" si="1"/>
        <v>194.66910064750755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60.704778776583971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14.113999999999999</v>
      </c>
      <c r="N56" s="13">
        <f>IF('Données projet'!$A$36&gt;35,N55+M56-V55,IF(A56&lt;'Données projet'!$A$36,$K$205^A56,IF(A56='Données projet'!$A$36,'Données projet'!$B$36,N55+M56-V55)))</f>
        <v>342.142</v>
      </c>
      <c r="O56" s="13">
        <f>N56*VLOOKUP('Données projet'!$B$9,Paramètres!$A$1:$I$89,3,0)*VLOOKUP('Données projet'!$B$9,Paramètres!$A$1:$I$89,5,0)</f>
        <v>204.60091600000001</v>
      </c>
      <c r="P56" s="13">
        <f t="shared" si="33"/>
        <v>50.753967472357871</v>
      </c>
      <c r="Q56" s="20">
        <f t="shared" si="53"/>
        <v>444.74308871435665</v>
      </c>
      <c r="R56" s="59">
        <f t="shared" si="0"/>
        <v>703.99394422849787</v>
      </c>
      <c r="S56" s="59">
        <f ca="1">AVERAGE(OFFSET($R$3,0,0,'Données projet'!$E$9+1,1))-AVERAGE(OFFSET($H$3,0,0,'Données projet'!$E$9+1,1))</f>
        <v>366.93249569585623</v>
      </c>
      <c r="T56" s="59">
        <f t="shared" si="34"/>
        <v>272.47262353368501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33.951995455051254</v>
      </c>
      <c r="AA56" s="21">
        <f>EXP(-LN(2)/25)*AA55+(1-EXP(-LN(2)/25))/(LN(2)/25)*Calculateur!V56*Calculateur!X56*VLOOKUP('Données projet'!$B$9,Paramètres!$A$1:$I$89,3,0)*0.475*44/12</f>
        <v>17.444369081610589</v>
      </c>
      <c r="AB56" s="21">
        <f>EXP(-LN(2)/2)*AB55+(1-EXP(-LN(2)/2))/(LN(2)/2)*V56*Y56*VLOOKUP('Données projet'!$B$9,Paramètres!$A$1:$I$89,3,0)*0.475*44/12</f>
        <v>3.5282462043867304</v>
      </c>
      <c r="AC56" s="22">
        <f t="shared" si="3"/>
        <v>54.924610741048575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60.704778776583971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17.124285714285715</v>
      </c>
      <c r="AI56" s="13">
        <f>IF('Données projet'!$A$62&gt;35,AI55+AH56-AQ55,IF(A56&lt;'Données projet'!$A$62,$AF$205^A56,IF(A56='Données projet'!$A$62,'Données projet'!$B$62,AI55+AH56-AQ55)))</f>
        <v>332.77714285714245</v>
      </c>
      <c r="AJ56" s="13">
        <f>AI56*VLOOKUP('Données projet'!$B$10,Paramètres!$A$1:$I$89,3,0)*VLOOKUP('Données projet'!$B$10,Paramètres!$A$1:$I$89,5,0)</f>
        <v>155.73970285714267</v>
      </c>
      <c r="AK56" s="13">
        <f t="shared" si="35"/>
        <v>39.880089403039847</v>
      </c>
      <c r="AL56" s="20">
        <f t="shared" si="4"/>
        <v>340.7044715198179</v>
      </c>
      <c r="AM56" s="59">
        <f t="shared" si="5"/>
        <v>599.95532703395907</v>
      </c>
      <c r="AN56" s="59">
        <f ca="1">AVERAGE(OFFSET($AM$3,0,0,'Données projet'!$E$10+1,1))-AVERAGE(OFFSET($H$3,0,0,'Données projet'!$E$10+1,1))</f>
        <v>382.89338473200229</v>
      </c>
      <c r="AO56" s="59">
        <f t="shared" si="36"/>
        <v>360.46248248971744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49.668540736363973</v>
      </c>
      <c r="AV56" s="21">
        <f>EXP(-LN(2)/25)*AV55+(1-EXP(-LN(2)/25))/(LN(2)/25)*Calculateur!AQ56*Calculateur!AS56*VLOOKUP('Données projet'!$B$10,Paramètres!$A$1:$I$89,3,0)*0.475*44/12</f>
        <v>15.447239623055852</v>
      </c>
      <c r="AW56" s="21">
        <f>EXP(-LN(2)/2)*AW55+(1-EXP(-LN(2)/2))/(LN(2)/2)*AQ56*AT56*VLOOKUP('Données projet'!$B$10,Paramètres!$A$1:$I$89,3,0)*0.475*44/12</f>
        <v>3.1153742651597867</v>
      </c>
      <c r="AX56" s="21">
        <f t="shared" si="6"/>
        <v>68.231154624579617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60.704778776583971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3.3333333333333344</v>
      </c>
      <c r="BD56" s="12">
        <f>IF('Données projet'!$A$88&gt;35,BD55+BC56-BL55,IF(A56&lt;'Données projet'!$A$88,$BA$205^A56,IF(A56='Données projet'!$A$88,'Données projet'!$B$88,BD55+BC56-BL55)))</f>
        <v>109.35897435897432</v>
      </c>
      <c r="BE56" s="13">
        <f>BD56*VLOOKUP('Données projet'!$B$11,Paramètres!$A$1:$I$89,3,0)*VLOOKUP('Données projet'!$B$11,Paramètres!$A$1:$I$89,5,0)</f>
        <v>95.535999999999987</v>
      </c>
      <c r="BF56" s="13">
        <f t="shared" si="37"/>
        <v>25.895701102516686</v>
      </c>
      <c r="BG56" s="20">
        <f t="shared" si="7"/>
        <v>211.49354608688319</v>
      </c>
      <c r="BH56" s="59">
        <f t="shared" si="8"/>
        <v>470.74440160102438</v>
      </c>
      <c r="BI56" s="59">
        <f ca="1">AVERAGE(OFFSET($BH$3,0,0,'Données projet'!$E$11+1,1))-AVERAGE(OFFSET($H$3,0,0,'Données projet'!$E$11+1,1))</f>
        <v>225.75484198243581</v>
      </c>
      <c r="BJ56" s="59">
        <f t="shared" si="38"/>
        <v>199.49566488421061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0</v>
      </c>
      <c r="BQ56" s="21">
        <f>EXP(-LN(2)/25)*BQ55+(1-EXP(-LN(2)/25))/(LN(2)/25)*Calculateur!BL56*Calculateur!BN56*VLOOKUP('Données projet'!$B$11,Paramètres!$A$1:$I$89,3,0)*0.475*44/12</f>
        <v>11.772697337934614</v>
      </c>
      <c r="BR56" s="21">
        <f>EXP(-LN(2)/2)*BR55+(1-EXP(-LN(2)/2))/(LN(2)/2)*BL56*BO56*VLOOKUP('Données projet'!$B$11,Paramètres!$A$1:$I$89,3,0)*0.475*44/12</f>
        <v>0</v>
      </c>
      <c r="BS56" s="22">
        <f t="shared" si="9"/>
        <v>11.772697337934614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60.704778776583971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8</v>
      </c>
      <c r="BY56" s="12">
        <f>IF('Données projet'!$A$114&gt;35,BY55+BX56-CG55,IF(A56&lt;'Données projet'!$A$114,$BV$205^A56,IF(A56='Données projet'!$A$114,'Données projet'!$B$114,BY55+BX56-CG55)))</f>
        <v>181</v>
      </c>
      <c r="BZ56" s="13">
        <f>BY56*VLOOKUP('Données projet'!$B$12,Paramètres!$A$1:$I$89,3,0)*VLOOKUP('Données projet'!$B$12,Paramètres!$A$1:$I$89,5,0)</f>
        <v>172.2396</v>
      </c>
      <c r="CA56" s="13">
        <f t="shared" si="39"/>
        <v>43.591236765546341</v>
      </c>
      <c r="CB56" s="20">
        <f t="shared" si="10"/>
        <v>375.9053740333265</v>
      </c>
      <c r="CC56" s="59">
        <f t="shared" si="11"/>
        <v>635.15622954746777</v>
      </c>
      <c r="CD56" s="59">
        <f ca="1">AVERAGE(OFFSET($CC$3,0,0,'Données projet'!$E$12+1,1))-AVERAGE(OFFSET($H$3,0,0,'Données projet'!$E$12+1,1))</f>
        <v>413.9352601863377</v>
      </c>
      <c r="CE56" s="59">
        <f t="shared" si="40"/>
        <v>255.13997349799286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0</v>
      </c>
      <c r="CL56" s="21">
        <f>EXP(-LN(2)/25)*CL55+(1-EXP(-LN(2)/25))/(LN(2)/25)*Calculateur!CG56*Calculateur!CI56*VLOOKUP('Données projet'!$B$12,Paramètres!$A$1:$I$89,3,0)*0.475*44/12</f>
        <v>8.8220127522662111</v>
      </c>
      <c r="CM56" s="21">
        <f>EXP(-LN(2)/2)*CM55+(1-EXP(-LN(2)/2))/(LN(2)/2)*CG56*CJ56*VLOOKUP('Données projet'!$B$12,Paramètres!$A$1:$I$89,3,0)*0.475*44/12</f>
        <v>2.0242023077002598</v>
      </c>
      <c r="CN56" s="22">
        <f t="shared" si="12"/>
        <v>10.846215059966472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60.704778776583971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4.8</v>
      </c>
      <c r="CT56" s="12">
        <f>IF('Données projet'!$A$140&gt;35,CT55+CS56-DB55,IF(A56&lt;'Données projet'!$A$140,$CQ$205^A56,IF(A56='Données projet'!$A$140,'Données projet'!$B$140,CT55+CS56-DB55)))</f>
        <v>175.39999999999998</v>
      </c>
      <c r="CU56" s="17">
        <f>CT56*VLOOKUP('Données projet'!$B$13,Paramètres!$A$1:$I$89,3,0)*VLOOKUP('Données projet'!$B$13,Paramètres!$A$1:$I$89,5,0)</f>
        <v>153.22943999999998</v>
      </c>
      <c r="CV56" s="13">
        <f t="shared" si="41"/>
        <v>39.311575138468363</v>
      </c>
      <c r="CW56" s="20">
        <f t="shared" si="13"/>
        <v>335.34226803283235</v>
      </c>
      <c r="CX56" s="59">
        <f t="shared" si="14"/>
        <v>594.59312354697363</v>
      </c>
      <c r="CY56" s="59">
        <f ca="1">AVERAGE(OFFSET($CX$3,0,0,'Données projet'!$E$13+1,1))-AVERAGE(OFFSET($H$3,0,0,'Données projet'!$E$13+1,1))</f>
        <v>280.59827778697775</v>
      </c>
      <c r="CZ56" s="59">
        <f t="shared" si="42"/>
        <v>270.86588231964726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>
        <f>EXP(-LN(2)/35)*DF55+(1-EXP(-LN(2)/35))/(LN(2)/35)*DB56*DC56*VLOOKUP('Données projet'!$B$13,Paramètres!$A$1:$I$89,3,0)*0.475*44/12</f>
        <v>1.5675319273852355</v>
      </c>
      <c r="DG56" s="21">
        <f>EXP(-LN(2)/25)*DG55+(1-EXP(-LN(2)/25))/(LN(2)/25)*Calculateur!DB56*Calculateur!DD56*VLOOKUP('Données projet'!$B$13,Paramètres!$A$1:$I$89,3,0)*0.475*44/12</f>
        <v>10.572197599247817</v>
      </c>
      <c r="DH56" s="21">
        <f>EXP(-LN(2)/2)*DH55+(1-EXP(-LN(2)/2))/(LN(2)/2)*DB56*DE56*VLOOKUP('Données projet'!$B$13,Paramètres!$A$1:$I$89,3,0)*0.475*44/12</f>
        <v>1.2370134035250555</v>
      </c>
      <c r="DI56" s="22">
        <f t="shared" si="15"/>
        <v>13.376742930158109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60.704778776583971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4.6153846153846159</v>
      </c>
      <c r="DO56" s="12">
        <f>IF('Données projet'!$A$166&gt;35,DO55+DN56-DW55,IF(A56&lt;'Données projet'!$A$166,$DL$205^A56,IF(A56='Données projet'!$A$166,'Données projet'!$B$166,DO55+DN56-DW55)))</f>
        <v>109.35897435897435</v>
      </c>
      <c r="DP56" s="17">
        <f>DO56*VLOOKUP('Données projet'!$B$14,Paramètres!$A$1:$I$89,3,0)*VLOOKUP('Données projet'!$B$14,Paramètres!$A$1:$I$89,5,0)</f>
        <v>73.35799999999999</v>
      </c>
      <c r="DQ56" s="13">
        <f t="shared" si="43"/>
        <v>20.505079637076015</v>
      </c>
      <c r="DR56" s="20">
        <f t="shared" si="16"/>
        <v>163.47819703457404</v>
      </c>
      <c r="DS56" s="59">
        <f t="shared" si="17"/>
        <v>422.72905254871523</v>
      </c>
      <c r="DT56" s="59">
        <f ca="1">AVERAGE(OFFSET($DS$3,0,0,'Données projet'!$E$14+1,1))-AVERAGE(OFFSET($H$3,0,0,'Données projet'!$E$14+1,1))</f>
        <v>211.42385430331873</v>
      </c>
      <c r="DU56" s="59">
        <f t="shared" si="44"/>
        <v>146.84623106782686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>
        <f>EXP(-LN(2)/35)*EA55+(1-EXP(-LN(2)/35))/(LN(2)/35)*DW56*DX56*VLOOKUP('Données projet'!$B$14,Paramètres!$A$1:$I$89,3,0)*0.475*44/12</f>
        <v>0</v>
      </c>
      <c r="EB56" s="21">
        <f>EXP(-LN(2)/25)*EB55+(1-EXP(-LN(2)/25))/(LN(2)/25)*Calculateur!DW56*Calculateur!DY56*VLOOKUP('Données projet'!$B$14,Paramètres!$A$1:$I$89,3,0)*0.475*44/12</f>
        <v>5.1971173311579317</v>
      </c>
      <c r="EC56" s="21">
        <f>EXP(-LN(2)/2)*EC55+(1-EXP(-LN(2)/2))/(LN(2)/2)*DW56*DZ56*VLOOKUP('Données projet'!$B$14,Paramètres!$A$1:$I$89,3,0)*0.475*44/12</f>
        <v>0.94893643585235832</v>
      </c>
      <c r="ED56" s="22">
        <f t="shared" si="18"/>
        <v>6.1460537670102902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60.704778776583971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2.5641025641025634</v>
      </c>
      <c r="EJ56" s="12">
        <f>IF('Données projet'!$A$192&gt;35,EJ55+EI56-ER55,IF(A56&lt;'Données projet'!$A$192,$EG$205^A56,IF(A56='Données projet'!$A$192,'Données projet'!$B$192,EJ55+EI56-ER55)))</f>
        <v>62.820512820512803</v>
      </c>
      <c r="EK56" s="17">
        <f>EJ56*VLOOKUP('Données projet'!$B$15,Paramètres!$A$1:$I$89,3,0)*VLOOKUP('Données projet'!$B$15,Paramètres!$A$1:$I$89,5,0)</f>
        <v>67.619999999999976</v>
      </c>
      <c r="EL56" s="13">
        <f t="shared" si="45"/>
        <v>19.081235074181293</v>
      </c>
      <c r="EM56" s="20">
        <f t="shared" si="19"/>
        <v>151.00465108753238</v>
      </c>
      <c r="EN56" s="59">
        <f t="shared" si="20"/>
        <v>410.25550660167357</v>
      </c>
      <c r="EO56" s="59">
        <f ca="1">AVERAGE(OFFSET($EN$3,0,0,'Données projet'!$E$15+1,1))-AVERAGE(OFFSET($H$3,0,0,'Données projet'!$E$15+1,1))</f>
        <v>212.00478362779876</v>
      </c>
      <c r="EP56" s="59">
        <f t="shared" si="46"/>
        <v>133.62262474506707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>
        <f>EXP(-LN(2)/35)*EV55+(1-EXP(-LN(2)/35))/(LN(2)/35)*ER56*ES56*VLOOKUP('Données projet'!$B$15,Paramètres!$A$1:$I$89,3,0)*0.475*44/12</f>
        <v>0</v>
      </c>
      <c r="EW56" s="21">
        <f>EXP(-LN(2)/25)*EW55+(1-EXP(-LN(2)/25))/(LN(2)/25)*Calculateur!ER56*Calculateur!ET56*VLOOKUP('Données projet'!$B$15,Paramètres!$A$1:$I$89,3,0)*0.475*44/12</f>
        <v>2.9828385824391521</v>
      </c>
      <c r="EX56" s="21">
        <f>EXP(-LN(2)/2)*EX55+(1-EXP(-LN(2)/2))/(LN(2)/2)*ER56*EU56*VLOOKUP('Données projet'!$B$15,Paramètres!$A$1:$I$89,3,0)*0.475*44/12</f>
        <v>0.68657355464451408</v>
      </c>
      <c r="EY56" s="22">
        <f t="shared" si="21"/>
        <v>3.6694121370836661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60.704778776583971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2.5641025641025634</v>
      </c>
      <c r="FE56" s="12">
        <f>IF('Données projet'!$A$218&gt;35,FE55+FD56-FM55,IF(A56&lt;'Données projet'!$A$218,$FB$205^A56,IF(A56='Données projet'!$A$218,'Données projet'!$B$218,FE55+FD56-FM55)))</f>
        <v>62.820512820512803</v>
      </c>
      <c r="FF56" s="17">
        <f>FE56*VLOOKUP('Données projet'!$B$16,Paramètres!$A$1:$I$89,3,0)*VLOOKUP('Données projet'!$B$16,Paramètres!$A$1:$I$89,5,0)</f>
        <v>60.759999999999977</v>
      </c>
      <c r="FG56" s="13">
        <f t="shared" si="47"/>
        <v>17.360279866424648</v>
      </c>
      <c r="FH56" s="20">
        <f t="shared" si="22"/>
        <v>136.05948743402288</v>
      </c>
      <c r="FI56" s="59">
        <f t="shared" si="23"/>
        <v>395.31034294816413</v>
      </c>
      <c r="FJ56" s="59">
        <f ca="1">AVERAGE(OFFSET($FI$3,0,0,'Données projet'!$E$16+1,1))-AVERAGE(OFFSET($H$3,0,0,'Données projet'!$E$16+1,1))</f>
        <v>196.65742339093146</v>
      </c>
      <c r="FK56" s="59">
        <f t="shared" si="48"/>
        <v>125.41980634506001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>
        <f>EXP(-LN(2)/35)*FQ55+(1-EXP(-LN(2)/35))/(LN(2)/35)*FM56*FN56*VLOOKUP('Données projet'!$B$16,Paramètres!$A$1:$I$89,3,0)*0.475*44/12</f>
        <v>0</v>
      </c>
      <c r="FR56" s="21">
        <f>EXP(-LN(2)/25)*FR55+(1-EXP(-LN(2)/25))/(LN(2)/25)*Calculateur!FM56*Calculateur!FO56*VLOOKUP('Données projet'!$B$16,Paramètres!$A$1:$I$89,3,0)*0.475*44/12</f>
        <v>2.6802317697279348</v>
      </c>
      <c r="FS56" s="21">
        <f>EXP(-LN(2)/2)*FS55+(1-EXP(-LN(2)/2))/(LN(2)/2)*FM56*FP56*VLOOKUP('Données projet'!$B$16,Paramètres!$A$1:$I$89,3,0)*0.475*44/12</f>
        <v>0.61692116504289662</v>
      </c>
      <c r="FT56" s="22">
        <f t="shared" si="24"/>
        <v>3.2971529347708315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60.704778776583971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60.704778776583971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>
      <c r="A57" s="10">
        <f t="shared" si="31"/>
        <v>54</v>
      </c>
      <c r="B57" s="73">
        <f>'Scénario référence'!$B$16*5+'Scénario référence'!$B$17*0+'Scénario référence'!$B$18*5</f>
        <v>4.6999999999999993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2.8810079999999982</v>
      </c>
      <c r="D57" s="11">
        <f t="shared" si="32"/>
        <v>1.1738309425494493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18.077364001461497</v>
      </c>
      <c r="H57" s="67">
        <f t="shared" si="1"/>
        <v>194.79551115827363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60.866030083808802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14.113999999999999</v>
      </c>
      <c r="N57" s="13">
        <f>IF('Données projet'!$A$36&gt;35,N56+M57-V56,IF(A57&lt;'Données projet'!$A$36,$K$205^A57,IF(A57='Données projet'!$A$36,'Données projet'!$B$36,N56+M57-V56)))</f>
        <v>356.25599999999997</v>
      </c>
      <c r="O57" s="13">
        <f>N57*VLOOKUP('Données projet'!$B$9,Paramètres!$A$1:$I$89,3,0)*VLOOKUP('Données projet'!$B$9,Paramètres!$A$1:$I$89,5,0)</f>
        <v>213.041088</v>
      </c>
      <c r="P57" s="13">
        <f t="shared" si="33"/>
        <v>52.599582837576946</v>
      </c>
      <c r="Q57" s="20">
        <f t="shared" si="53"/>
        <v>462.65750170877988</v>
      </c>
      <c r="R57" s="59">
        <f t="shared" si="0"/>
        <v>722.4996120160788</v>
      </c>
      <c r="S57" s="59">
        <f ca="1">AVERAGE(OFFSET($R$3,0,0,'Données projet'!$E$9+1,1))-AVERAGE(OFFSET($H$3,0,0,'Données projet'!$E$9+1,1))</f>
        <v>366.93249569585623</v>
      </c>
      <c r="T57" s="59">
        <f t="shared" si="34"/>
        <v>272.47262353368501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33.286217532850117</v>
      </c>
      <c r="AA57" s="21">
        <f>EXP(-LN(2)/25)*AA56+(1-EXP(-LN(2)/25))/(LN(2)/25)*Calculateur!V57*Calculateur!X57*VLOOKUP('Données projet'!$B$9,Paramètres!$A$1:$I$89,3,0)*0.475*44/12</f>
        <v>16.967351891714447</v>
      </c>
      <c r="AB57" s="21">
        <f>EXP(-LN(2)/2)*AB56+(1-EXP(-LN(2)/2))/(LN(2)/2)*V57*Y57*VLOOKUP('Données projet'!$B$9,Paramètres!$A$1:$I$89,3,0)*0.475*44/12</f>
        <v>2.4948468168175548</v>
      </c>
      <c r="AC57" s="22">
        <f t="shared" si="3"/>
        <v>52.748416241382117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60.866030083808802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17.124285714285715</v>
      </c>
      <c r="AI57" s="13">
        <f>IF('Données projet'!$A$62&gt;35,AI56+AH57-AQ56,IF(A57&lt;'Données projet'!$A$62,$AF$205^A57,IF(A57='Données projet'!$A$62,'Données projet'!$B$62,AI56+AH57-AQ56)))</f>
        <v>349.90142857142814</v>
      </c>
      <c r="AJ57" s="13">
        <f>AI57*VLOOKUP('Données projet'!$B$10,Paramètres!$A$1:$I$89,3,0)*VLOOKUP('Données projet'!$B$10,Paramètres!$A$1:$I$89,5,0)</f>
        <v>163.75386857142837</v>
      </c>
      <c r="AK57" s="13">
        <f t="shared" si="35"/>
        <v>41.688064774774361</v>
      </c>
      <c r="AL57" s="20">
        <f t="shared" si="4"/>
        <v>357.81136724463641</v>
      </c>
      <c r="AM57" s="59">
        <f t="shared" si="5"/>
        <v>617.65347755193534</v>
      </c>
      <c r="AN57" s="59">
        <f ca="1">AVERAGE(OFFSET($AM$3,0,0,'Données projet'!$E$10+1,1))-AVERAGE(OFFSET($H$3,0,0,'Données projet'!$E$10+1,1))</f>
        <v>382.89338473200229</v>
      </c>
      <c r="AO57" s="59">
        <f t="shared" si="36"/>
        <v>360.46248248971744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48.694570947342356</v>
      </c>
      <c r="AV57" s="21">
        <f>EXP(-LN(2)/25)*AV56+(1-EXP(-LN(2)/25))/(LN(2)/25)*Calculateur!AQ57*Calculateur!AS57*VLOOKUP('Données projet'!$B$10,Paramètres!$A$1:$I$89,3,0)*0.475*44/12</f>
        <v>15.024834043228363</v>
      </c>
      <c r="AW57" s="21">
        <f>EXP(-LN(2)/2)*AW56+(1-EXP(-LN(2)/2))/(LN(2)/2)*AQ57*AT57*VLOOKUP('Données projet'!$B$10,Paramètres!$A$1:$I$89,3,0)*0.475*44/12</f>
        <v>2.2029022688285429</v>
      </c>
      <c r="AX57" s="21">
        <f t="shared" si="6"/>
        <v>65.922307259399261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60.866030083808802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3.3333333333333344</v>
      </c>
      <c r="BD57" s="12">
        <f>IF('Données projet'!$A$88&gt;35,BD56+BC57-BL56,IF(A57&lt;'Données projet'!$A$88,$BA$205^A57,IF(A57='Données projet'!$A$88,'Données projet'!$B$88,BD56+BC57-BL56)))</f>
        <v>112.69230769230765</v>
      </c>
      <c r="BE57" s="13">
        <f>BD57*VLOOKUP('Données projet'!$B$11,Paramètres!$A$1:$I$89,3,0)*VLOOKUP('Données projet'!$B$11,Paramètres!$A$1:$I$89,5,0)</f>
        <v>98.447999999999979</v>
      </c>
      <c r="BF57" s="13">
        <f t="shared" si="37"/>
        <v>26.591919029858307</v>
      </c>
      <c r="BG57" s="20">
        <f t="shared" si="7"/>
        <v>217.77785897700315</v>
      </c>
      <c r="BH57" s="59">
        <f t="shared" si="8"/>
        <v>477.6199692843021</v>
      </c>
      <c r="BI57" s="59">
        <f ca="1">AVERAGE(OFFSET($BH$3,0,0,'Données projet'!$E$11+1,1))-AVERAGE(OFFSET($H$3,0,0,'Données projet'!$E$11+1,1))</f>
        <v>225.75484198243581</v>
      </c>
      <c r="BJ57" s="59">
        <f t="shared" si="38"/>
        <v>199.49566488421061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0</v>
      </c>
      <c r="BQ57" s="21">
        <f>EXP(-LN(2)/25)*BQ56+(1-EXP(-LN(2)/25))/(LN(2)/25)*Calculateur!BL57*Calculateur!BN57*VLOOKUP('Données projet'!$B$11,Paramètres!$A$1:$I$89,3,0)*0.475*44/12</f>
        <v>11.450772310129546</v>
      </c>
      <c r="BR57" s="21">
        <f>EXP(-LN(2)/2)*BR56+(1-EXP(-LN(2)/2))/(LN(2)/2)*BL57*BO57*VLOOKUP('Données projet'!$B$11,Paramètres!$A$1:$I$89,3,0)*0.475*44/12</f>
        <v>0</v>
      </c>
      <c r="BS57" s="22">
        <f t="shared" si="9"/>
        <v>11.450772310129546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60.866030083808802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8</v>
      </c>
      <c r="BY57" s="12">
        <f>IF('Données projet'!$A$114&gt;35,BY56+BX57-CG56,IF(A57&lt;'Données projet'!$A$114,$BV$205^A57,IF(A57='Données projet'!$A$114,'Données projet'!$B$114,BY56+BX57-CG56)))</f>
        <v>189</v>
      </c>
      <c r="BZ57" s="13">
        <f>BY57*VLOOKUP('Données projet'!$B$12,Paramètres!$A$1:$I$89,3,0)*VLOOKUP('Données projet'!$B$12,Paramètres!$A$1:$I$89,5,0)</f>
        <v>179.85239999999999</v>
      </c>
      <c r="CA57" s="13">
        <f t="shared" si="39"/>
        <v>45.289346318280131</v>
      </c>
      <c r="CB57" s="20">
        <f t="shared" si="10"/>
        <v>392.12187483767121</v>
      </c>
      <c r="CC57" s="59">
        <f t="shared" si="11"/>
        <v>651.96398514497014</v>
      </c>
      <c r="CD57" s="59">
        <f ca="1">AVERAGE(OFFSET($CC$3,0,0,'Données projet'!$E$12+1,1))-AVERAGE(OFFSET($H$3,0,0,'Données projet'!$E$12+1,1))</f>
        <v>413.9352601863377</v>
      </c>
      <c r="CE57" s="59">
        <f t="shared" si="40"/>
        <v>255.13997349799286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0</v>
      </c>
      <c r="CL57" s="21">
        <f>EXP(-LN(2)/25)*CL56+(1-EXP(-LN(2)/25))/(LN(2)/25)*Calculateur!CG57*Calculateur!CI57*VLOOKUP('Données projet'!$B$12,Paramètres!$A$1:$I$89,3,0)*0.475*44/12</f>
        <v>8.5807743496260045</v>
      </c>
      <c r="CM57" s="21">
        <f>EXP(-LN(2)/2)*CM56+(1-EXP(-LN(2)/2))/(LN(2)/2)*CG57*CJ57*VLOOKUP('Données projet'!$B$12,Paramètres!$A$1:$I$89,3,0)*0.475*44/12</f>
        <v>1.4313271782683121</v>
      </c>
      <c r="CN57" s="22">
        <f t="shared" si="12"/>
        <v>10.012101527894316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60.866030083808802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4.8</v>
      </c>
      <c r="CT57" s="12">
        <f>IF('Données projet'!$A$140&gt;35,CT56+CS57-DB56,IF(A57&lt;'Données projet'!$A$140,$CQ$205^A57,IF(A57='Données projet'!$A$140,'Données projet'!$B$140,CT56+CS57-DB56)))</f>
        <v>180.2</v>
      </c>
      <c r="CU57" s="17">
        <f>CT57*VLOOKUP('Données projet'!$B$13,Paramètres!$A$1:$I$89,3,0)*VLOOKUP('Données projet'!$B$13,Paramètres!$A$1:$I$89,5,0)</f>
        <v>157.42272000000003</v>
      </c>
      <c r="CV57" s="13">
        <f t="shared" si="41"/>
        <v>40.260654441499831</v>
      </c>
      <c r="CW57" s="20">
        <f t="shared" si="13"/>
        <v>344.29854381894557</v>
      </c>
      <c r="CX57" s="59">
        <f t="shared" si="14"/>
        <v>604.1406541262445</v>
      </c>
      <c r="CY57" s="59">
        <f ca="1">AVERAGE(OFFSET($CX$3,0,0,'Données projet'!$E$13+1,1))-AVERAGE(OFFSET($H$3,0,0,'Données projet'!$E$13+1,1))</f>
        <v>280.59827778697775</v>
      </c>
      <c r="CZ57" s="59">
        <f t="shared" si="42"/>
        <v>270.86588231964726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>
        <f>EXP(-LN(2)/35)*DF56+(1-EXP(-LN(2)/35))/(LN(2)/35)*DB57*DC57*VLOOKUP('Données projet'!$B$13,Paramètres!$A$1:$I$89,3,0)*0.475*44/12</f>
        <v>1.5367935823892798</v>
      </c>
      <c r="DG57" s="21">
        <f>EXP(-LN(2)/25)*DG56+(1-EXP(-LN(2)/25))/(LN(2)/25)*Calculateur!DB57*Calculateur!DD57*VLOOKUP('Données projet'!$B$13,Paramètres!$A$1:$I$89,3,0)*0.475*44/12</f>
        <v>10.283100299928677</v>
      </c>
      <c r="DH57" s="21">
        <f>EXP(-LN(2)/2)*DH56+(1-EXP(-LN(2)/2))/(LN(2)/2)*DB57*DE57*VLOOKUP('Données projet'!$B$13,Paramètres!$A$1:$I$89,3,0)*0.475*44/12</f>
        <v>0.87470056605121793</v>
      </c>
      <c r="DI57" s="22">
        <f t="shared" si="15"/>
        <v>12.694594448369173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60.866030083808802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4.6153846153846159</v>
      </c>
      <c r="DO57" s="12">
        <f>IF('Données projet'!$A$166&gt;35,DO56+DN57-DW56,IF(A57&lt;'Données projet'!$A$166,$DL$205^A57,IF(A57='Données projet'!$A$166,'Données projet'!$B$166,DO56+DN57-DW56)))</f>
        <v>113.97435897435896</v>
      </c>
      <c r="DP57" s="17">
        <f>DO57*VLOOKUP('Données projet'!$B$14,Paramètres!$A$1:$I$89,3,0)*VLOOKUP('Données projet'!$B$14,Paramètres!$A$1:$I$89,5,0)</f>
        <v>76.453999999999994</v>
      </c>
      <c r="DQ57" s="13">
        <f t="shared" si="43"/>
        <v>21.267894258297272</v>
      </c>
      <c r="DR57" s="20">
        <f t="shared" si="16"/>
        <v>170.19896583320107</v>
      </c>
      <c r="DS57" s="59">
        <f t="shared" si="17"/>
        <v>430.04107614049997</v>
      </c>
      <c r="DT57" s="59">
        <f ca="1">AVERAGE(OFFSET($DS$3,0,0,'Données projet'!$E$14+1,1))-AVERAGE(OFFSET($H$3,0,0,'Données projet'!$E$14+1,1))</f>
        <v>211.42385430331873</v>
      </c>
      <c r="DU57" s="59">
        <f t="shared" si="44"/>
        <v>146.84623106782686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>
        <f>EXP(-LN(2)/35)*EA56+(1-EXP(-LN(2)/35))/(LN(2)/35)*DW57*DX57*VLOOKUP('Données projet'!$B$14,Paramètres!$A$1:$I$89,3,0)*0.475*44/12</f>
        <v>0</v>
      </c>
      <c r="EB57" s="21">
        <f>EXP(-LN(2)/25)*EB56+(1-EXP(-LN(2)/25))/(LN(2)/25)*Calculateur!DW57*Calculateur!DY57*VLOOKUP('Données projet'!$B$14,Paramètres!$A$1:$I$89,3,0)*0.475*44/12</f>
        <v>5.0550018844328957</v>
      </c>
      <c r="EC57" s="21">
        <f>EXP(-LN(2)/2)*EC56+(1-EXP(-LN(2)/2))/(LN(2)/2)*DW57*DZ57*VLOOKUP('Données projet'!$B$14,Paramètres!$A$1:$I$89,3,0)*0.475*44/12</f>
        <v>0.67099938870619591</v>
      </c>
      <c r="ED57" s="22">
        <f t="shared" si="18"/>
        <v>5.7260012731390919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60.866030083808802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2.5641025641025634</v>
      </c>
      <c r="EJ57" s="12">
        <f>IF('Données projet'!$A$192&gt;35,EJ56+EI57-ER56,IF(A57&lt;'Données projet'!$A$192,$EG$205^A57,IF(A57='Données projet'!$A$192,'Données projet'!$B$192,EJ56+EI57-ER56)))</f>
        <v>65.384615384615373</v>
      </c>
      <c r="EK57" s="17">
        <f>EJ57*VLOOKUP('Données projet'!$B$15,Paramètres!$A$1:$I$89,3,0)*VLOOKUP('Données projet'!$B$15,Paramètres!$A$1:$I$89,5,0)</f>
        <v>70.379999999999981</v>
      </c>
      <c r="EL57" s="13">
        <f t="shared" si="45"/>
        <v>19.767795209616359</v>
      </c>
      <c r="EM57" s="20">
        <f t="shared" si="19"/>
        <v>157.00740999008178</v>
      </c>
      <c r="EN57" s="59">
        <f t="shared" si="20"/>
        <v>416.84952029738071</v>
      </c>
      <c r="EO57" s="59">
        <f ca="1">AVERAGE(OFFSET($EN$3,0,0,'Données projet'!$E$15+1,1))-AVERAGE(OFFSET($H$3,0,0,'Données projet'!$E$15+1,1))</f>
        <v>212.00478362779876</v>
      </c>
      <c r="EP57" s="59">
        <f t="shared" si="46"/>
        <v>133.62262474506707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>
        <f>EXP(-LN(2)/35)*EV56+(1-EXP(-LN(2)/35))/(LN(2)/35)*ER57*ES57*VLOOKUP('Données projet'!$B$15,Paramètres!$A$1:$I$89,3,0)*0.475*44/12</f>
        <v>0</v>
      </c>
      <c r="EW57" s="21">
        <f>EXP(-LN(2)/25)*EW56+(1-EXP(-LN(2)/25))/(LN(2)/25)*Calculateur!ER57*Calculateur!ET57*VLOOKUP('Données projet'!$B$15,Paramètres!$A$1:$I$89,3,0)*0.475*44/12</f>
        <v>2.90127270454169</v>
      </c>
      <c r="EX57" s="21">
        <f>EXP(-LN(2)/2)*EX56+(1-EXP(-LN(2)/2))/(LN(2)/2)*ER57*EU57*VLOOKUP('Données projet'!$B$15,Paramètres!$A$1:$I$89,3,0)*0.475*44/12</f>
        <v>0.48548081627248857</v>
      </c>
      <c r="EY57" s="22">
        <f t="shared" si="21"/>
        <v>3.3867535208141786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60.866030083808802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2.5641025641025634</v>
      </c>
      <c r="FE57" s="12">
        <f>IF('Données projet'!$A$218&gt;35,FE56+FD57-FM56,IF(A57&lt;'Données projet'!$A$218,$FB$205^A57,IF(A57='Données projet'!$A$218,'Données projet'!$B$218,FE56+FD57-FM56)))</f>
        <v>65.384615384615373</v>
      </c>
      <c r="FF57" s="17">
        <f>FE57*VLOOKUP('Données projet'!$B$16,Paramètres!$A$1:$I$89,3,0)*VLOOKUP('Données projet'!$B$16,Paramètres!$A$1:$I$89,5,0)</f>
        <v>63.239999999999995</v>
      </c>
      <c r="FG57" s="13">
        <f t="shared" si="47"/>
        <v>17.984918473409312</v>
      </c>
      <c r="FH57" s="20">
        <f t="shared" si="22"/>
        <v>141.46673300785451</v>
      </c>
      <c r="FI57" s="59">
        <f t="shared" si="23"/>
        <v>401.30884331515347</v>
      </c>
      <c r="FJ57" s="59">
        <f ca="1">AVERAGE(OFFSET($FI$3,0,0,'Données projet'!$E$16+1,1))-AVERAGE(OFFSET($H$3,0,0,'Données projet'!$E$16+1,1))</f>
        <v>196.65742339093146</v>
      </c>
      <c r="FK57" s="59">
        <f t="shared" si="48"/>
        <v>125.41980634506001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>
        <f>EXP(-LN(2)/35)*FQ56+(1-EXP(-LN(2)/35))/(LN(2)/35)*FM57*FN57*VLOOKUP('Données projet'!$B$16,Paramètres!$A$1:$I$89,3,0)*0.475*44/12</f>
        <v>0</v>
      </c>
      <c r="FR57" s="21">
        <f>EXP(-LN(2)/25)*FR56+(1-EXP(-LN(2)/25))/(LN(2)/25)*Calculateur!FM57*Calculateur!FO57*VLOOKUP('Données projet'!$B$16,Paramètres!$A$1:$I$89,3,0)*0.475*44/12</f>
        <v>2.6069406910374613</v>
      </c>
      <c r="FS57" s="21">
        <f>EXP(-LN(2)/2)*FS56+(1-EXP(-LN(2)/2))/(LN(2)/2)*FM57*FP57*VLOOKUP('Données projet'!$B$16,Paramètres!$A$1:$I$89,3,0)*0.475*44/12</f>
        <v>0.43622913925933748</v>
      </c>
      <c r="FT57" s="22">
        <f t="shared" si="24"/>
        <v>3.0431698302967987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60.866030083808802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60.866030083808802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>
      <c r="A58" s="10">
        <f t="shared" si="31"/>
        <v>55</v>
      </c>
      <c r="B58" s="73">
        <f>'Scénario référence'!$B$16*5+'Scénario référence'!$B$17*0+'Scénario référence'!$B$18*5</f>
        <v>4.6999999999999993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2.9343599999999981</v>
      </c>
      <c r="D58" s="11">
        <f t="shared" si="32"/>
        <v>1.1930177348076603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18.110960915770562</v>
      </c>
      <c r="H58" s="67">
        <f t="shared" si="1"/>
        <v>194.92184955479001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61.024484041357205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14.113999999999999</v>
      </c>
      <c r="N58" s="13">
        <f>IF('Données projet'!$A$36&gt;35,N57+M58-V57,IF(A58&lt;'Données projet'!$A$36,$K$205^A58,IF(A58='Données projet'!$A$36,'Données projet'!$B$36,N57+M58-V57)))</f>
        <v>370.36999999999995</v>
      </c>
      <c r="O58" s="13">
        <f>N58*VLOOKUP('Données projet'!$B$9,Paramètres!$A$1:$I$89,3,0)*VLOOKUP('Données projet'!$B$9,Paramètres!$A$1:$I$89,5,0)</f>
        <v>221.48125999999999</v>
      </c>
      <c r="P58" s="13">
        <f t="shared" si="33"/>
        <v>54.436704420571644</v>
      </c>
      <c r="Q58" s="20">
        <f t="shared" si="53"/>
        <v>480.55712136582889</v>
      </c>
      <c r="R58" s="59">
        <f t="shared" si="0"/>
        <v>740.98022951747191</v>
      </c>
      <c r="S58" s="59">
        <f ca="1">AVERAGE(OFFSET($R$3,0,0,'Données projet'!$E$9+1,1))-AVERAGE(OFFSET($H$3,0,0,'Données projet'!$E$9+1,1))</f>
        <v>366.93249569585623</v>
      </c>
      <c r="T58" s="59">
        <f t="shared" si="34"/>
        <v>272.47262353368501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32.633495109618906</v>
      </c>
      <c r="AA58" s="21">
        <f>EXP(-LN(2)/25)*AA57+(1-EXP(-LN(2)/25))/(LN(2)/25)*Calculateur!V58*Calculateur!X58*VLOOKUP('Données projet'!$B$9,Paramètres!$A$1:$I$89,3,0)*0.475*44/12</f>
        <v>16.503378761961258</v>
      </c>
      <c r="AB58" s="21">
        <f>EXP(-LN(2)/2)*AB57+(1-EXP(-LN(2)/2))/(LN(2)/2)*V58*Y58*VLOOKUP('Données projet'!$B$9,Paramètres!$A$1:$I$89,3,0)*0.475*44/12</f>
        <v>1.7641231021933654</v>
      </c>
      <c r="AC58" s="22">
        <f t="shared" si="3"/>
        <v>50.90099697377353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61.024484041357205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17.124285714285715</v>
      </c>
      <c r="AI58" s="13">
        <f>IF('Données projet'!$A$62&gt;35,AI57+AH58-AQ57,IF(A58&lt;'Données projet'!$A$62,$AF$205^A58,IF(A58='Données projet'!$A$62,'Données projet'!$B$62,AI57+AH58-AQ57)))</f>
        <v>367.02571428571383</v>
      </c>
      <c r="AJ58" s="13">
        <f>AI58*VLOOKUP('Données projet'!$B$10,Paramètres!$A$1:$I$89,3,0)*VLOOKUP('Données projet'!$B$10,Paramètres!$A$1:$I$89,5,0)</f>
        <v>171.76803428571407</v>
      </c>
      <c r="AK58" s="13">
        <f t="shared" si="35"/>
        <v>43.485765689129174</v>
      </c>
      <c r="AL58" s="20">
        <f t="shared" si="4"/>
        <v>374.90036828951867</v>
      </c>
      <c r="AM58" s="59">
        <f t="shared" si="5"/>
        <v>635.32347644116169</v>
      </c>
      <c r="AN58" s="59">
        <f ca="1">AVERAGE(OFFSET($AM$3,0,0,'Données projet'!$E$10+1,1))-AVERAGE(OFFSET($H$3,0,0,'Données projet'!$E$10+1,1))</f>
        <v>382.89338473200229</v>
      </c>
      <c r="AO58" s="59">
        <f t="shared" si="36"/>
        <v>360.46248248971744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47.739700111820547</v>
      </c>
      <c r="AV58" s="21">
        <f>EXP(-LN(2)/25)*AV57+(1-EXP(-LN(2)/25))/(LN(2)/25)*Calculateur!AQ58*Calculateur!AS58*VLOOKUP('Données projet'!$B$10,Paramètres!$A$1:$I$89,3,0)*0.475*44/12</f>
        <v>14.613979166194602</v>
      </c>
      <c r="AW58" s="21">
        <f>EXP(-LN(2)/2)*AW57+(1-EXP(-LN(2)/2))/(LN(2)/2)*AQ58*AT58*VLOOKUP('Données projet'!$B$10,Paramètres!$A$1:$I$89,3,0)*0.475*44/12</f>
        <v>1.5576871325798938</v>
      </c>
      <c r="AX58" s="21">
        <f t="shared" si="6"/>
        <v>63.911366410595043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61.024484041357205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>
        <f>VLOOKUP(A58,'Données projet'!$A$87:$I$107,2,0)</f>
        <v>116.02564102564102</v>
      </c>
      <c r="BB58" s="12">
        <f>VLOOKUP(A58,'Données projet'!$A$87:$I$107,9,0)</f>
        <v>3.3333333333333344</v>
      </c>
      <c r="BC58" s="12">
        <f t="array" ref="BC58">INDEX(BB:BB,MIN(IF(ISNUMBER(BB58:BB254),ROW(BB58:BB254),"")))</f>
        <v>3.3333333333333344</v>
      </c>
      <c r="BD58" s="12">
        <f>IF('Données projet'!$A$88&gt;35,BD57+BC58-BL57,IF(A58&lt;'Données projet'!$A$88,$BA$205^A58,IF(A58='Données projet'!$A$88,'Données projet'!$B$88,BD57+BC58-BL57)))</f>
        <v>116.02564102564098</v>
      </c>
      <c r="BE58" s="13">
        <f>BD58*VLOOKUP('Données projet'!$B$11,Paramètres!$A$1:$I$89,3,0)*VLOOKUP('Données projet'!$B$11,Paramètres!$A$1:$I$89,5,0)</f>
        <v>101.35999999999997</v>
      </c>
      <c r="BF58" s="13">
        <f t="shared" si="37"/>
        <v>27.285743629596691</v>
      </c>
      <c r="BG58" s="20">
        <f t="shared" si="7"/>
        <v>224.05800348821421</v>
      </c>
      <c r="BH58" s="59">
        <f t="shared" si="8"/>
        <v>484.4811116398572</v>
      </c>
      <c r="BI58" s="59">
        <f ca="1">AVERAGE(OFFSET($BH$3,0,0,'Données projet'!$E$11+1,1))-AVERAGE(OFFSET($H$3,0,0,'Données projet'!$E$11+1,1))</f>
        <v>225.75484198243581</v>
      </c>
      <c r="BJ58" s="59">
        <f t="shared" si="38"/>
        <v>199.49566488421061</v>
      </c>
      <c r="BK58" s="15">
        <f>IF(ISNA(VLOOKUP(A58,'Données projet'!$A$87:$I$107,3,0)),0,VLOOKUP(A58,'Données projet'!$A$87:$I$107,3,0))</f>
        <v>8</v>
      </c>
      <c r="BL58" s="15">
        <f>IF(ISNA(VLOOKUP(A58,'Données projet'!$A$87:$I$107,4,0)),0,VLOOKUP(A58,'Données projet'!$A$87:$I$107,4,0))</f>
        <v>10.897435897435898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0.215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0</v>
      </c>
      <c r="BQ58" s="21">
        <f>EXP(-LN(2)/25)*BQ57+(1-EXP(-LN(2)/25))/(LN(2)/25)*Calculateur!BL58*Calculateur!BN58*VLOOKUP('Données projet'!$B$11,Paramètres!$A$1:$I$89,3,0)*0.475*44/12</f>
        <v>13.391418091365086</v>
      </c>
      <c r="BR58" s="21">
        <f>EXP(-LN(2)/2)*BR57+(1-EXP(-LN(2)/2))/(LN(2)/2)*BL58*BO58*VLOOKUP('Données projet'!$B$11,Paramètres!$A$1:$I$89,3,0)*0.475*44/12</f>
        <v>0</v>
      </c>
      <c r="BS58" s="22">
        <f t="shared" si="9"/>
        <v>13.391418091365086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61.024484041357205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>
        <f>VLOOKUP(A58,'Données projet'!$A$113:$I$133,2,0)</f>
        <v>197</v>
      </c>
      <c r="BW58" s="12">
        <f>VLOOKUP(A58,'Données projet'!$A$113:$I$133,9,0)</f>
        <v>8</v>
      </c>
      <c r="BX58" s="12">
        <f t="array" ref="BX58">INDEX(BW:BW,MIN(IF(ISNUMBER(BW58:BW254),ROW(BW58:BW254),"")))</f>
        <v>8</v>
      </c>
      <c r="BY58" s="12">
        <f>IF('Données projet'!$A$114&gt;35,BY57+BX58-CG57,IF(A58&lt;'Données projet'!$A$114,$BV$205^A58,IF(A58='Données projet'!$A$114,'Données projet'!$B$114,BY57+BX58-CG57)))</f>
        <v>197</v>
      </c>
      <c r="BZ58" s="13">
        <f>BY58*VLOOKUP('Données projet'!$B$12,Paramètres!$A$1:$I$89,3,0)*VLOOKUP('Données projet'!$B$12,Paramètres!$A$1:$I$89,5,0)</f>
        <v>187.46520000000001</v>
      </c>
      <c r="CA58" s="13">
        <f t="shared" si="39"/>
        <v>46.979107256618605</v>
      </c>
      <c r="CB58" s="20">
        <f t="shared" si="10"/>
        <v>408.32383513861078</v>
      </c>
      <c r="CC58" s="59">
        <f t="shared" si="11"/>
        <v>668.74694329025374</v>
      </c>
      <c r="CD58" s="59">
        <f ca="1">AVERAGE(OFFSET($CC$3,0,0,'Données projet'!$E$12+1,1))-AVERAGE(OFFSET($H$3,0,0,'Données projet'!$E$12+1,1))</f>
        <v>413.9352601863377</v>
      </c>
      <c r="CE58" s="59">
        <f t="shared" si="40"/>
        <v>255.13997349799286</v>
      </c>
      <c r="CF58" s="15">
        <f>IF(ISNA(VLOOKUP(A58,'Données projet'!$A$113:$I$133,3,0)),0,VLOOKUP(A58,'Données projet'!$A$113:$I$133,3,0))</f>
        <v>7</v>
      </c>
      <c r="CG58" s="15">
        <f>IF(ISNA(VLOOKUP(A58,'Données projet'!$A$113:$I$133,4,0)),0,VLOOKUP(A58,'Données projet'!$A$113:$I$133,4,0))</f>
        <v>21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0.1075</v>
      </c>
      <c r="CJ58" s="16">
        <f>IF(ISNA(VLOOKUP(A58,'Données projet'!$A$113:$I$133,7,0)),0%,VLOOKUP(A58,'Données projet'!$A$113:$I$133,7,0))</f>
        <v>0.25</v>
      </c>
      <c r="CK58" s="21">
        <f>EXP(-LN(2)/35)*CK57+(1-EXP(-LN(2)/35))/(LN(2)/35)*CG58*CH58*VLOOKUP('Données projet'!$B$12,Paramètres!$A$1:$I$89,3,0)*0.475*44/12</f>
        <v>0</v>
      </c>
      <c r="CL58" s="21">
        <f>EXP(-LN(2)/25)*CL57+(1-EXP(-LN(2)/25))/(LN(2)/25)*Calculateur!CG58*Calculateur!CI58*VLOOKUP('Données projet'!$B$12,Paramètres!$A$1:$I$89,3,0)*0.475*44/12</f>
        <v>10.711594454326994</v>
      </c>
      <c r="CM58" s="21">
        <f>EXP(-LN(2)/2)*CM57+(1-EXP(-LN(2)/2))/(LN(2)/2)*CG58*CJ58*VLOOKUP('Données projet'!$B$12,Paramètres!$A$1:$I$89,3,0)*0.475*44/12</f>
        <v>5.7258672665271888</v>
      </c>
      <c r="CN58" s="22">
        <f t="shared" si="12"/>
        <v>16.437461720854181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61.024484041357205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>
        <f>VLOOKUP(A58,'Données projet'!$A$139:$I$159,2,0)</f>
        <v>185</v>
      </c>
      <c r="CR58" s="12">
        <f>VLOOKUP(A58,'Données projet'!$A$139:$I$159,9,0)</f>
        <v>4.8</v>
      </c>
      <c r="CS58" s="12">
        <f t="array" ref="CS58">INDEX(CR:CR,MIN(IF(ISNUMBER(CR58:CR254),ROW(CR58:CR254),"")))</f>
        <v>4.8</v>
      </c>
      <c r="CT58" s="12">
        <f>IF('Données projet'!$A$140&gt;35,CT57+CS58-DB57,IF(A58&lt;'Données projet'!$A$140,$CQ$205^A58,IF(A58='Données projet'!$A$140,'Données projet'!$B$140,CT57+CS58-DB57)))</f>
        <v>185</v>
      </c>
      <c r="CU58" s="17">
        <f>CT58*VLOOKUP('Données projet'!$B$13,Paramètres!$A$1:$I$89,3,0)*VLOOKUP('Données projet'!$B$13,Paramètres!$A$1:$I$89,5,0)</f>
        <v>161.61600000000001</v>
      </c>
      <c r="CV58" s="13">
        <f t="shared" si="41"/>
        <v>41.20679526204917</v>
      </c>
      <c r="CW58" s="20">
        <f t="shared" si="13"/>
        <v>353.24970174806896</v>
      </c>
      <c r="CX58" s="59">
        <f t="shared" si="14"/>
        <v>613.67280989971198</v>
      </c>
      <c r="CY58" s="59">
        <f ca="1">AVERAGE(OFFSET($CX$3,0,0,'Données projet'!$E$13+1,1))-AVERAGE(OFFSET($H$3,0,0,'Données projet'!$E$13+1,1))</f>
        <v>280.59827778697775</v>
      </c>
      <c r="CZ58" s="59">
        <f t="shared" si="42"/>
        <v>270.86588231964726</v>
      </c>
      <c r="DA58" s="15">
        <f>IF(ISNA(VLOOKUP(A58,'Données projet'!$A$139:$I$159,3,0)),0,VLOOKUP(A58,'Données projet'!$A$139:$I$159,3,0))</f>
        <v>8</v>
      </c>
      <c r="DB58" s="15">
        <f>IF(ISNA(VLOOKUP(A58,'Données projet'!$A$139:$I$159,4,0)),0,VLOOKUP(A58,'Données projet'!$A$139:$I$159,4,0))</f>
        <v>11</v>
      </c>
      <c r="DC58" s="16">
        <f>IF(ISNA(VLOOKUP(A58,'Données projet'!$A$139:$I$159,5,0)),0%,VLOOKUP(A58,'Données projet'!$A$139:$I$159,5,0)*VLOOKUP('Données projet'!$B$13,Paramètres!$A$1:$I$89,7,0))</f>
        <v>0.13250000000000001</v>
      </c>
      <c r="DD58" s="16">
        <f>IF(ISNA(VLOOKUP(A58,'Données projet'!$A$139:$I$159,6,0)),0%,VLOOKUP(A58,'Données projet'!$A$139:$I$159,6,0)*VLOOKUP('Données projet'!$B$13,Paramètres!$A$1:$I$89,7,0))</f>
        <v>0.13250000000000001</v>
      </c>
      <c r="DE58" s="16">
        <f>IF(ISNA(VLOOKUP(A58,'Données projet'!$A$139:$I$159,7,0)),0%,VLOOKUP(A58,'Données projet'!$A$139:$I$159,7,0))</f>
        <v>0.25</v>
      </c>
      <c r="DF58" s="21">
        <f>EXP(-LN(2)/35)*DF57+(1-EXP(-LN(2)/35))/(LN(2)/35)*DB58*DC58*VLOOKUP('Données projet'!$B$13,Paramètres!$A$1:$I$89,3,0)*0.475*44/12</f>
        <v>2.914222478678834</v>
      </c>
      <c r="DG58" s="21">
        <f>EXP(-LN(2)/25)*DG57+(1-EXP(-LN(2)/25))/(LN(2)/25)*Calculateur!DB58*Calculateur!DD58*VLOOKUP('Données projet'!$B$13,Paramètres!$A$1:$I$89,3,0)*0.475*44/12</f>
        <v>11.403930744864905</v>
      </c>
      <c r="DH58" s="21">
        <f>EXP(-LN(2)/2)*DH57+(1-EXP(-LN(2)/2))/(LN(2)/2)*DB58*DE58*VLOOKUP('Données projet'!$B$13,Paramètres!$A$1:$I$89,3,0)*0.475*44/12</f>
        <v>2.8852357614105131</v>
      </c>
      <c r="DI58" s="22">
        <f t="shared" si="15"/>
        <v>17.203388984954252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61.024484041357205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>
        <f>VLOOKUP(A58,'Données projet'!$A$165:$I$185,2,0)</f>
        <v>118.58974358974359</v>
      </c>
      <c r="DM58" s="12">
        <f>VLOOKUP(A58,'Données projet'!$A$165:$I$185,9,0)</f>
        <v>4.6153846153846159</v>
      </c>
      <c r="DN58" s="12">
        <f t="array" ref="DN58">INDEX(DM:DM,MIN(IF(ISNUMBER(DM58:DM254),ROW(DM58:DM254),"")))</f>
        <v>4.6153846153846159</v>
      </c>
      <c r="DO58" s="12">
        <f>IF('Données projet'!$A$166&gt;35,DO57+DN58-DW57,IF(A58&lt;'Données projet'!$A$166,$DL$205^A58,IF(A58='Données projet'!$A$166,'Données projet'!$B$166,DO57+DN58-DW57)))</f>
        <v>118.58974358974358</v>
      </c>
      <c r="DP58" s="17">
        <f>DO58*VLOOKUP('Données projet'!$B$14,Paramètres!$A$1:$I$89,3,0)*VLOOKUP('Données projet'!$B$14,Paramètres!$A$1:$I$89,5,0)</f>
        <v>79.55</v>
      </c>
      <c r="DQ58" s="13">
        <f t="shared" si="43"/>
        <v>22.027120693421143</v>
      </c>
      <c r="DR58" s="20">
        <f t="shared" si="16"/>
        <v>176.91348520770848</v>
      </c>
      <c r="DS58" s="59">
        <f t="shared" si="17"/>
        <v>437.33659335935147</v>
      </c>
      <c r="DT58" s="59">
        <f ca="1">AVERAGE(OFFSET($DS$3,0,0,'Données projet'!$E$14+1,1))-AVERAGE(OFFSET($H$3,0,0,'Données projet'!$E$14+1,1))</f>
        <v>211.42385430331873</v>
      </c>
      <c r="DU58" s="59">
        <f t="shared" si="44"/>
        <v>146.84623106782686</v>
      </c>
      <c r="DV58" s="15">
        <f>IF(ISNA(VLOOKUP(A58,'Données projet'!$A$165:$I$185,3,0)),0,VLOOKUP(A58,'Données projet'!$A$165:$I$185,3,0))</f>
        <v>8</v>
      </c>
      <c r="DW58" s="15">
        <f>IF(ISNA(VLOOKUP(A58,'Données projet'!$A$165:$I$185,4,0)),0,VLOOKUP(A58,'Données projet'!$A$165:$I$185,4,0))</f>
        <v>14.102564102564102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0.13250000000000001</v>
      </c>
      <c r="DZ58" s="16">
        <f>IF(ISNA(VLOOKUP(A58,'Données projet'!$A$165:$I$185,7,0)),0%,VLOOKUP(A58,'Données projet'!$A$165:$I$185,7,0))</f>
        <v>0.25</v>
      </c>
      <c r="EA58" s="21">
        <f>EXP(-LN(2)/35)*EA57+(1-EXP(-LN(2)/35))/(LN(2)/35)*DW58*DX58*VLOOKUP('Données projet'!$B$14,Paramètres!$A$1:$I$89,3,0)*0.475*44/12</f>
        <v>0</v>
      </c>
      <c r="EB58" s="21">
        <f>EXP(-LN(2)/25)*EB57+(1-EXP(-LN(2)/25))/(LN(2)/25)*Calculateur!DW58*Calculateur!DY58*VLOOKUP('Données projet'!$B$14,Paramètres!$A$1:$I$89,3,0)*0.475*44/12</f>
        <v>6.2969686000003859</v>
      </c>
      <c r="EC58" s="21">
        <f>EXP(-LN(2)/2)*EC57+(1-EXP(-LN(2)/2))/(LN(2)/2)*DW58*DZ58*VLOOKUP('Données projet'!$B$14,Paramètres!$A$1:$I$89,3,0)*0.475*44/12</f>
        <v>2.7059093709679227</v>
      </c>
      <c r="ED58" s="22">
        <f t="shared" si="18"/>
        <v>9.0028779709683082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61.024484041357205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>
        <f>VLOOKUP(A58,'Données projet'!$A$191:$I$211,2,0)</f>
        <v>67.948717948717942</v>
      </c>
      <c r="EH58" s="12">
        <f>VLOOKUP(A58,'Données projet'!$A$191:$I$211,9,0)</f>
        <v>2.5641025641025634</v>
      </c>
      <c r="EI58" s="12">
        <f t="array" ref="EI58">INDEX(EH:EH,MIN(IF(ISNUMBER(EH58:EH254),ROW(EH58:EH254),"")))</f>
        <v>2.5641025641025634</v>
      </c>
      <c r="EJ58" s="12">
        <f>IF('Données projet'!$A$192&gt;35,EJ57+EI58-ER57,IF(A58&lt;'Données projet'!$A$192,$EG$205^A58,IF(A58='Données projet'!$A$192,'Données projet'!$B$192,EJ57+EI58-ER57)))</f>
        <v>67.948717948717942</v>
      </c>
      <c r="EK58" s="17">
        <f>EJ58*VLOOKUP('Données projet'!$B$15,Paramètres!$A$1:$I$89,3,0)*VLOOKUP('Données projet'!$B$15,Paramètres!$A$1:$I$89,5,0)</f>
        <v>73.14</v>
      </c>
      <c r="EL58" s="13">
        <f t="shared" si="45"/>
        <v>20.451227695169951</v>
      </c>
      <c r="EM58" s="20">
        <f t="shared" si="19"/>
        <v>163.00472156908765</v>
      </c>
      <c r="EN58" s="59">
        <f t="shared" si="20"/>
        <v>423.42782972073064</v>
      </c>
      <c r="EO58" s="59">
        <f ca="1">AVERAGE(OFFSET($EN$3,0,0,'Données projet'!$E$15+1,1))-AVERAGE(OFFSET($H$3,0,0,'Données projet'!$E$15+1,1))</f>
        <v>212.00478362779876</v>
      </c>
      <c r="EP58" s="59">
        <f t="shared" si="46"/>
        <v>133.62262474506707</v>
      </c>
      <c r="EQ58" s="15">
        <f>IF(ISNA(VLOOKUP(A58,'Données projet'!$A$191:$I$211,3,0)),0,VLOOKUP(A58,'Données projet'!$A$191:$I$211,3,0))</f>
        <v>7</v>
      </c>
      <c r="ER58" s="15">
        <f>IF(ISNA(VLOOKUP(A58,'Données projet'!$A$191:$I$211,4,0)),0,VLOOKUP(A58,'Données projet'!$A$191:$I$211,4,0))</f>
        <v>6.4102564102564097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0.1075</v>
      </c>
      <c r="EU58" s="16">
        <f>IF(ISNA(VLOOKUP(A58,'Données projet'!$A$191:$I$211,7,0)),0%,VLOOKUP(A58,'Données projet'!$A$191:$I$211,7,0))</f>
        <v>0.25</v>
      </c>
      <c r="EV58" s="21">
        <f>EXP(-LN(2)/35)*EV57+(1-EXP(-LN(2)/35))/(LN(2)/35)*ER58*ES58*VLOOKUP('Données projet'!$B$15,Paramètres!$A$1:$I$89,3,0)*0.475*44/12</f>
        <v>0</v>
      </c>
      <c r="EW58" s="21">
        <f>EXP(-LN(2)/25)*EW57+(1-EXP(-LN(2)/25))/(LN(2)/25)*Calculateur!ER58*Calculateur!ET58*VLOOKUP('Données projet'!$B$15,Paramètres!$A$1:$I$89,3,0)*0.475*44/12</f>
        <v>3.6386913197365058</v>
      </c>
      <c r="EX58" s="21">
        <f>EXP(-LN(2)/2)*EX57+(1-EXP(-LN(2)/2))/(LN(2)/2)*ER58*EU58*VLOOKUP('Données projet'!$B$15,Paramètres!$A$1:$I$89,3,0)*0.475*44/12</f>
        <v>1.9708707050165515</v>
      </c>
      <c r="EY58" s="22">
        <f t="shared" si="21"/>
        <v>5.6095620247530569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61.024484041357205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>
        <f>VLOOKUP(A58,'Données projet'!$A$217:$I$237,2,0)</f>
        <v>67.948717948717942</v>
      </c>
      <c r="FC58" s="12">
        <f>VLOOKUP(A58,'Données projet'!$A$217:$I$237,9,0)</f>
        <v>2.5641025641025634</v>
      </c>
      <c r="FD58" s="12">
        <f t="array" ref="FD58">INDEX(FC:FC,MIN(IF(ISNUMBER(FC58:FC254),ROW(FC58:FC254),"")))</f>
        <v>2.5641025641025634</v>
      </c>
      <c r="FE58" s="12">
        <f>IF('Données projet'!$A$218&gt;35,FE57+FD58-FM57,IF(A58&lt;'Données projet'!$A$218,$FB$205^A58,IF(A58='Données projet'!$A$218,'Données projet'!$B$218,FE57+FD58-FM57)))</f>
        <v>67.948717948717942</v>
      </c>
      <c r="FF58" s="17">
        <f>FE58*VLOOKUP('Données projet'!$B$16,Paramètres!$A$1:$I$89,3,0)*VLOOKUP('Données projet'!$B$16,Paramètres!$A$1:$I$89,5,0)</f>
        <v>65.72</v>
      </c>
      <c r="FG58" s="13">
        <f t="shared" si="47"/>
        <v>18.606711516306749</v>
      </c>
      <c r="FH58" s="20">
        <f t="shared" si="22"/>
        <v>146.86902255756758</v>
      </c>
      <c r="FI58" s="59">
        <f t="shared" si="23"/>
        <v>407.2921307092106</v>
      </c>
      <c r="FJ58" s="59">
        <f ca="1">AVERAGE(OFFSET($FI$3,0,0,'Données projet'!$E$16+1,1))-AVERAGE(OFFSET($H$3,0,0,'Données projet'!$E$16+1,1))</f>
        <v>196.65742339093146</v>
      </c>
      <c r="FK58" s="59">
        <f t="shared" si="48"/>
        <v>125.41980634506001</v>
      </c>
      <c r="FL58" s="15">
        <f>IF(ISNA(VLOOKUP(A58,'Données projet'!$A$217:$I$237,3,0)),0,VLOOKUP(A58,'Données projet'!$A$217:$I$237,3,0))</f>
        <v>7</v>
      </c>
      <c r="FM58" s="15">
        <f>IF(ISNA(VLOOKUP(A58,'Données projet'!$A$217:$I$237,4,0)),0,VLOOKUP(A58,'Données projet'!$A$217:$I$237,4,0))</f>
        <v>6.4102564102564097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0.1075</v>
      </c>
      <c r="FP58" s="16">
        <f>IF(ISNA(VLOOKUP(A58,'Données projet'!$A$217:$I$237,7,0)),0%,VLOOKUP(A58,'Données projet'!$A$217:$I$237,7,0))</f>
        <v>0.25</v>
      </c>
      <c r="FQ58" s="21">
        <f>EXP(-LN(2)/35)*FQ57+(1-EXP(-LN(2)/35))/(LN(2)/35)*FM58*FN58*VLOOKUP('Données projet'!$B$16,Paramètres!$A$1:$I$89,3,0)*0.475*44/12</f>
        <v>0</v>
      </c>
      <c r="FR58" s="21">
        <f>EXP(-LN(2)/25)*FR57+(1-EXP(-LN(2)/25))/(LN(2)/25)*Calculateur!FM58*Calculateur!FO58*VLOOKUP('Données projet'!$B$16,Paramètres!$A$1:$I$89,3,0)*0.475*44/12</f>
        <v>3.2695487220820785</v>
      </c>
      <c r="FS58" s="21">
        <f>EXP(-LN(2)/2)*FS57+(1-EXP(-LN(2)/2))/(LN(2)/2)*FM58*FP58*VLOOKUP('Données projet'!$B$16,Paramètres!$A$1:$I$89,3,0)*0.475*44/12</f>
        <v>1.7709273001597998</v>
      </c>
      <c r="FT58" s="22">
        <f t="shared" si="24"/>
        <v>5.0404760222418785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61.024484041357205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61.024484041357205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>
      <c r="A59" s="10">
        <f t="shared" si="31"/>
        <v>56</v>
      </c>
      <c r="B59" s="73">
        <f>'Scénario référence'!$B$16*5+'Scénario référence'!$B$17*0+'Scénario référence'!$B$18*5</f>
        <v>4.6999999999999993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2.9877119999999979</v>
      </c>
      <c r="D59" s="11">
        <f t="shared" si="32"/>
        <v>1.2121639614121267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18.144539041776842</v>
      </c>
      <c r="H59" s="67">
        <f t="shared" si="1"/>
        <v>195.04811729945948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61.180189176992108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14.113999999999999</v>
      </c>
      <c r="N59" s="13">
        <f>IF('Données projet'!$A$36&gt;35,N58+M59-V58,IF(A59&lt;'Données projet'!$A$36,$K$205^A59,IF(A59='Données projet'!$A$36,'Données projet'!$B$36,N58+M59-V58)))</f>
        <v>384.48399999999992</v>
      </c>
      <c r="O59" s="13">
        <f>N59*VLOOKUP('Données projet'!$B$9,Paramètres!$A$1:$I$89,3,0)*VLOOKUP('Données projet'!$B$9,Paramètres!$A$1:$I$89,5,0)</f>
        <v>229.92143199999998</v>
      </c>
      <c r="P59" s="13">
        <f t="shared" si="33"/>
        <v>56.265692954832708</v>
      </c>
      <c r="Q59" s="20">
        <f t="shared" si="53"/>
        <v>498.44257596300025</v>
      </c>
      <c r="R59" s="59">
        <f t="shared" si="0"/>
        <v>759.43660294530468</v>
      </c>
      <c r="S59" s="59">
        <f ca="1">AVERAGE(OFFSET($R$3,0,0,'Données projet'!$E$9+1,1))-AVERAGE(OFFSET($H$3,0,0,'Données projet'!$E$9+1,1))</f>
        <v>366.93249569585623</v>
      </c>
      <c r="T59" s="59">
        <f t="shared" si="34"/>
        <v>272.47262353368501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31.993572174985893</v>
      </c>
      <c r="AA59" s="21">
        <f>EXP(-LN(2)/25)*AA58+(1-EXP(-LN(2)/25))/(LN(2)/25)*Calculateur!V59*Calculateur!X59*VLOOKUP('Données projet'!$B$9,Paramètres!$A$1:$I$89,3,0)*0.475*44/12</f>
        <v>16.052093001840458</v>
      </c>
      <c r="AB59" s="21">
        <f>EXP(-LN(2)/2)*AB58+(1-EXP(-LN(2)/2))/(LN(2)/2)*V59*Y59*VLOOKUP('Données projet'!$B$9,Paramètres!$A$1:$I$89,3,0)*0.475*44/12</f>
        <v>1.2474234084087776</v>
      </c>
      <c r="AC59" s="22">
        <f t="shared" si="3"/>
        <v>49.293088585235125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61.180189176992108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>
        <f>VLOOKUP(A59,'Données projet'!$A$61:$I$81,2,0)</f>
        <v>384.15</v>
      </c>
      <c r="AG59" s="12">
        <f>VLOOKUP(A59,'Données projet'!$A$61:$I$81,9,0)</f>
        <v>17.124285714285715</v>
      </c>
      <c r="AH59" s="12">
        <f t="array" ref="AH59">INDEX(AG:AG,MIN(IF(ISNUMBER(AG59:AG255),ROW(AG59:AG255),"")))</f>
        <v>17.124285714285715</v>
      </c>
      <c r="AI59" s="13">
        <f>IF('Données projet'!$A$62&gt;35,AI58+AH59-AQ58,IF(A59&lt;'Données projet'!$A$62,$AF$205^A59,IF(A59='Données projet'!$A$62,'Données projet'!$B$62,AI58+AH59-AQ58)))</f>
        <v>384.14999999999952</v>
      </c>
      <c r="AJ59" s="13">
        <f>AI59*VLOOKUP('Données projet'!$B$10,Paramètres!$A$1:$I$89,3,0)*VLOOKUP('Données projet'!$B$10,Paramètres!$A$1:$I$89,5,0)</f>
        <v>179.78219999999976</v>
      </c>
      <c r="AK59" s="13">
        <f t="shared" si="35"/>
        <v>45.273726265350561</v>
      </c>
      <c r="AL59" s="20">
        <f t="shared" si="4"/>
        <v>391.97240491215172</v>
      </c>
      <c r="AM59" s="59">
        <f t="shared" si="5"/>
        <v>652.96643189445615</v>
      </c>
      <c r="AN59" s="59">
        <f ca="1">AVERAGE(OFFSET($AM$3,0,0,'Données projet'!$E$10+1,1))-AVERAGE(OFFSET($H$3,0,0,'Données projet'!$E$10+1,1))</f>
        <v>382.89338473200229</v>
      </c>
      <c r="AO59" s="59">
        <f t="shared" si="36"/>
        <v>360.46248248971744</v>
      </c>
      <c r="AP59" s="15">
        <f>IF(ISNA(VLOOKUP(A59,'Données projet'!$A$61:$I$81,3,0)),0,VLOOKUP(A59,'Données projet'!$A$61:$I$81,3,0))</f>
        <v>3</v>
      </c>
      <c r="AQ59" s="15">
        <f>IF(ISNA(VLOOKUP(A59,'Données projet'!$A$61:$I$81,4,0)),0,VLOOKUP(A59,'Données projet'!$A$61:$I$81,4,0))</f>
        <v>80.21999999999997</v>
      </c>
      <c r="AR59" s="16">
        <f>IF(ISNA(VLOOKUP(A59,'Données projet'!$A$61:$I$81,5,0)),0%,VLOOKUP(A59,'Données projet'!$A$61:$I$81,5,0)*VLOOKUP('Données projet'!$B$10,Paramètres!$A$1:$I$89,7,0))</f>
        <v>0.33</v>
      </c>
      <c r="AS59" s="16">
        <f>IF(ISNA(VLOOKUP(A59,'Données projet'!$A$61:$I$81,6,0)),0%,VLOOKUP(A59,'Données projet'!$A$61:$I$81,6,0)*VLOOKUP('Données projet'!$B$10,Paramètres!$A$1:$I$89,7,0))</f>
        <v>0.11000000000000001</v>
      </c>
      <c r="AT59" s="16">
        <f>IF(ISNA(VLOOKUP(A59,'Données projet'!$A$61:$I$81,7,0)),0%,VLOOKUP(A59,'Données projet'!$A$61:$I$81,7,0))</f>
        <v>0.2</v>
      </c>
      <c r="AU59" s="21">
        <f>EXP(-LN(2)/35)*AU58+(1-EXP(-LN(2)/35))/(LN(2)/35)*AQ59*AR59*VLOOKUP('Données projet'!$B$10,Paramètres!$A$1:$I$89,3,0)*0.475*44/12</f>
        <v>63.238595286005797</v>
      </c>
      <c r="AV59" s="21">
        <f>EXP(-LN(2)/25)*AV58+(1-EXP(-LN(2)/25))/(LN(2)/25)*Calculateur!AQ59*Calculateur!AS59*VLOOKUP('Données projet'!$B$10,Paramètres!$A$1:$I$89,3,0)*0.475*44/12</f>
        <v>19.671135988750404</v>
      </c>
      <c r="AW59" s="21">
        <f>EXP(-LN(2)/2)*AW58+(1-EXP(-LN(2)/2))/(LN(2)/2)*AQ59*AT59*VLOOKUP('Données projet'!$B$10,Paramètres!$A$1:$I$89,3,0)*0.475*44/12</f>
        <v>9.6029215057631099</v>
      </c>
      <c r="AX59" s="21">
        <f t="shared" si="6"/>
        <v>92.512652780519304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61.180189176992108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3.2051282051282071</v>
      </c>
      <c r="BD59" s="12">
        <f>IF('Données projet'!$A$88&gt;35,BD58+BC59-BL58,IF(A59&lt;'Données projet'!$A$88,$BA$205^A59,IF(A59='Données projet'!$A$88,'Données projet'!$B$88,BD58+BC59-BL58)))</f>
        <v>108.33333333333329</v>
      </c>
      <c r="BE59" s="13">
        <f>BD59*VLOOKUP('Données projet'!$B$11,Paramètres!$A$1:$I$89,3,0)*VLOOKUP('Données projet'!$B$11,Paramètres!$A$1:$I$89,5,0)</f>
        <v>94.639999999999972</v>
      </c>
      <c r="BF59" s="13">
        <f t="shared" si="37"/>
        <v>25.680986215135576</v>
      </c>
      <c r="BG59" s="20">
        <f t="shared" si="7"/>
        <v>209.55905099136109</v>
      </c>
      <c r="BH59" s="59">
        <f t="shared" si="8"/>
        <v>470.55307797366549</v>
      </c>
      <c r="BI59" s="59">
        <f ca="1">AVERAGE(OFFSET($BH$3,0,0,'Données projet'!$E$11+1,1))-AVERAGE(OFFSET($H$3,0,0,'Données projet'!$E$11+1,1))</f>
        <v>225.75484198243581</v>
      </c>
      <c r="BJ59" s="59">
        <f t="shared" si="38"/>
        <v>199.49566488421061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0</v>
      </c>
      <c r="BQ59" s="21">
        <f>EXP(-LN(2)/25)*BQ58+(1-EXP(-LN(2)/25))/(LN(2)/25)*Calculateur!BL59*Calculateur!BN59*VLOOKUP('Données projet'!$B$11,Paramètres!$A$1:$I$89,3,0)*0.475*44/12</f>
        <v>13.025229059432636</v>
      </c>
      <c r="BR59" s="21">
        <f>EXP(-LN(2)/2)*BR58+(1-EXP(-LN(2)/2))/(LN(2)/2)*BL59*BO59*VLOOKUP('Données projet'!$B$11,Paramètres!$A$1:$I$89,3,0)*0.475*44/12</f>
        <v>0</v>
      </c>
      <c r="BS59" s="22">
        <f t="shared" si="9"/>
        <v>13.025229059432636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61.180189176992108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7.6</v>
      </c>
      <c r="BY59" s="12">
        <f>IF('Données projet'!$A$114&gt;35,BY58+BX59-CG58,IF(A59&lt;'Données projet'!$A$114,$BV$205^A59,IF(A59='Données projet'!$A$114,'Données projet'!$B$114,BY58+BX59-CG58)))</f>
        <v>183.6</v>
      </c>
      <c r="BZ59" s="13">
        <f>BY59*VLOOKUP('Données projet'!$B$12,Paramètres!$A$1:$I$89,3,0)*VLOOKUP('Données projet'!$B$12,Paramètres!$A$1:$I$89,5,0)</f>
        <v>174.71376000000001</v>
      </c>
      <c r="CA59" s="13">
        <f t="shared" si="39"/>
        <v>44.144062647515817</v>
      </c>
      <c r="CB59" s="20">
        <f t="shared" si="10"/>
        <v>381.17737444442338</v>
      </c>
      <c r="CC59" s="59">
        <f t="shared" si="11"/>
        <v>642.17140142672781</v>
      </c>
      <c r="CD59" s="59">
        <f ca="1">AVERAGE(OFFSET($CC$3,0,0,'Données projet'!$E$12+1,1))-AVERAGE(OFFSET($H$3,0,0,'Données projet'!$E$12+1,1))</f>
        <v>413.9352601863377</v>
      </c>
      <c r="CE59" s="59">
        <f t="shared" si="40"/>
        <v>255.13997349799286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0</v>
      </c>
      <c r="CL59" s="21">
        <f>EXP(-LN(2)/25)*CL58+(1-EXP(-LN(2)/25))/(LN(2)/25)*Calculateur!CG59*Calculateur!CI59*VLOOKUP('Données projet'!$B$12,Paramètres!$A$1:$I$89,3,0)*0.475*44/12</f>
        <v>10.418685340675152</v>
      </c>
      <c r="CM59" s="21">
        <f>EXP(-LN(2)/2)*CM58+(1-EXP(-LN(2)/2))/(LN(2)/2)*CG59*CJ59*VLOOKUP('Données projet'!$B$12,Paramètres!$A$1:$I$89,3,0)*0.475*44/12</f>
        <v>4.0487995723354562</v>
      </c>
      <c r="CN59" s="22">
        <f t="shared" si="12"/>
        <v>14.467484913010608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61.180189176992108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4</v>
      </c>
      <c r="CT59" s="12">
        <f>IF('Données projet'!$A$140&gt;35,CT58+CS59-DB58,IF(A59&lt;'Données projet'!$A$140,$CQ$205^A59,IF(A59='Données projet'!$A$140,'Données projet'!$B$140,CT58+CS59-DB58)))</f>
        <v>178</v>
      </c>
      <c r="CU59" s="17">
        <f>CT59*VLOOKUP('Données projet'!$B$13,Paramètres!$A$1:$I$89,3,0)*VLOOKUP('Données projet'!$B$13,Paramètres!$A$1:$I$89,5,0)</f>
        <v>155.50080000000003</v>
      </c>
      <c r="CV59" s="13">
        <f t="shared" si="41"/>
        <v>39.826029828200333</v>
      </c>
      <c r="CW59" s="20">
        <f t="shared" si="13"/>
        <v>340.19422861744891</v>
      </c>
      <c r="CX59" s="59">
        <f t="shared" si="14"/>
        <v>601.18825559975335</v>
      </c>
      <c r="CY59" s="59">
        <f ca="1">AVERAGE(OFFSET($CX$3,0,0,'Données projet'!$E$13+1,1))-AVERAGE(OFFSET($H$3,0,0,'Données projet'!$E$13+1,1))</f>
        <v>280.59827778697775</v>
      </c>
      <c r="CZ59" s="59">
        <f t="shared" si="42"/>
        <v>270.86588231964726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>
        <f>EXP(-LN(2)/35)*DF58+(1-EXP(-LN(2)/35))/(LN(2)/35)*DB59*DC59*VLOOKUP('Données projet'!$B$13,Paramètres!$A$1:$I$89,3,0)*0.475*44/12</f>
        <v>2.8570763533721406</v>
      </c>
      <c r="DG59" s="21">
        <f>EXP(-LN(2)/25)*DG58+(1-EXP(-LN(2)/25))/(LN(2)/25)*Calculateur!DB59*Calculateur!DD59*VLOOKUP('Données projet'!$B$13,Paramètres!$A$1:$I$89,3,0)*0.475*44/12</f>
        <v>11.092089658939921</v>
      </c>
      <c r="DH59" s="21">
        <f>EXP(-LN(2)/2)*DH58+(1-EXP(-LN(2)/2))/(LN(2)/2)*DB59*DE59*VLOOKUP('Données projet'!$B$13,Paramètres!$A$1:$I$89,3,0)*0.475*44/12</f>
        <v>2.0401697722153056</v>
      </c>
      <c r="DI59" s="22">
        <f t="shared" si="15"/>
        <v>15.989335784527368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61.180189176992108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4.6153846153846132</v>
      </c>
      <c r="DO59" s="12">
        <f>IF('Données projet'!$A$166&gt;35,DO58+DN59-DW58,IF(A59&lt;'Données projet'!$A$166,$DL$205^A59,IF(A59='Données projet'!$A$166,'Données projet'!$B$166,DO58+DN59-DW58)))</f>
        <v>109.10256410256409</v>
      </c>
      <c r="DP59" s="17">
        <f>DO59*VLOOKUP('Données projet'!$B$14,Paramètres!$A$1:$I$89,3,0)*VLOOKUP('Données projet'!$B$14,Paramètres!$A$1:$I$89,5,0)</f>
        <v>73.185999999999993</v>
      </c>
      <c r="DQ59" s="13">
        <f t="shared" si="43"/>
        <v>20.462592502396515</v>
      </c>
      <c r="DR59" s="20">
        <f t="shared" si="16"/>
        <v>163.10463194167394</v>
      </c>
      <c r="DS59" s="59">
        <f t="shared" si="17"/>
        <v>424.09865892397841</v>
      </c>
      <c r="DT59" s="59">
        <f ca="1">AVERAGE(OFFSET($DS$3,0,0,'Données projet'!$E$14+1,1))-AVERAGE(OFFSET($H$3,0,0,'Données projet'!$E$14+1,1))</f>
        <v>211.42385430331873</v>
      </c>
      <c r="DU59" s="59">
        <f t="shared" si="44"/>
        <v>146.84623106782686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>
        <f>EXP(-LN(2)/35)*EA58+(1-EXP(-LN(2)/35))/(LN(2)/35)*DW59*DX59*VLOOKUP('Données projet'!$B$14,Paramètres!$A$1:$I$89,3,0)*0.475*44/12</f>
        <v>0</v>
      </c>
      <c r="EB59" s="21">
        <f>EXP(-LN(2)/25)*EB58+(1-EXP(-LN(2)/25))/(LN(2)/25)*Calculateur!DW59*Calculateur!DY59*VLOOKUP('Données projet'!$B$14,Paramètres!$A$1:$I$89,3,0)*0.475*44/12</f>
        <v>6.1247776624901888</v>
      </c>
      <c r="EC59" s="21">
        <f>EXP(-LN(2)/2)*EC58+(1-EXP(-LN(2)/2))/(LN(2)/2)*DW59*DZ59*VLOOKUP('Données projet'!$B$14,Paramètres!$A$1:$I$89,3,0)*0.475*44/12</f>
        <v>1.9133668654876435</v>
      </c>
      <c r="ED59" s="22">
        <f t="shared" si="18"/>
        <v>8.038144527977833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61.180189176992108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2.4358974358974366</v>
      </c>
      <c r="EJ59" s="12">
        <f>IF('Données projet'!$A$192&gt;35,EJ58+EI59-ER58,IF(A59&lt;'Données projet'!$A$192,$EG$205^A59,IF(A59='Données projet'!$A$192,'Données projet'!$B$192,EJ58+EI59-ER58)))</f>
        <v>63.974358974358964</v>
      </c>
      <c r="EK59" s="17">
        <f>EJ59*VLOOKUP('Données projet'!$B$15,Paramètres!$A$1:$I$89,3,0)*VLOOKUP('Données projet'!$B$15,Paramètres!$A$1:$I$89,5,0)</f>
        <v>68.861999999999981</v>
      </c>
      <c r="EL59" s="13">
        <f t="shared" si="45"/>
        <v>19.390583039845843</v>
      </c>
      <c r="EM59" s="20">
        <f t="shared" si="19"/>
        <v>153.70658212773148</v>
      </c>
      <c r="EN59" s="59">
        <f t="shared" si="20"/>
        <v>414.70060911003588</v>
      </c>
      <c r="EO59" s="59">
        <f ca="1">AVERAGE(OFFSET($EN$3,0,0,'Données projet'!$E$15+1,1))-AVERAGE(OFFSET($H$3,0,0,'Données projet'!$E$15+1,1))</f>
        <v>212.00478362779876</v>
      </c>
      <c r="EP59" s="59">
        <f t="shared" si="46"/>
        <v>133.62262474506707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>
        <f>EXP(-LN(2)/35)*EV58+(1-EXP(-LN(2)/35))/(LN(2)/35)*ER59*ES59*VLOOKUP('Données projet'!$B$15,Paramètres!$A$1:$I$89,3,0)*0.475*44/12</f>
        <v>0</v>
      </c>
      <c r="EW59" s="21">
        <f>EXP(-LN(2)/25)*EW58+(1-EXP(-LN(2)/25))/(LN(2)/25)*Calculateur!ER59*Calculateur!ET59*VLOOKUP('Données projet'!$B$15,Paramètres!$A$1:$I$89,3,0)*0.475*44/12</f>
        <v>3.5391911142478509</v>
      </c>
      <c r="EX59" s="21">
        <f>EXP(-LN(2)/2)*EX58+(1-EXP(-LN(2)/2))/(LN(2)/2)*ER59*EU59*VLOOKUP('Données projet'!$B$15,Paramètres!$A$1:$I$89,3,0)*0.475*44/12</f>
        <v>1.3936160403591153</v>
      </c>
      <c r="EY59" s="22">
        <f t="shared" si="21"/>
        <v>4.9328071546069658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61.180189176992108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2.4358974358974366</v>
      </c>
      <c r="FE59" s="12">
        <f>IF('Données projet'!$A$218&gt;35,FE58+FD59-FM58,IF(A59&lt;'Données projet'!$A$218,$FB$205^A59,IF(A59='Données projet'!$A$218,'Données projet'!$B$218,FE58+FD59-FM58)))</f>
        <v>63.974358974358964</v>
      </c>
      <c r="FF59" s="17">
        <f>FE59*VLOOKUP('Données projet'!$B$16,Paramètres!$A$1:$I$89,3,0)*VLOOKUP('Données projet'!$B$16,Paramètres!$A$1:$I$89,5,0)</f>
        <v>61.875999999999991</v>
      </c>
      <c r="FG59" s="13">
        <f t="shared" si="47"/>
        <v>17.641727437253664</v>
      </c>
      <c r="FH59" s="20">
        <f t="shared" si="22"/>
        <v>138.4933752865501</v>
      </c>
      <c r="FI59" s="59">
        <f t="shared" si="23"/>
        <v>399.48740226885457</v>
      </c>
      <c r="FJ59" s="59">
        <f ca="1">AVERAGE(OFFSET($FI$3,0,0,'Données projet'!$E$16+1,1))-AVERAGE(OFFSET($H$3,0,0,'Données projet'!$E$16+1,1))</f>
        <v>196.65742339093146</v>
      </c>
      <c r="FK59" s="59">
        <f t="shared" si="48"/>
        <v>125.41980634506001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>
        <f>EXP(-LN(2)/35)*FQ58+(1-EXP(-LN(2)/35))/(LN(2)/35)*FM59*FN59*VLOOKUP('Données projet'!$B$16,Paramètres!$A$1:$I$89,3,0)*0.475*44/12</f>
        <v>0</v>
      </c>
      <c r="FR59" s="21">
        <f>EXP(-LN(2)/25)*FR58+(1-EXP(-LN(2)/25))/(LN(2)/25)*Calculateur!FM59*Calculateur!FO59*VLOOKUP('Données projet'!$B$16,Paramètres!$A$1:$I$89,3,0)*0.475*44/12</f>
        <v>3.1801427403386495</v>
      </c>
      <c r="FS59" s="21">
        <f>EXP(-LN(2)/2)*FS58+(1-EXP(-LN(2)/2))/(LN(2)/2)*FM59*FP59*VLOOKUP('Données projet'!$B$16,Paramètres!$A$1:$I$89,3,0)*0.475*44/12</f>
        <v>1.252234702931379</v>
      </c>
      <c r="FT59" s="22">
        <f t="shared" si="24"/>
        <v>4.4323774432700285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61.180189176992108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61.180189176992108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>
      <c r="A60" s="10">
        <f t="shared" si="31"/>
        <v>57</v>
      </c>
      <c r="B60" s="73">
        <f>'Scénario référence'!$B$16*5+'Scénario référence'!$B$17*0+'Scénario référence'!$B$18*5</f>
        <v>4.6999999999999993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3.0410639999999978</v>
      </c>
      <c r="D60" s="11">
        <f t="shared" si="32"/>
        <v>1.2312704303148139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18.178098753689667</v>
      </c>
      <c r="H60" s="67">
        <f t="shared" si="1"/>
        <v>195.17431579946498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61.333193176628285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14.113999999999999</v>
      </c>
      <c r="N60" s="13">
        <f>IF('Données projet'!$A$36&gt;35,N59+M60-V59,IF(A60&lt;'Données projet'!$A$36,$K$205^A60,IF(A60='Données projet'!$A$36,'Données projet'!$B$36,N59+M60-V59)))</f>
        <v>398.5979999999999</v>
      </c>
      <c r="O60" s="13">
        <f>N60*VLOOKUP('Données projet'!$B$9,Paramètres!$A$1:$I$89,3,0)*VLOOKUP('Données projet'!$B$9,Paramètres!$A$1:$I$89,5,0)</f>
        <v>238.36160399999994</v>
      </c>
      <c r="P60" s="13">
        <f t="shared" si="33"/>
        <v>58.086881188787437</v>
      </c>
      <c r="Q60" s="20">
        <f t="shared" si="53"/>
        <v>516.31444503713794</v>
      </c>
      <c r="R60" s="59">
        <f t="shared" si="0"/>
        <v>777.86948668477498</v>
      </c>
      <c r="S60" s="59">
        <f ca="1">AVERAGE(OFFSET($R$3,0,0,'Données projet'!$E$9+1,1))-AVERAGE(OFFSET($H$3,0,0,'Données projet'!$E$9+1,1))</f>
        <v>366.93249569585623</v>
      </c>
      <c r="T60" s="59">
        <f t="shared" si="34"/>
        <v>272.47262353368501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31.366197738786585</v>
      </c>
      <c r="AA60" s="21">
        <f>EXP(-LN(2)/25)*AA59+(1-EXP(-LN(2)/25))/(LN(2)/25)*Calculateur!V60*Calculateur!X60*VLOOKUP('Données projet'!$B$9,Paramètres!$A$1:$I$89,3,0)*0.475*44/12</f>
        <v>15.613147674562248</v>
      </c>
      <c r="AB60" s="21">
        <f>EXP(-LN(2)/2)*AB59+(1-EXP(-LN(2)/2))/(LN(2)/2)*V60*Y60*VLOOKUP('Données projet'!$B$9,Paramètres!$A$1:$I$89,3,0)*0.475*44/12</f>
        <v>0.88206155109668294</v>
      </c>
      <c r="AC60" s="22">
        <f t="shared" si="3"/>
        <v>47.861406964445514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61.333193176628285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16.778571428571428</v>
      </c>
      <c r="AI60" s="13">
        <f>IF('Données projet'!$A$62&gt;35,AI59+AH60-AQ59,IF(A60&lt;'Données projet'!$A$62,$AF$205^A60,IF(A60='Données projet'!$A$62,'Données projet'!$B$62,AI59+AH60-AQ59)))</f>
        <v>320.70857142857096</v>
      </c>
      <c r="AJ60" s="13">
        <f>AI60*VLOOKUP('Données projet'!$B$10,Paramètres!$A$1:$I$89,3,0)*VLOOKUP('Données projet'!$B$10,Paramètres!$A$1:$I$89,5,0)</f>
        <v>150.09161142857121</v>
      </c>
      <c r="AK60" s="13">
        <f t="shared" si="35"/>
        <v>38.599403906882628</v>
      </c>
      <c r="AL60" s="20">
        <f t="shared" si="4"/>
        <v>328.63685170924879</v>
      </c>
      <c r="AM60" s="59">
        <f t="shared" si="5"/>
        <v>590.19189335688588</v>
      </c>
      <c r="AN60" s="59">
        <f ca="1">AVERAGE(OFFSET($AM$3,0,0,'Données projet'!$E$10+1,1))-AVERAGE(OFFSET($H$3,0,0,'Données projet'!$E$10+1,1))</f>
        <v>382.89338473200229</v>
      </c>
      <c r="AO60" s="59">
        <f t="shared" si="36"/>
        <v>360.46248248971744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61.998525004181708</v>
      </c>
      <c r="AV60" s="21">
        <f>EXP(-LN(2)/25)*AV59+(1-EXP(-LN(2)/25))/(LN(2)/25)*Calculateur!AQ60*Calculateur!AS60*VLOOKUP('Données projet'!$B$10,Paramètres!$A$1:$I$89,3,0)*0.475*44/12</f>
        <v>19.133227740677942</v>
      </c>
      <c r="AW60" s="21">
        <f>EXP(-LN(2)/2)*AW59+(1-EXP(-LN(2)/2))/(LN(2)/2)*AQ60*AT60*VLOOKUP('Données projet'!$B$10,Paramètres!$A$1:$I$89,3,0)*0.475*44/12</f>
        <v>6.7902909159272271</v>
      </c>
      <c r="AX60" s="21">
        <f t="shared" si="6"/>
        <v>87.922043660786883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61.333193176628285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3.2051282051282071</v>
      </c>
      <c r="BD60" s="12">
        <f>IF('Données projet'!$A$88&gt;35,BD59+BC60-BL59,IF(A60&lt;'Données projet'!$A$88,$BA$205^A60,IF(A60='Données projet'!$A$88,'Données projet'!$B$88,BD59+BC60-BL59)))</f>
        <v>111.53846153846149</v>
      </c>
      <c r="BE60" s="13">
        <f>BD60*VLOOKUP('Données projet'!$B$11,Paramètres!$A$1:$I$89,3,0)*VLOOKUP('Données projet'!$B$11,Paramètres!$A$1:$I$89,5,0)</f>
        <v>97.439999999999969</v>
      </c>
      <c r="BF60" s="13">
        <f t="shared" si="37"/>
        <v>26.351195394682179</v>
      </c>
      <c r="BG60" s="20">
        <f t="shared" si="7"/>
        <v>215.60299864573804</v>
      </c>
      <c r="BH60" s="59">
        <f t="shared" si="8"/>
        <v>477.15804029337505</v>
      </c>
      <c r="BI60" s="59">
        <f ca="1">AVERAGE(OFFSET($BH$3,0,0,'Données projet'!$E$11+1,1))-AVERAGE(OFFSET($H$3,0,0,'Données projet'!$E$11+1,1))</f>
        <v>225.75484198243581</v>
      </c>
      <c r="BJ60" s="59">
        <f t="shared" si="38"/>
        <v>199.49566488421061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0</v>
      </c>
      <c r="BQ60" s="21">
        <f>EXP(-LN(2)/25)*BQ59+(1-EXP(-LN(2)/25))/(LN(2)/25)*Calculateur!BL60*Calculateur!BN60*VLOOKUP('Données projet'!$B$11,Paramètres!$A$1:$I$89,3,0)*0.475*44/12</f>
        <v>12.669053485835423</v>
      </c>
      <c r="BR60" s="21">
        <f>EXP(-LN(2)/2)*BR59+(1-EXP(-LN(2)/2))/(LN(2)/2)*BL60*BO60*VLOOKUP('Données projet'!$B$11,Paramètres!$A$1:$I$89,3,0)*0.475*44/12</f>
        <v>0</v>
      </c>
      <c r="BS60" s="22">
        <f t="shared" si="9"/>
        <v>12.669053485835423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61.333193176628285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7.6</v>
      </c>
      <c r="BY60" s="12">
        <f>IF('Données projet'!$A$114&gt;35,BY59+BX60-CG59,IF(A60&lt;'Données projet'!$A$114,$BV$205^A60,IF(A60='Données projet'!$A$114,'Données projet'!$B$114,BY59+BX60-CG59)))</f>
        <v>191.2</v>
      </c>
      <c r="BZ60" s="13">
        <f>BY60*VLOOKUP('Données projet'!$B$12,Paramètres!$A$1:$I$89,3,0)*VLOOKUP('Données projet'!$B$12,Paramètres!$A$1:$I$89,5,0)</f>
        <v>181.94592</v>
      </c>
      <c r="CA60" s="13">
        <f t="shared" si="39"/>
        <v>45.754846212632849</v>
      </c>
      <c r="CB60" s="20">
        <f t="shared" si="10"/>
        <v>396.57883448700221</v>
      </c>
      <c r="CC60" s="59">
        <f t="shared" si="11"/>
        <v>658.13387613463919</v>
      </c>
      <c r="CD60" s="59">
        <f ca="1">AVERAGE(OFFSET($CC$3,0,0,'Données projet'!$E$12+1,1))-AVERAGE(OFFSET($H$3,0,0,'Données projet'!$E$12+1,1))</f>
        <v>413.9352601863377</v>
      </c>
      <c r="CE60" s="59">
        <f t="shared" si="40"/>
        <v>255.13997349799286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0</v>
      </c>
      <c r="CL60" s="21">
        <f>EXP(-LN(2)/25)*CL59+(1-EXP(-LN(2)/25))/(LN(2)/25)*Calculateur!CG60*Calculateur!CI60*VLOOKUP('Données projet'!$B$12,Paramètres!$A$1:$I$89,3,0)*0.475*44/12</f>
        <v>10.13378584213954</v>
      </c>
      <c r="CM60" s="21">
        <f>EXP(-LN(2)/2)*CM59+(1-EXP(-LN(2)/2))/(LN(2)/2)*CG60*CJ60*VLOOKUP('Données projet'!$B$12,Paramètres!$A$1:$I$89,3,0)*0.475*44/12</f>
        <v>2.8629336332635948</v>
      </c>
      <c r="CN60" s="22">
        <f t="shared" si="12"/>
        <v>12.996719475403134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61.333193176628285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4</v>
      </c>
      <c r="CT60" s="12">
        <f>IF('Données projet'!$A$140&gt;35,CT59+CS60-DB59,IF(A60&lt;'Données projet'!$A$140,$CQ$205^A60,IF(A60='Données projet'!$A$140,'Données projet'!$B$140,CT59+CS60-DB59)))</f>
        <v>182</v>
      </c>
      <c r="CU60" s="17">
        <f>CT60*VLOOKUP('Données projet'!$B$13,Paramètres!$A$1:$I$89,3,0)*VLOOKUP('Données projet'!$B$13,Paramètres!$A$1:$I$89,5,0)</f>
        <v>158.99520000000004</v>
      </c>
      <c r="CV60" s="13">
        <f t="shared" si="41"/>
        <v>40.615796933386044</v>
      </c>
      <c r="CW60" s="20">
        <f t="shared" si="13"/>
        <v>347.65581965898076</v>
      </c>
      <c r="CX60" s="59">
        <f t="shared" si="14"/>
        <v>609.21086130661774</v>
      </c>
      <c r="CY60" s="59">
        <f ca="1">AVERAGE(OFFSET($CX$3,0,0,'Données projet'!$E$13+1,1))-AVERAGE(OFFSET($H$3,0,0,'Données projet'!$E$13+1,1))</f>
        <v>280.59827778697775</v>
      </c>
      <c r="CZ60" s="59">
        <f t="shared" si="42"/>
        <v>270.86588231964726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>
        <f>EXP(-LN(2)/35)*DF59+(1-EXP(-LN(2)/35))/(LN(2)/35)*DB60*DC60*VLOOKUP('Données projet'!$B$13,Paramètres!$A$1:$I$89,3,0)*0.475*44/12</f>
        <v>2.8010508287270168</v>
      </c>
      <c r="DG60" s="21">
        <f>EXP(-LN(2)/25)*DG59+(1-EXP(-LN(2)/25))/(LN(2)/25)*Calculateur!DB60*Calculateur!DD60*VLOOKUP('Données projet'!$B$13,Paramètres!$A$1:$I$89,3,0)*0.475*44/12</f>
        <v>10.788775883908565</v>
      </c>
      <c r="DH60" s="21">
        <f>EXP(-LN(2)/2)*DH59+(1-EXP(-LN(2)/2))/(LN(2)/2)*DB60*DE60*VLOOKUP('Données projet'!$B$13,Paramètres!$A$1:$I$89,3,0)*0.475*44/12</f>
        <v>1.4426178807052568</v>
      </c>
      <c r="DI60" s="22">
        <f t="shared" si="15"/>
        <v>15.032444593340838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61.333193176628285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4.6153846153846132</v>
      </c>
      <c r="DO60" s="12">
        <f>IF('Données projet'!$A$166&gt;35,DO59+DN60-DW59,IF(A60&lt;'Données projet'!$A$166,$DL$205^A60,IF(A60='Données projet'!$A$166,'Données projet'!$B$166,DO59+DN60-DW59)))</f>
        <v>113.7179487179487</v>
      </c>
      <c r="DP60" s="17">
        <f>DO60*VLOOKUP('Données projet'!$B$14,Paramètres!$A$1:$I$89,3,0)*VLOOKUP('Données projet'!$B$14,Paramètres!$A$1:$I$89,5,0)</f>
        <v>76.281999999999982</v>
      </c>
      <c r="DQ60" s="13">
        <f t="shared" si="43"/>
        <v>21.225611302223818</v>
      </c>
      <c r="DR60" s="20">
        <f t="shared" si="16"/>
        <v>169.82575635137312</v>
      </c>
      <c r="DS60" s="59">
        <f t="shared" si="17"/>
        <v>431.38079799901016</v>
      </c>
      <c r="DT60" s="59">
        <f ca="1">AVERAGE(OFFSET($DS$3,0,0,'Données projet'!$E$14+1,1))-AVERAGE(OFFSET($H$3,0,0,'Données projet'!$E$14+1,1))</f>
        <v>211.42385430331873</v>
      </c>
      <c r="DU60" s="59">
        <f t="shared" si="44"/>
        <v>146.84623106782686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>
        <f>EXP(-LN(2)/35)*EA59+(1-EXP(-LN(2)/35))/(LN(2)/35)*DW60*DX60*VLOOKUP('Données projet'!$B$14,Paramètres!$A$1:$I$89,3,0)*0.475*44/12</f>
        <v>0</v>
      </c>
      <c r="EB60" s="21">
        <f>EXP(-LN(2)/25)*EB59+(1-EXP(-LN(2)/25))/(LN(2)/25)*Calculateur!DW60*Calculateur!DY60*VLOOKUP('Données projet'!$B$14,Paramètres!$A$1:$I$89,3,0)*0.475*44/12</f>
        <v>5.9572952952213356</v>
      </c>
      <c r="EC60" s="21">
        <f>EXP(-LN(2)/2)*EC59+(1-EXP(-LN(2)/2))/(LN(2)/2)*DW60*DZ60*VLOOKUP('Données projet'!$B$14,Paramètres!$A$1:$I$89,3,0)*0.475*44/12</f>
        <v>1.3529546854839616</v>
      </c>
      <c r="ED60" s="22">
        <f t="shared" si="18"/>
        <v>7.3102499807052972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61.333193176628285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2.4358974358974366</v>
      </c>
      <c r="EJ60" s="12">
        <f>IF('Données projet'!$A$192&gt;35,EJ59+EI60-ER59,IF(A60&lt;'Données projet'!$A$192,$EG$205^A60,IF(A60='Données projet'!$A$192,'Données projet'!$B$192,EJ59+EI60-ER59)))</f>
        <v>66.410256410256395</v>
      </c>
      <c r="EK60" s="17">
        <f>EJ60*VLOOKUP('Données projet'!$B$15,Paramètres!$A$1:$I$89,3,0)*VLOOKUP('Données projet'!$B$15,Paramètres!$A$1:$I$89,5,0)</f>
        <v>71.48399999999998</v>
      </c>
      <c r="EL60" s="13">
        <f t="shared" si="45"/>
        <v>20.041535915238857</v>
      </c>
      <c r="EM60" s="20">
        <f t="shared" si="19"/>
        <v>159.40697505237429</v>
      </c>
      <c r="EN60" s="59">
        <f t="shared" si="20"/>
        <v>420.9620167000113</v>
      </c>
      <c r="EO60" s="59">
        <f ca="1">AVERAGE(OFFSET($EN$3,0,0,'Données projet'!$E$15+1,1))-AVERAGE(OFFSET($H$3,0,0,'Données projet'!$E$15+1,1))</f>
        <v>212.00478362779876</v>
      </c>
      <c r="EP60" s="59">
        <f t="shared" si="46"/>
        <v>133.62262474506707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>
        <f>EXP(-LN(2)/35)*EV59+(1-EXP(-LN(2)/35))/(LN(2)/35)*ER60*ES60*VLOOKUP('Données projet'!$B$15,Paramètres!$A$1:$I$89,3,0)*0.475*44/12</f>
        <v>0</v>
      </c>
      <c r="EW60" s="21">
        <f>EXP(-LN(2)/25)*EW59+(1-EXP(-LN(2)/25))/(LN(2)/25)*Calculateur!ER60*Calculateur!ET60*VLOOKUP('Données projet'!$B$15,Paramètres!$A$1:$I$89,3,0)*0.475*44/12</f>
        <v>3.4424117471107718</v>
      </c>
      <c r="EX60" s="21">
        <f>EXP(-LN(2)/2)*EX59+(1-EXP(-LN(2)/2))/(LN(2)/2)*ER60*EU60*VLOOKUP('Données projet'!$B$15,Paramètres!$A$1:$I$89,3,0)*0.475*44/12</f>
        <v>0.98543535250827585</v>
      </c>
      <c r="EY60" s="22">
        <f t="shared" si="21"/>
        <v>4.427847099619048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61.333193176628285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2.4358974358974366</v>
      </c>
      <c r="FE60" s="12">
        <f>IF('Données projet'!$A$218&gt;35,FE59+FD60-FM59,IF(A60&lt;'Données projet'!$A$218,$FB$205^A60,IF(A60='Données projet'!$A$218,'Données projet'!$B$218,FE59+FD60-FM59)))</f>
        <v>66.410256410256395</v>
      </c>
      <c r="FF60" s="17">
        <f>FE60*VLOOKUP('Données projet'!$B$16,Paramètres!$A$1:$I$89,3,0)*VLOOKUP('Données projet'!$B$16,Paramètres!$A$1:$I$89,5,0)</f>
        <v>64.231999999999985</v>
      </c>
      <c r="FG60" s="13">
        <f t="shared" si="47"/>
        <v>18.233970237719333</v>
      </c>
      <c r="FH60" s="20">
        <f t="shared" si="22"/>
        <v>143.62823149736116</v>
      </c>
      <c r="FI60" s="59">
        <f t="shared" si="23"/>
        <v>405.18327314499822</v>
      </c>
      <c r="FJ60" s="59">
        <f ca="1">AVERAGE(OFFSET($FI$3,0,0,'Données projet'!$E$16+1,1))-AVERAGE(OFFSET($H$3,0,0,'Données projet'!$E$16+1,1))</f>
        <v>196.65742339093146</v>
      </c>
      <c r="FK60" s="59">
        <f t="shared" si="48"/>
        <v>125.41980634506001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>
        <f>EXP(-LN(2)/35)*FQ59+(1-EXP(-LN(2)/35))/(LN(2)/35)*FM60*FN60*VLOOKUP('Données projet'!$B$16,Paramètres!$A$1:$I$89,3,0)*0.475*44/12</f>
        <v>0</v>
      </c>
      <c r="FR60" s="21">
        <f>EXP(-LN(2)/25)*FR59+(1-EXP(-LN(2)/25))/(LN(2)/25)*Calculateur!FM60*Calculateur!FO60*VLOOKUP('Données projet'!$B$16,Paramètres!$A$1:$I$89,3,0)*0.475*44/12</f>
        <v>3.0931815698676508</v>
      </c>
      <c r="FS60" s="21">
        <f>EXP(-LN(2)/2)*FS59+(1-EXP(-LN(2)/2))/(LN(2)/2)*FM60*FP60*VLOOKUP('Données projet'!$B$16,Paramètres!$A$1:$I$89,3,0)*0.475*44/12</f>
        <v>0.88546365007990002</v>
      </c>
      <c r="FT60" s="22">
        <f t="shared" si="24"/>
        <v>3.978645219947551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61.333193176628285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61.333193176628285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>
      <c r="A61" s="10">
        <f t="shared" si="31"/>
        <v>58</v>
      </c>
      <c r="B61" s="73">
        <f>'Scénario référence'!$B$16*5+'Scénario référence'!$B$17*0+'Scénario référence'!$B$18*5</f>
        <v>4.6999999999999993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3.0944159999999976</v>
      </c>
      <c r="D61" s="11">
        <f t="shared" si="32"/>
        <v>1.2503379194945814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18.211640411836086</v>
      </c>
      <c r="H61" s="67">
        <f t="shared" si="1"/>
        <v>195.30044640978642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61.483542898936477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14.113999999999999</v>
      </c>
      <c r="N61" s="13">
        <f>IF('Données projet'!$A$36&gt;35,N60+M61-V60,IF(A61&lt;'Données projet'!$A$36,$K$205^A61,IF(A61='Données projet'!$A$36,'Données projet'!$B$36,N60+M61-V60)))</f>
        <v>412.71199999999988</v>
      </c>
      <c r="O61" s="13">
        <f>N61*VLOOKUP('Données projet'!$B$9,Paramètres!$A$1:$I$89,3,0)*VLOOKUP('Données projet'!$B$9,Paramètres!$A$1:$I$89,5,0)</f>
        <v>246.80177599999993</v>
      </c>
      <c r="P61" s="13">
        <f t="shared" si="33"/>
        <v>59.900576970210864</v>
      </c>
      <c r="Q61" s="20">
        <f t="shared" si="53"/>
        <v>534.17326475645041</v>
      </c>
      <c r="R61" s="59">
        <f t="shared" si="0"/>
        <v>796.27958871921749</v>
      </c>
      <c r="S61" s="59">
        <f ca="1">AVERAGE(OFFSET($R$3,0,0,'Données projet'!$E$9+1,1))-AVERAGE(OFFSET($H$3,0,0,'Données projet'!$E$9+1,1))</f>
        <v>366.93249569585623</v>
      </c>
      <c r="T61" s="59">
        <f t="shared" si="34"/>
        <v>272.47262353368501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30.751125732620523</v>
      </c>
      <c r="AA61" s="21">
        <f>EXP(-LN(2)/25)*AA60+(1-EXP(-LN(2)/25))/(LN(2)/25)*Calculateur!V61*Calculateur!X61*VLOOKUP('Données projet'!$B$9,Paramètres!$A$1:$I$89,3,0)*0.475*44/12</f>
        <v>15.186205330341592</v>
      </c>
      <c r="AB61" s="21">
        <f>EXP(-LN(2)/2)*AB60+(1-EXP(-LN(2)/2))/(LN(2)/2)*V61*Y61*VLOOKUP('Données projet'!$B$9,Paramètres!$A$1:$I$89,3,0)*0.475*44/12</f>
        <v>0.62371170420438893</v>
      </c>
      <c r="AC61" s="22">
        <f t="shared" si="3"/>
        <v>46.561042767166505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61.483542898936477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16.778571428571428</v>
      </c>
      <c r="AI61" s="13">
        <f>IF('Données projet'!$A$62&gt;35,AI60+AH61-AQ60,IF(A61&lt;'Données projet'!$A$62,$AF$205^A61,IF(A61='Données projet'!$A$62,'Données projet'!$B$62,AI60+AH61-AQ60)))</f>
        <v>337.48714285714237</v>
      </c>
      <c r="AJ61" s="13">
        <f>AI61*VLOOKUP('Données projet'!$B$10,Paramètres!$A$1:$I$89,3,0)*VLOOKUP('Données projet'!$B$10,Paramètres!$A$1:$I$89,5,0)</f>
        <v>157.94398285714263</v>
      </c>
      <c r="AK61" s="13">
        <f t="shared" si="35"/>
        <v>40.378426510819843</v>
      </c>
      <c r="AL61" s="20">
        <f t="shared" si="4"/>
        <v>345.41152964920133</v>
      </c>
      <c r="AM61" s="59">
        <f t="shared" si="5"/>
        <v>607.51785361196835</v>
      </c>
      <c r="AN61" s="59">
        <f ca="1">AVERAGE(OFFSET($AM$3,0,0,'Données projet'!$E$10+1,1))-AVERAGE(OFFSET($H$3,0,0,'Données projet'!$E$10+1,1))</f>
        <v>382.89338473200229</v>
      </c>
      <c r="AO61" s="59">
        <f t="shared" si="36"/>
        <v>360.46248248971744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60.782771744215999</v>
      </c>
      <c r="AV61" s="21">
        <f>EXP(-LN(2)/25)*AV60+(1-EXP(-LN(2)/25))/(LN(2)/25)*Calculateur!AQ61*Calculateur!AS61*VLOOKUP('Données projet'!$B$10,Paramètres!$A$1:$I$89,3,0)*0.475*44/12</f>
        <v>18.610028621936387</v>
      </c>
      <c r="AW61" s="21">
        <f>EXP(-LN(2)/2)*AW60+(1-EXP(-LN(2)/2))/(LN(2)/2)*AQ61*AT61*VLOOKUP('Données projet'!$B$10,Paramètres!$A$1:$I$89,3,0)*0.475*44/12</f>
        <v>4.8014607528815558</v>
      </c>
      <c r="AX61" s="21">
        <f t="shared" si="6"/>
        <v>84.194261119033939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61.483542898936477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3.2051282051282071</v>
      </c>
      <c r="BD61" s="12">
        <f>IF('Données projet'!$A$88&gt;35,BD60+BC61-BL60,IF(A61&lt;'Données projet'!$A$88,$BA$205^A61,IF(A61='Données projet'!$A$88,'Données projet'!$B$88,BD60+BC61-BL60)))</f>
        <v>114.74358974358969</v>
      </c>
      <c r="BE61" s="13">
        <f>BD61*VLOOKUP('Données projet'!$B$11,Paramètres!$A$1:$I$89,3,0)*VLOOKUP('Données projet'!$B$11,Paramètres!$A$1:$I$89,5,0)</f>
        <v>100.23999999999997</v>
      </c>
      <c r="BF61" s="13">
        <f t="shared" si="37"/>
        <v>27.019166259515604</v>
      </c>
      <c r="BG61" s="20">
        <f t="shared" si="7"/>
        <v>221.6430479019896</v>
      </c>
      <c r="BH61" s="59">
        <f t="shared" si="8"/>
        <v>483.74937186475665</v>
      </c>
      <c r="BI61" s="59">
        <f ca="1">AVERAGE(OFFSET($BH$3,0,0,'Données projet'!$E$11+1,1))-AVERAGE(OFFSET($H$3,0,0,'Données projet'!$E$11+1,1))</f>
        <v>225.75484198243581</v>
      </c>
      <c r="BJ61" s="59">
        <f t="shared" si="38"/>
        <v>199.49566488421061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0</v>
      </c>
      <c r="BQ61" s="21">
        <f>EXP(-LN(2)/25)*BQ60+(1-EXP(-LN(2)/25))/(LN(2)/25)*Calculateur!BL61*Calculateur!BN61*VLOOKUP('Données projet'!$B$11,Paramètres!$A$1:$I$89,3,0)*0.475*44/12</f>
        <v>12.322617552028687</v>
      </c>
      <c r="BR61" s="21">
        <f>EXP(-LN(2)/2)*BR60+(1-EXP(-LN(2)/2))/(LN(2)/2)*BL61*BO61*VLOOKUP('Données projet'!$B$11,Paramètres!$A$1:$I$89,3,0)*0.475*44/12</f>
        <v>0</v>
      </c>
      <c r="BS61" s="22">
        <f t="shared" si="9"/>
        <v>12.322617552028687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61.483542898936477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7.6</v>
      </c>
      <c r="BY61" s="12">
        <f>IF('Données projet'!$A$114&gt;35,BY60+BX61-CG60,IF(A61&lt;'Données projet'!$A$114,$BV$205^A61,IF(A61='Données projet'!$A$114,'Données projet'!$B$114,BY60+BX61-CG60)))</f>
        <v>198.79999999999998</v>
      </c>
      <c r="BZ61" s="13">
        <f>BY61*VLOOKUP('Données projet'!$B$12,Paramètres!$A$1:$I$89,3,0)*VLOOKUP('Données projet'!$B$12,Paramètres!$A$1:$I$89,5,0)</f>
        <v>189.17807999999999</v>
      </c>
      <c r="CA61" s="13">
        <f t="shared" si="39"/>
        <v>47.358192185392497</v>
      </c>
      <c r="CB61" s="20">
        <f t="shared" si="10"/>
        <v>411.96734072289183</v>
      </c>
      <c r="CC61" s="59">
        <f t="shared" si="11"/>
        <v>674.07366468565897</v>
      </c>
      <c r="CD61" s="59">
        <f ca="1">AVERAGE(OFFSET($CC$3,0,0,'Données projet'!$E$12+1,1))-AVERAGE(OFFSET($H$3,0,0,'Données projet'!$E$12+1,1))</f>
        <v>413.9352601863377</v>
      </c>
      <c r="CE61" s="59">
        <f t="shared" si="40"/>
        <v>255.13997349799286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0</v>
      </c>
      <c r="CL61" s="21">
        <f>EXP(-LN(2)/25)*CL60+(1-EXP(-LN(2)/25))/(LN(2)/25)*Calculateur!CG61*Calculateur!CI61*VLOOKUP('Données projet'!$B$12,Paramètres!$A$1:$I$89,3,0)*0.475*44/12</f>
        <v>9.8566769353735975</v>
      </c>
      <c r="CM61" s="21">
        <f>EXP(-LN(2)/2)*CM60+(1-EXP(-LN(2)/2))/(LN(2)/2)*CG61*CJ61*VLOOKUP('Données projet'!$B$12,Paramètres!$A$1:$I$89,3,0)*0.475*44/12</f>
        <v>2.0243997861677285</v>
      </c>
      <c r="CN61" s="22">
        <f t="shared" si="12"/>
        <v>11.881076721541326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61.483542898936477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4</v>
      </c>
      <c r="CT61" s="12">
        <f>IF('Données projet'!$A$140&gt;35,CT60+CS61-DB60,IF(A61&lt;'Données projet'!$A$140,$CQ$205^A61,IF(A61='Données projet'!$A$140,'Données projet'!$B$140,CT60+CS61-DB60)))</f>
        <v>186</v>
      </c>
      <c r="CU61" s="17">
        <f>CT61*VLOOKUP('Données projet'!$B$13,Paramètres!$A$1:$I$89,3,0)*VLOOKUP('Données projet'!$B$13,Paramètres!$A$1:$I$89,5,0)</f>
        <v>162.48960000000002</v>
      </c>
      <c r="CV61" s="13">
        <f t="shared" si="41"/>
        <v>41.403546033820696</v>
      </c>
      <c r="CW61" s="20">
        <f t="shared" si="13"/>
        <v>355.11389600890442</v>
      </c>
      <c r="CX61" s="59">
        <f t="shared" si="14"/>
        <v>617.22021997167144</v>
      </c>
      <c r="CY61" s="59">
        <f ca="1">AVERAGE(OFFSET($CX$3,0,0,'Données projet'!$E$13+1,1))-AVERAGE(OFFSET($H$3,0,0,'Données projet'!$E$13+1,1))</f>
        <v>280.59827778697775</v>
      </c>
      <c r="CZ61" s="59">
        <f t="shared" si="42"/>
        <v>270.86588231964726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>
        <f>EXP(-LN(2)/35)*DF60+(1-EXP(-LN(2)/35))/(LN(2)/35)*DB61*DC61*VLOOKUP('Données projet'!$B$13,Paramètres!$A$1:$I$89,3,0)*0.475*44/12</f>
        <v>2.7461239304479879</v>
      </c>
      <c r="DG61" s="21">
        <f>EXP(-LN(2)/25)*DG60+(1-EXP(-LN(2)/25))/(LN(2)/25)*Calculateur!DB61*Calculateur!DD61*VLOOKUP('Données projet'!$B$13,Paramètres!$A$1:$I$89,3,0)*0.475*44/12</f>
        <v>10.49375624000602</v>
      </c>
      <c r="DH61" s="21">
        <f>EXP(-LN(2)/2)*DH60+(1-EXP(-LN(2)/2))/(LN(2)/2)*DB61*DE61*VLOOKUP('Données projet'!$B$13,Paramètres!$A$1:$I$89,3,0)*0.475*44/12</f>
        <v>1.020084886107653</v>
      </c>
      <c r="DI61" s="22">
        <f t="shared" si="15"/>
        <v>14.259965056561661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61.483542898936477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4.6153846153846132</v>
      </c>
      <c r="DO61" s="12">
        <f>IF('Données projet'!$A$166&gt;35,DO60+DN61-DW60,IF(A61&lt;'Données projet'!$A$166,$DL$205^A61,IF(A61='Données projet'!$A$166,'Données projet'!$B$166,DO60+DN61-DW60)))</f>
        <v>118.33333333333331</v>
      </c>
      <c r="DP61" s="17">
        <f>DO61*VLOOKUP('Données projet'!$B$14,Paramètres!$A$1:$I$89,3,0)*VLOOKUP('Données projet'!$B$14,Paramètres!$A$1:$I$89,5,0)</f>
        <v>79.377999999999986</v>
      </c>
      <c r="DQ61" s="13">
        <f t="shared" si="43"/>
        <v>21.985032877161508</v>
      </c>
      <c r="DR61" s="20">
        <f t="shared" si="16"/>
        <v>176.54061559438958</v>
      </c>
      <c r="DS61" s="59">
        <f t="shared" si="17"/>
        <v>438.64693955715666</v>
      </c>
      <c r="DT61" s="59">
        <f ca="1">AVERAGE(OFFSET($DS$3,0,0,'Données projet'!$E$14+1,1))-AVERAGE(OFFSET($H$3,0,0,'Données projet'!$E$14+1,1))</f>
        <v>211.42385430331873</v>
      </c>
      <c r="DU61" s="59">
        <f t="shared" si="44"/>
        <v>146.84623106782686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>
        <f>EXP(-LN(2)/35)*EA60+(1-EXP(-LN(2)/35))/(LN(2)/35)*DW61*DX61*VLOOKUP('Données projet'!$B$14,Paramètres!$A$1:$I$89,3,0)*0.475*44/12</f>
        <v>0</v>
      </c>
      <c r="EB61" s="21">
        <f>EXP(-LN(2)/25)*EB60+(1-EXP(-LN(2)/25))/(LN(2)/25)*Calculateur!DW61*Calculateur!DY61*VLOOKUP('Données projet'!$B$14,Paramètres!$A$1:$I$89,3,0)*0.475*44/12</f>
        <v>5.7943927420929642</v>
      </c>
      <c r="EC61" s="21">
        <f>EXP(-LN(2)/2)*EC60+(1-EXP(-LN(2)/2))/(LN(2)/2)*DW61*DZ61*VLOOKUP('Données projet'!$B$14,Paramètres!$A$1:$I$89,3,0)*0.475*44/12</f>
        <v>0.95668343274382195</v>
      </c>
      <c r="ED61" s="22">
        <f t="shared" si="18"/>
        <v>6.7510761748367862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61.483542898936477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2.4358974358974366</v>
      </c>
      <c r="EJ61" s="12">
        <f>IF('Données projet'!$A$192&gt;35,EJ60+EI61-ER60,IF(A61&lt;'Données projet'!$A$192,$EG$205^A61,IF(A61='Données projet'!$A$192,'Données projet'!$B$192,EJ60+EI61-ER60)))</f>
        <v>68.846153846153825</v>
      </c>
      <c r="EK61" s="17">
        <f>EJ61*VLOOKUP('Données projet'!$B$15,Paramètres!$A$1:$I$89,3,0)*VLOOKUP('Données projet'!$B$15,Paramètres!$A$1:$I$89,5,0)</f>
        <v>74.105999999999966</v>
      </c>
      <c r="EL61" s="13">
        <f t="shared" si="45"/>
        <v>20.68971481611322</v>
      </c>
      <c r="EM61" s="20">
        <f t="shared" si="19"/>
        <v>165.10253663806381</v>
      </c>
      <c r="EN61" s="59">
        <f t="shared" si="20"/>
        <v>427.20886060083092</v>
      </c>
      <c r="EO61" s="59">
        <f ca="1">AVERAGE(OFFSET($EN$3,0,0,'Données projet'!$E$15+1,1))-AVERAGE(OFFSET($H$3,0,0,'Données projet'!$E$15+1,1))</f>
        <v>212.00478362779876</v>
      </c>
      <c r="EP61" s="59">
        <f t="shared" si="46"/>
        <v>133.62262474506707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>
        <f>EXP(-LN(2)/35)*EV60+(1-EXP(-LN(2)/35))/(LN(2)/35)*ER61*ES61*VLOOKUP('Données projet'!$B$15,Paramètres!$A$1:$I$89,3,0)*0.475*44/12</f>
        <v>0</v>
      </c>
      <c r="EW61" s="21">
        <f>EXP(-LN(2)/25)*EW60+(1-EXP(-LN(2)/25))/(LN(2)/25)*Calculateur!ER61*Calculateur!ET61*VLOOKUP('Données projet'!$B$15,Paramètres!$A$1:$I$89,3,0)*0.475*44/12</f>
        <v>3.3482788168574618</v>
      </c>
      <c r="EX61" s="21">
        <f>EXP(-LN(2)/2)*EX60+(1-EXP(-LN(2)/2))/(LN(2)/2)*ER61*EU61*VLOOKUP('Données projet'!$B$15,Paramètres!$A$1:$I$89,3,0)*0.475*44/12</f>
        <v>0.69680802017955779</v>
      </c>
      <c r="EY61" s="22">
        <f t="shared" si="21"/>
        <v>4.0450868370370197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61.483542898936477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2.4358974358974366</v>
      </c>
      <c r="FE61" s="12">
        <f>IF('Données projet'!$A$218&gt;35,FE60+FD61-FM60,IF(A61&lt;'Données projet'!$A$218,$FB$205^A61,IF(A61='Données projet'!$A$218,'Données projet'!$B$218,FE60+FD61-FM60)))</f>
        <v>68.846153846153825</v>
      </c>
      <c r="FF61" s="17">
        <f>FE61*VLOOKUP('Données projet'!$B$16,Paramètres!$A$1:$I$89,3,0)*VLOOKUP('Données projet'!$B$16,Paramètres!$A$1:$I$89,5,0)</f>
        <v>66.58799999999998</v>
      </c>
      <c r="FG61" s="13">
        <f t="shared" si="47"/>
        <v>18.823689251134553</v>
      </c>
      <c r="FH61" s="20">
        <f t="shared" si="22"/>
        <v>148.75869211239265</v>
      </c>
      <c r="FI61" s="59">
        <f t="shared" si="23"/>
        <v>410.8650160751597</v>
      </c>
      <c r="FJ61" s="59">
        <f ca="1">AVERAGE(OFFSET($FI$3,0,0,'Données projet'!$E$16+1,1))-AVERAGE(OFFSET($H$3,0,0,'Données projet'!$E$16+1,1))</f>
        <v>196.65742339093146</v>
      </c>
      <c r="FK61" s="59">
        <f t="shared" si="48"/>
        <v>125.41980634506001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>
        <f>EXP(-LN(2)/35)*FQ60+(1-EXP(-LN(2)/35))/(LN(2)/35)*FM61*FN61*VLOOKUP('Données projet'!$B$16,Paramètres!$A$1:$I$89,3,0)*0.475*44/12</f>
        <v>0</v>
      </c>
      <c r="FR61" s="21">
        <f>EXP(-LN(2)/25)*FR60+(1-EXP(-LN(2)/25))/(LN(2)/25)*Calculateur!FM61*Calculateur!FO61*VLOOKUP('Données projet'!$B$16,Paramètres!$A$1:$I$89,3,0)*0.475*44/12</f>
        <v>3.0085983571762709</v>
      </c>
      <c r="FS61" s="21">
        <f>EXP(-LN(2)/2)*FS60+(1-EXP(-LN(2)/2))/(LN(2)/2)*FM61*FP61*VLOOKUP('Données projet'!$B$16,Paramètres!$A$1:$I$89,3,0)*0.475*44/12</f>
        <v>0.62611735146568959</v>
      </c>
      <c r="FT61" s="22">
        <f t="shared" si="24"/>
        <v>3.6347157086419606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61.483542898936477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61.483542898936477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>
      <c r="A62" s="10">
        <f t="shared" si="31"/>
        <v>59</v>
      </c>
      <c r="B62" s="73">
        <f>'Scénario référence'!$B$16*5+'Scénario référence'!$B$17*0+'Scénario référence'!$B$18*5</f>
        <v>4.6999999999999993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3.1477679999999975</v>
      </c>
      <c r="D62" s="11">
        <f t="shared" si="32"/>
        <v>1.2693671785663723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18.245164363406175</v>
      </c>
      <c r="H62" s="67">
        <f t="shared" si="1"/>
        <v>195.4265104360031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61.631284389694237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14.113999999999999</v>
      </c>
      <c r="N62" s="13">
        <f>IF('Données projet'!$A$36&gt;35,N61+M62-V61,IF(A62&lt;'Données projet'!$A$36,$K$205^A62,IF(A62='Données projet'!$A$36,'Données projet'!$B$36,N61+M62-V61)))</f>
        <v>426.82599999999985</v>
      </c>
      <c r="O62" s="13">
        <f>N62*VLOOKUP('Données projet'!$B$9,Paramètres!$A$1:$I$89,3,0)*VLOOKUP('Données projet'!$B$9,Paramètres!$A$1:$I$89,5,0)</f>
        <v>255.24194799999992</v>
      </c>
      <c r="P62" s="13">
        <f t="shared" si="33"/>
        <v>61.707065896857912</v>
      </c>
      <c r="Q62" s="20">
        <f t="shared" si="53"/>
        <v>552.01953253702732</v>
      </c>
      <c r="R62" s="59">
        <f t="shared" si="0"/>
        <v>814.6675752992395</v>
      </c>
      <c r="S62" s="59">
        <f ca="1">AVERAGE(OFFSET($R$3,0,0,'Données projet'!$E$9+1,1))-AVERAGE(OFFSET($H$3,0,0,'Données projet'!$E$9+1,1))</f>
        <v>366.93249569585623</v>
      </c>
      <c r="T62" s="59">
        <f t="shared" si="34"/>
        <v>272.47262353368501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30.148114913338496</v>
      </c>
      <c r="AA62" s="21">
        <f>EXP(-LN(2)/25)*AA61+(1-EXP(-LN(2)/25))/(LN(2)/25)*Calculateur!V62*Calculateur!X62*VLOOKUP('Données projet'!$B$9,Paramètres!$A$1:$I$89,3,0)*0.475*44/12</f>
        <v>14.770937746975571</v>
      </c>
      <c r="AB62" s="21">
        <f>EXP(-LN(2)/2)*AB61+(1-EXP(-LN(2)/2))/(LN(2)/2)*V62*Y62*VLOOKUP('Données projet'!$B$9,Paramètres!$A$1:$I$89,3,0)*0.475*44/12</f>
        <v>0.44103077554834152</v>
      </c>
      <c r="AC62" s="22">
        <f t="shared" si="3"/>
        <v>45.360083435862407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61.631284389694237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16.778571428571428</v>
      </c>
      <c r="AI62" s="13">
        <f>IF('Données projet'!$A$62&gt;35,AI61+AH62-AQ61,IF(A62&lt;'Données projet'!$A$62,$AF$205^A62,IF(A62='Données projet'!$A$62,'Données projet'!$B$62,AI61+AH62-AQ61)))</f>
        <v>354.26571428571378</v>
      </c>
      <c r="AJ62" s="13">
        <f>AI62*VLOOKUP('Données projet'!$B$10,Paramètres!$A$1:$I$89,3,0)*VLOOKUP('Données projet'!$B$10,Paramètres!$A$1:$I$89,5,0)</f>
        <v>165.79635428571405</v>
      </c>
      <c r="AK62" s="13">
        <f t="shared" si="35"/>
        <v>42.147179240997339</v>
      </c>
      <c r="AL62" s="20">
        <f t="shared" si="4"/>
        <v>362.16832089235567</v>
      </c>
      <c r="AM62" s="59">
        <f t="shared" si="5"/>
        <v>624.81636365456779</v>
      </c>
      <c r="AN62" s="59">
        <f ca="1">AVERAGE(OFFSET($AM$3,0,0,'Données projet'!$E$10+1,1))-AVERAGE(OFFSET($H$3,0,0,'Données projet'!$E$10+1,1))</f>
        <v>382.89338473200229</v>
      </c>
      <c r="AO62" s="59">
        <f t="shared" si="36"/>
        <v>360.46248248971744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59.590858664141948</v>
      </c>
      <c r="AV62" s="21">
        <f>EXP(-LN(2)/25)*AV61+(1-EXP(-LN(2)/25))/(LN(2)/25)*Calculateur!AQ62*Calculateur!AS62*VLOOKUP('Données projet'!$B$10,Paramètres!$A$1:$I$89,3,0)*0.475*44/12</f>
        <v>18.101136410610664</v>
      </c>
      <c r="AW62" s="21">
        <f>EXP(-LN(2)/2)*AW61+(1-EXP(-LN(2)/2))/(LN(2)/2)*AQ62*AT62*VLOOKUP('Données projet'!$B$10,Paramètres!$A$1:$I$89,3,0)*0.475*44/12</f>
        <v>3.3951454579636144</v>
      </c>
      <c r="AX62" s="21">
        <f t="shared" si="6"/>
        <v>81.087140532716219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61.631284389694237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3.2051282051282071</v>
      </c>
      <c r="BD62" s="12">
        <f>IF('Données projet'!$A$88&gt;35,BD61+BC62-BL61,IF(A62&lt;'Données projet'!$A$88,$BA$205^A62,IF(A62='Données projet'!$A$88,'Données projet'!$B$88,BD61+BC62-BL61)))</f>
        <v>117.9487179487179</v>
      </c>
      <c r="BE62" s="13">
        <f>BD62*VLOOKUP('Données projet'!$B$11,Paramètres!$A$1:$I$89,3,0)*VLOOKUP('Données projet'!$B$11,Paramètres!$A$1:$I$89,5,0)</f>
        <v>103.03999999999996</v>
      </c>
      <c r="BF62" s="13">
        <f t="shared" si="37"/>
        <v>27.68496851505423</v>
      </c>
      <c r="BG62" s="20">
        <f t="shared" si="7"/>
        <v>227.67932016371938</v>
      </c>
      <c r="BH62" s="59">
        <f t="shared" si="8"/>
        <v>490.32736292593154</v>
      </c>
      <c r="BI62" s="59">
        <f ca="1">AVERAGE(OFFSET($BH$3,0,0,'Données projet'!$E$11+1,1))-AVERAGE(OFFSET($H$3,0,0,'Données projet'!$E$11+1,1))</f>
        <v>225.75484198243581</v>
      </c>
      <c r="BJ62" s="59">
        <f t="shared" si="38"/>
        <v>199.49566488421061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0</v>
      </c>
      <c r="BQ62" s="21">
        <f>EXP(-LN(2)/25)*BQ61+(1-EXP(-LN(2)/25))/(LN(2)/25)*Calculateur!BL62*Calculateur!BN62*VLOOKUP('Données projet'!$B$11,Paramètres!$A$1:$I$89,3,0)*0.475*44/12</f>
        <v>11.985654927050168</v>
      </c>
      <c r="BR62" s="21">
        <f>EXP(-LN(2)/2)*BR61+(1-EXP(-LN(2)/2))/(LN(2)/2)*BL62*BO62*VLOOKUP('Données projet'!$B$11,Paramètres!$A$1:$I$89,3,0)*0.475*44/12</f>
        <v>0</v>
      </c>
      <c r="BS62" s="22">
        <f t="shared" si="9"/>
        <v>11.985654927050168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61.631284389694237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7.6</v>
      </c>
      <c r="BY62" s="12">
        <f>IF('Données projet'!$A$114&gt;35,BY61+BX62-CG61,IF(A62&lt;'Données projet'!$A$114,$BV$205^A62,IF(A62='Données projet'!$A$114,'Données projet'!$B$114,BY61+BX62-CG61)))</f>
        <v>206.39999999999998</v>
      </c>
      <c r="BZ62" s="13">
        <f>BY62*VLOOKUP('Données projet'!$B$12,Paramètres!$A$1:$I$89,3,0)*VLOOKUP('Données projet'!$B$12,Paramètres!$A$1:$I$89,5,0)</f>
        <v>196.41023999999999</v>
      </c>
      <c r="CA62" s="13">
        <f t="shared" si="39"/>
        <v>48.954417448783772</v>
      </c>
      <c r="CB62" s="20">
        <f t="shared" si="10"/>
        <v>427.34344505663171</v>
      </c>
      <c r="CC62" s="59">
        <f t="shared" si="11"/>
        <v>689.99148781884389</v>
      </c>
      <c r="CD62" s="59">
        <f ca="1">AVERAGE(OFFSET($CC$3,0,0,'Données projet'!$E$12+1,1))-AVERAGE(OFFSET($H$3,0,0,'Données projet'!$E$12+1,1))</f>
        <v>413.9352601863377</v>
      </c>
      <c r="CE62" s="59">
        <f t="shared" si="40"/>
        <v>255.13997349799286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0</v>
      </c>
      <c r="CL62" s="21">
        <f>EXP(-LN(2)/25)*CL61+(1-EXP(-LN(2)/25))/(LN(2)/25)*Calculateur!CG62*Calculateur!CI62*VLOOKUP('Données projet'!$B$12,Paramètres!$A$1:$I$89,3,0)*0.475*44/12</f>
        <v>9.5871455862356942</v>
      </c>
      <c r="CM62" s="21">
        <f>EXP(-LN(2)/2)*CM61+(1-EXP(-LN(2)/2))/(LN(2)/2)*CG62*CJ62*VLOOKUP('Données projet'!$B$12,Paramètres!$A$1:$I$89,3,0)*0.475*44/12</f>
        <v>1.4314668166317976</v>
      </c>
      <c r="CN62" s="22">
        <f t="shared" si="12"/>
        <v>11.018612402867491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61.631284389694237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4</v>
      </c>
      <c r="CT62" s="12">
        <f>IF('Données projet'!$A$140&gt;35,CT61+CS62-DB61,IF(A62&lt;'Données projet'!$A$140,$CQ$205^A62,IF(A62='Données projet'!$A$140,'Données projet'!$B$140,CT61+CS62-DB61)))</f>
        <v>190</v>
      </c>
      <c r="CU62" s="17">
        <f>CT62*VLOOKUP('Données projet'!$B$13,Paramètres!$A$1:$I$89,3,0)*VLOOKUP('Données projet'!$B$13,Paramètres!$A$1:$I$89,5,0)</f>
        <v>165.98400000000001</v>
      </c>
      <c r="CV62" s="13">
        <f t="shared" si="41"/>
        <v>42.189325525922243</v>
      </c>
      <c r="CW62" s="20">
        <f t="shared" si="13"/>
        <v>362.56854195764794</v>
      </c>
      <c r="CX62" s="59">
        <f t="shared" si="14"/>
        <v>625.21658471986007</v>
      </c>
      <c r="CY62" s="59">
        <f ca="1">AVERAGE(OFFSET($CX$3,0,0,'Données projet'!$E$13+1,1))-AVERAGE(OFFSET($H$3,0,0,'Données projet'!$E$13+1,1))</f>
        <v>280.59827778697775</v>
      </c>
      <c r="CZ62" s="59">
        <f t="shared" si="42"/>
        <v>270.86588231964726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>
        <f>EXP(-LN(2)/35)*DF61+(1-EXP(-LN(2)/35))/(LN(2)/35)*DB62*DC62*VLOOKUP('Données projet'!$B$13,Paramètres!$A$1:$I$89,3,0)*0.475*44/12</f>
        <v>2.6922741151421108</v>
      </c>
      <c r="DG62" s="21">
        <f>EXP(-LN(2)/25)*DG61+(1-EXP(-LN(2)/25))/(LN(2)/25)*Calculateur!DB62*Calculateur!DD62*VLOOKUP('Données projet'!$B$13,Paramètres!$A$1:$I$89,3,0)*0.475*44/12</f>
        <v>10.206803923780399</v>
      </c>
      <c r="DH62" s="21">
        <f>EXP(-LN(2)/2)*DH61+(1-EXP(-LN(2)/2))/(LN(2)/2)*DB62*DE62*VLOOKUP('Données projet'!$B$13,Paramètres!$A$1:$I$89,3,0)*0.475*44/12</f>
        <v>0.72130894035262849</v>
      </c>
      <c r="DI62" s="22">
        <f t="shared" si="15"/>
        <v>13.620386979275137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61.631284389694237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4.6153846153846132</v>
      </c>
      <c r="DO62" s="12">
        <f>IF('Données projet'!$A$166&gt;35,DO61+DN62-DW61,IF(A62&lt;'Données projet'!$A$166,$DL$205^A62,IF(A62='Données projet'!$A$166,'Données projet'!$B$166,DO61+DN62-DW61)))</f>
        <v>122.94871794871793</v>
      </c>
      <c r="DP62" s="17">
        <f>DO62*VLOOKUP('Données projet'!$B$14,Paramètres!$A$1:$I$89,3,0)*VLOOKUP('Données projet'!$B$14,Paramètres!$A$1:$I$89,5,0)</f>
        <v>82.47399999999999</v>
      </c>
      <c r="DQ62" s="13">
        <f t="shared" si="43"/>
        <v>22.741013587721927</v>
      </c>
      <c r="DR62" s="20">
        <f t="shared" si="16"/>
        <v>183.24948199861566</v>
      </c>
      <c r="DS62" s="59">
        <f t="shared" si="17"/>
        <v>445.89752476082788</v>
      </c>
      <c r="DT62" s="59">
        <f ca="1">AVERAGE(OFFSET($DS$3,0,0,'Données projet'!$E$14+1,1))-AVERAGE(OFFSET($H$3,0,0,'Données projet'!$E$14+1,1))</f>
        <v>211.42385430331873</v>
      </c>
      <c r="DU62" s="59">
        <f t="shared" si="44"/>
        <v>146.84623106782686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>
        <f>EXP(-LN(2)/35)*EA61+(1-EXP(-LN(2)/35))/(LN(2)/35)*DW62*DX62*VLOOKUP('Données projet'!$B$14,Paramètres!$A$1:$I$89,3,0)*0.475*44/12</f>
        <v>0</v>
      </c>
      <c r="EB62" s="21">
        <f>EXP(-LN(2)/25)*EB61+(1-EXP(-LN(2)/25))/(LN(2)/25)*Calculateur!DW62*Calculateur!DY62*VLOOKUP('Données projet'!$B$14,Paramètres!$A$1:$I$89,3,0)*0.475*44/12</f>
        <v>5.6359447678465608</v>
      </c>
      <c r="EC62" s="21">
        <f>EXP(-LN(2)/2)*EC61+(1-EXP(-LN(2)/2))/(LN(2)/2)*DW62*DZ62*VLOOKUP('Données projet'!$B$14,Paramètres!$A$1:$I$89,3,0)*0.475*44/12</f>
        <v>0.6764773427419809</v>
      </c>
      <c r="ED62" s="22">
        <f t="shared" si="18"/>
        <v>6.3124221105885416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61.631284389694237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2.4358974358974366</v>
      </c>
      <c r="EJ62" s="12">
        <f>IF('Données projet'!$A$192&gt;35,EJ61+EI62-ER61,IF(A62&lt;'Données projet'!$A$192,$EG$205^A62,IF(A62='Données projet'!$A$192,'Données projet'!$B$192,EJ61+EI62-ER61)))</f>
        <v>71.282051282051256</v>
      </c>
      <c r="EK62" s="17">
        <f>EJ62*VLOOKUP('Données projet'!$B$15,Paramètres!$A$1:$I$89,3,0)*VLOOKUP('Données projet'!$B$15,Paramètres!$A$1:$I$89,5,0)</f>
        <v>76.727999999999966</v>
      </c>
      <c r="EL62" s="13">
        <f t="shared" si="45"/>
        <v>21.335229136061209</v>
      </c>
      <c r="EM62" s="20">
        <f t="shared" si="19"/>
        <v>170.79345741197324</v>
      </c>
      <c r="EN62" s="59">
        <f t="shared" si="20"/>
        <v>433.44150017418542</v>
      </c>
      <c r="EO62" s="59">
        <f ca="1">AVERAGE(OFFSET($EN$3,0,0,'Données projet'!$E$15+1,1))-AVERAGE(OFFSET($H$3,0,0,'Données projet'!$E$15+1,1))</f>
        <v>212.00478362779876</v>
      </c>
      <c r="EP62" s="59">
        <f t="shared" si="46"/>
        <v>133.62262474506707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>
        <f>EXP(-LN(2)/35)*EV61+(1-EXP(-LN(2)/35))/(LN(2)/35)*ER62*ES62*VLOOKUP('Données projet'!$B$15,Paramètres!$A$1:$I$89,3,0)*0.475*44/12</f>
        <v>0</v>
      </c>
      <c r="EW62" s="21">
        <f>EXP(-LN(2)/25)*EW61+(1-EXP(-LN(2)/25))/(LN(2)/25)*Calculateur!ER62*Calculateur!ET62*VLOOKUP('Données projet'!$B$15,Paramètres!$A$1:$I$89,3,0)*0.475*44/12</f>
        <v>3.2567199565321641</v>
      </c>
      <c r="EX62" s="21">
        <f>EXP(-LN(2)/2)*EX61+(1-EXP(-LN(2)/2))/(LN(2)/2)*ER62*EU62*VLOOKUP('Données projet'!$B$15,Paramètres!$A$1:$I$89,3,0)*0.475*44/12</f>
        <v>0.49271767625413798</v>
      </c>
      <c r="EY62" s="22">
        <f t="shared" si="21"/>
        <v>3.7494376327863019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61.631284389694237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2.4358974358974366</v>
      </c>
      <c r="FE62" s="12">
        <f>IF('Données projet'!$A$218&gt;35,FE61+FD62-FM61,IF(A62&lt;'Données projet'!$A$218,$FB$205^A62,IF(A62='Données projet'!$A$218,'Données projet'!$B$218,FE61+FD62-FM61)))</f>
        <v>71.282051282051256</v>
      </c>
      <c r="FF62" s="17">
        <f>FE62*VLOOKUP('Données projet'!$B$16,Paramètres!$A$1:$I$89,3,0)*VLOOKUP('Données projet'!$B$16,Paramètres!$A$1:$I$89,5,0)</f>
        <v>68.943999999999974</v>
      </c>
      <c r="FG62" s="13">
        <f t="shared" si="47"/>
        <v>19.410984004776843</v>
      </c>
      <c r="FH62" s="20">
        <f t="shared" si="22"/>
        <v>153.88493047498628</v>
      </c>
      <c r="FI62" s="59">
        <f t="shared" si="23"/>
        <v>416.53297323719846</v>
      </c>
      <c r="FJ62" s="59">
        <f ca="1">AVERAGE(OFFSET($FI$3,0,0,'Données projet'!$E$16+1,1))-AVERAGE(OFFSET($H$3,0,0,'Données projet'!$E$16+1,1))</f>
        <v>196.65742339093146</v>
      </c>
      <c r="FK62" s="59">
        <f t="shared" si="48"/>
        <v>125.41980634506001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>
        <f>EXP(-LN(2)/35)*FQ61+(1-EXP(-LN(2)/35))/(LN(2)/35)*FM62*FN62*VLOOKUP('Données projet'!$B$16,Paramètres!$A$1:$I$89,3,0)*0.475*44/12</f>
        <v>0</v>
      </c>
      <c r="FR62" s="21">
        <f>EXP(-LN(2)/25)*FR61+(1-EXP(-LN(2)/25))/(LN(2)/25)*Calculateur!FM62*Calculateur!FO62*VLOOKUP('Données projet'!$B$16,Paramètres!$A$1:$I$89,3,0)*0.475*44/12</f>
        <v>2.9263280768839746</v>
      </c>
      <c r="FS62" s="21">
        <f>EXP(-LN(2)/2)*FS61+(1-EXP(-LN(2)/2))/(LN(2)/2)*FM62*FP62*VLOOKUP('Données projet'!$B$16,Paramètres!$A$1:$I$89,3,0)*0.475*44/12</f>
        <v>0.44273182503995007</v>
      </c>
      <c r="FT62" s="22">
        <f t="shared" si="24"/>
        <v>3.3690599019239245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61.631284389694237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61.631284389694237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>
      <c r="A63" s="10">
        <f t="shared" si="31"/>
        <v>60</v>
      </c>
      <c r="B63" s="73">
        <f>'Scénario référence'!$B$16*5+'Scénario référence'!$B$17*0+'Scénario référence'!$B$18*5</f>
        <v>4.6999999999999993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3.2011199999999973</v>
      </c>
      <c r="D63" s="11">
        <f t="shared" si="32"/>
        <v>1.2883589302782126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18.278670943146398</v>
      </c>
      <c r="H63" s="67">
        <f t="shared" si="1"/>
        <v>195.55250913690122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61.776462895887853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>
        <f>VLOOKUP(A63,'Données projet'!$A$35:$I$55,2,0)</f>
        <v>440.94</v>
      </c>
      <c r="L63" s="12">
        <f>VLOOKUP(A63,'Données projet'!$A$35:$I$55,9,0)</f>
        <v>14.113999999999999</v>
      </c>
      <c r="M63" s="12">
        <f t="array" ref="M63">INDEX(L:L,MIN(IF(ISNUMBER(L63:L259),ROW(L63:L259),"")))</f>
        <v>14.113999999999999</v>
      </c>
      <c r="N63" s="13">
        <f>IF('Données projet'!$A$36&gt;35,N62+M63-V62,IF(A63&lt;'Données projet'!$A$36,$K$205^A63,IF(A63='Données projet'!$A$36,'Données projet'!$B$36,N62+M63-V62)))</f>
        <v>440.93999999999983</v>
      </c>
      <c r="O63" s="13">
        <f>N63*VLOOKUP('Données projet'!$B$9,Paramètres!$A$1:$I$89,3,0)*VLOOKUP('Données projet'!$B$9,Paramètres!$A$1:$I$89,5,0)</f>
        <v>263.68211999999988</v>
      </c>
      <c r="P63" s="13">
        <f t="shared" si="33"/>
        <v>63.506613606650006</v>
      </c>
      <c r="Q63" s="20">
        <f t="shared" si="53"/>
        <v>569.85371103158184</v>
      </c>
      <c r="R63" s="59">
        <f t="shared" si="0"/>
        <v>833.03407498317063</v>
      </c>
      <c r="S63" s="59">
        <f ca="1">AVERAGE(OFFSET($R$3,0,0,'Données projet'!$E$9+1,1))-AVERAGE(OFFSET($H$3,0,0,'Données projet'!$E$9+1,1))</f>
        <v>366.93249569585623</v>
      </c>
      <c r="T63" s="59">
        <f t="shared" si="34"/>
        <v>272.47262353368501</v>
      </c>
      <c r="U63" s="15">
        <f>IF(ISNA(VLOOKUP(A63,'Données projet'!$A$35:$I$55,3,0)),0,VLOOKUP(A63,'Données projet'!$A$35:$I$55,3,0))</f>
        <v>6</v>
      </c>
      <c r="V63" s="15">
        <f>IF(ISNA(VLOOKUP(A63,'Données projet'!$A$35:$I$55,4,0)),0,VLOOKUP(A63,'Données projet'!$A$35:$I$55,4,0))</f>
        <v>69.839999999999975</v>
      </c>
      <c r="W63" s="16">
        <f>IF(ISNA(VLOOKUP(A63,'Données projet'!$A$35:$I$55,5,0)),0%,VLOOKUP(A63,'Données projet'!$A$35:$I$55,5,0)*VLOOKUP('Données projet'!$B$9,Paramètres!$A$1:$I$89,7,0))</f>
        <v>0.27</v>
      </c>
      <c r="X63" s="16">
        <f>IF(ISNA(VLOOKUP(A63,'Données projet'!$A$35:$I$55,6,0)),0%,VLOOKUP(A63,'Données projet'!$A$35:$I$55,6,0)*VLOOKUP('Données projet'!$B$9,Paramètres!$A$1:$I$89,7,0))</f>
        <v>9.0000000000000011E-2</v>
      </c>
      <c r="Y63" s="16">
        <f>IF(ISNA(VLOOKUP(A63,'Données projet'!$A$35:$I$55,7,0)),0%,VLOOKUP(A63,'Données projet'!$A$35:$I$55,7,0))</f>
        <v>0.2</v>
      </c>
      <c r="Z63" s="21">
        <f>EXP(-LN(2)/35)*Z62+(1-EXP(-LN(2)/35))/(LN(2)/35)*V63*W63*VLOOKUP('Données projet'!$B$9,Paramètres!$A$1:$I$89,3,0)*0.475*44/12</f>
        <v>44.515755621175032</v>
      </c>
      <c r="AA63" s="21">
        <f>EXP(-LN(2)/25)*AA62+(1-EXP(-LN(2)/25))/(LN(2)/25)*Calculateur!V63*Calculateur!X63*VLOOKUP('Données projet'!$B$9,Paramètres!$A$1:$I$89,3,0)*0.475*44/12</f>
        <v>19.333668428072521</v>
      </c>
      <c r="AB63" s="21">
        <f>EXP(-LN(2)/2)*AB62+(1-EXP(-LN(2)/2))/(LN(2)/2)*V63*Y63*VLOOKUP('Données projet'!$B$9,Paramètres!$A$1:$I$89,3,0)*0.475*44/12</f>
        <v>9.7692382497482964</v>
      </c>
      <c r="AC63" s="22">
        <f t="shared" si="3"/>
        <v>73.618662298995844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61.776462895887853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16.778571428571428</v>
      </c>
      <c r="AI63" s="13">
        <f>IF('Données projet'!$A$62&gt;35,AI62+AH63-AQ62,IF(A63&lt;'Données projet'!$A$62,$AF$205^A63,IF(A63='Données projet'!$A$62,'Données projet'!$B$62,AI62+AH63-AQ62)))</f>
        <v>371.04428571428519</v>
      </c>
      <c r="AJ63" s="13">
        <f>AI63*VLOOKUP('Données projet'!$B$10,Paramètres!$A$1:$I$89,3,0)*VLOOKUP('Données projet'!$B$10,Paramètres!$A$1:$I$89,5,0)</f>
        <v>173.64872571428549</v>
      </c>
      <c r="AK63" s="13">
        <f t="shared" si="35"/>
        <v>43.90620403149137</v>
      </c>
      <c r="AL63" s="20">
        <f t="shared" si="4"/>
        <v>378.90816930722804</v>
      </c>
      <c r="AM63" s="59">
        <f t="shared" si="5"/>
        <v>642.08853325881682</v>
      </c>
      <c r="AN63" s="59">
        <f ca="1">AVERAGE(OFFSET($AM$3,0,0,'Données projet'!$E$10+1,1))-AVERAGE(OFFSET($H$3,0,0,'Données projet'!$E$10+1,1))</f>
        <v>382.89338473200229</v>
      </c>
      <c r="AO63" s="59">
        <f t="shared" si="36"/>
        <v>360.46248248971744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58.422318272572959</v>
      </c>
      <c r="AV63" s="21">
        <f>EXP(-LN(2)/25)*AV62+(1-EXP(-LN(2)/25))/(LN(2)/25)*Calculateur!AQ63*Calculateur!AS63*VLOOKUP('Données projet'!$B$10,Paramètres!$A$1:$I$89,3,0)*0.475*44/12</f>
        <v>17.606159883565123</v>
      </c>
      <c r="AW63" s="21">
        <f>EXP(-LN(2)/2)*AW62+(1-EXP(-LN(2)/2))/(LN(2)/2)*AQ63*AT63*VLOOKUP('Données projet'!$B$10,Paramètres!$A$1:$I$89,3,0)*0.475*44/12</f>
        <v>2.4007303764407784</v>
      </c>
      <c r="AX63" s="21">
        <f t="shared" si="6"/>
        <v>78.429208532578855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61.776462895887853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121.15384615384616</v>
      </c>
      <c r="BB63" s="12">
        <f>VLOOKUP(A63,'Données projet'!$A$87:$I$107,9,0)</f>
        <v>3.2051282051282071</v>
      </c>
      <c r="BC63" s="12">
        <f t="array" ref="BC63">INDEX(BB:BB,MIN(IF(ISNUMBER(BB63:BB259),ROW(BB63:BB259),"")))</f>
        <v>3.2051282051282071</v>
      </c>
      <c r="BD63" s="12">
        <f>IF('Données projet'!$A$88&gt;35,BD62+BC63-BL62,IF(A63&lt;'Données projet'!$A$88,$BA$205^A63,IF(A63='Données projet'!$A$88,'Données projet'!$B$88,BD62+BC63-BL62)))</f>
        <v>121.1538461538461</v>
      </c>
      <c r="BE63" s="13">
        <f>BD63*VLOOKUP('Données projet'!$B$11,Paramètres!$A$1:$I$89,3,0)*VLOOKUP('Données projet'!$B$11,Paramètres!$A$1:$I$89,5,0)</f>
        <v>105.83999999999997</v>
      </c>
      <c r="BF63" s="13">
        <f t="shared" si="37"/>
        <v>28.34866786274176</v>
      </c>
      <c r="BG63" s="20">
        <f t="shared" si="7"/>
        <v>233.71192986094184</v>
      </c>
      <c r="BH63" s="59">
        <f t="shared" si="8"/>
        <v>496.89229381253062</v>
      </c>
      <c r="BI63" s="59">
        <f ca="1">AVERAGE(OFFSET($BH$3,0,0,'Données projet'!$E$11+1,1))-AVERAGE(OFFSET($H$3,0,0,'Données projet'!$E$11+1,1))</f>
        <v>225.75484198243581</v>
      </c>
      <c r="BJ63" s="59">
        <f t="shared" si="38"/>
        <v>199.49566488421061</v>
      </c>
      <c r="BK63" s="15">
        <f>IF(ISNA(VLOOKUP(A63,'Données projet'!$A$87:$I$107,3,0)),0,VLOOKUP(A63,'Données projet'!$A$87:$I$107,3,0))</f>
        <v>9</v>
      </c>
      <c r="BL63" s="15">
        <f>IF(ISNA(VLOOKUP(A63,'Données projet'!$A$87:$I$107,4,0)),0,VLOOKUP(A63,'Données projet'!$A$87:$I$107,4,0))</f>
        <v>10.256410256410255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0.215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0</v>
      </c>
      <c r="BQ63" s="21">
        <f>EXP(-LN(2)/25)*BQ62+(1-EXP(-LN(2)/25))/(LN(2)/25)*Calculateur!BL63*Calculateur!BN63*VLOOKUP('Données projet'!$B$11,Paramètres!$A$1:$I$89,3,0)*0.475*44/12</f>
        <v>13.779099741337406</v>
      </c>
      <c r="BR63" s="21">
        <f>EXP(-LN(2)/2)*BR62+(1-EXP(-LN(2)/2))/(LN(2)/2)*BL63*BO63*VLOOKUP('Données projet'!$B$11,Paramètres!$A$1:$I$89,3,0)*0.475*44/12</f>
        <v>0</v>
      </c>
      <c r="BS63" s="22">
        <f t="shared" si="9"/>
        <v>13.779099741337406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61.776462895887853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>
        <f>VLOOKUP(A63,'Données projet'!$A$113:$I$133,2,0)</f>
        <v>214</v>
      </c>
      <c r="BW63" s="12">
        <f>VLOOKUP(A63,'Données projet'!$A$113:$I$133,9,0)</f>
        <v>7.6</v>
      </c>
      <c r="BX63" s="12">
        <f t="array" ref="BX63">INDEX(BW:BW,MIN(IF(ISNUMBER(BW63:BW259),ROW(BW63:BW259),"")))</f>
        <v>7.6</v>
      </c>
      <c r="BY63" s="12">
        <f>IF('Données projet'!$A$114&gt;35,BY62+BX63-CG62,IF(A63&lt;'Données projet'!$A$114,$BV$205^A63,IF(A63='Données projet'!$A$114,'Données projet'!$B$114,BY62+BX63-CG62)))</f>
        <v>213.99999999999997</v>
      </c>
      <c r="BZ63" s="13">
        <f>BY63*VLOOKUP('Données projet'!$B$12,Paramètres!$A$1:$I$89,3,0)*VLOOKUP('Données projet'!$B$12,Paramètres!$A$1:$I$89,5,0)</f>
        <v>203.64239999999998</v>
      </c>
      <c r="CA63" s="13">
        <f t="shared" si="39"/>
        <v>50.543814227115405</v>
      </c>
      <c r="CB63" s="20">
        <f t="shared" si="10"/>
        <v>442.70765644555928</v>
      </c>
      <c r="CC63" s="59">
        <f t="shared" si="11"/>
        <v>705.88802039714801</v>
      </c>
      <c r="CD63" s="59">
        <f ca="1">AVERAGE(OFFSET($CC$3,0,0,'Données projet'!$E$12+1,1))-AVERAGE(OFFSET($H$3,0,0,'Données projet'!$E$12+1,1))</f>
        <v>413.9352601863377</v>
      </c>
      <c r="CE63" s="59">
        <f t="shared" si="40"/>
        <v>255.13997349799286</v>
      </c>
      <c r="CF63" s="15">
        <f>IF(ISNA(VLOOKUP(A63,'Données projet'!$A$113:$I$133,3,0)),0,VLOOKUP(A63,'Données projet'!$A$113:$I$133,3,0))</f>
        <v>8</v>
      </c>
      <c r="CG63" s="15">
        <f>IF(ISNA(VLOOKUP(A63,'Données projet'!$A$113:$I$133,4,0)),0,VLOOKUP(A63,'Données projet'!$A$113:$I$133,4,0))</f>
        <v>21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0.1075</v>
      </c>
      <c r="CJ63" s="16">
        <f>IF(ISNA(VLOOKUP(A63,'Données projet'!$A$113:$I$133,7,0)),0%,VLOOKUP(A63,'Données projet'!$A$113:$I$133,7,0))</f>
        <v>0.25</v>
      </c>
      <c r="CK63" s="21">
        <f>EXP(-LN(2)/35)*CK62+(1-EXP(-LN(2)/35))/(LN(2)/35)*CG63*CH63*VLOOKUP('Données projet'!$B$12,Paramètres!$A$1:$I$89,3,0)*0.475*44/12</f>
        <v>0</v>
      </c>
      <c r="CL63" s="21">
        <f>EXP(-LN(2)/25)*CL62+(1-EXP(-LN(2)/25))/(LN(2)/25)*Calculateur!CG63*Calculateur!CI63*VLOOKUP('Données projet'!$B$12,Paramètres!$A$1:$I$89,3,0)*0.475*44/12</f>
        <v>11.690446416548827</v>
      </c>
      <c r="CM63" s="21">
        <f>EXP(-LN(2)/2)*CM62+(1-EXP(-LN(2)/2))/(LN(2)/2)*CG63*CJ63*VLOOKUP('Données projet'!$B$12,Paramètres!$A$1:$I$89,3,0)*0.475*44/12</f>
        <v>5.7259660057609238</v>
      </c>
      <c r="CN63" s="22">
        <f t="shared" si="12"/>
        <v>17.416412422309751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61.776462895887853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>
        <f>VLOOKUP(A63,'Données projet'!$A$139:$I$159,2,0)</f>
        <v>194</v>
      </c>
      <c r="CR63" s="12">
        <f>VLOOKUP(A63,'Données projet'!$A$139:$I$159,9,0)</f>
        <v>4</v>
      </c>
      <c r="CS63" s="12">
        <f t="array" ref="CS63">INDEX(CR:CR,MIN(IF(ISNUMBER(CR63:CR259),ROW(CR63:CR259),"")))</f>
        <v>4</v>
      </c>
      <c r="CT63" s="12">
        <f>IF('Données projet'!$A$140&gt;35,CT62+CS63-DB62,IF(A63&lt;'Données projet'!$A$140,$CQ$205^A63,IF(A63='Données projet'!$A$140,'Données projet'!$B$140,CT62+CS63-DB62)))</f>
        <v>194</v>
      </c>
      <c r="CU63" s="17">
        <f>CT63*VLOOKUP('Données projet'!$B$13,Paramètres!$A$1:$I$89,3,0)*VLOOKUP('Données projet'!$B$13,Paramètres!$A$1:$I$89,5,0)</f>
        <v>169.47840000000002</v>
      </c>
      <c r="CV63" s="13">
        <f t="shared" si="41"/>
        <v>42.973181651930332</v>
      </c>
      <c r="CW63" s="20">
        <f t="shared" si="13"/>
        <v>370.01983804377869</v>
      </c>
      <c r="CX63" s="59">
        <f t="shared" si="14"/>
        <v>633.20020199536748</v>
      </c>
      <c r="CY63" s="59">
        <f ca="1">AVERAGE(OFFSET($CX$3,0,0,'Données projet'!$E$13+1,1))-AVERAGE(OFFSET($H$3,0,0,'Données projet'!$E$13+1,1))</f>
        <v>280.59827778697775</v>
      </c>
      <c r="CZ63" s="59">
        <f t="shared" si="42"/>
        <v>270.86588231964726</v>
      </c>
      <c r="DA63" s="15">
        <f>IF(ISNA(VLOOKUP(A63,'Données projet'!$A$139:$I$159,3,0)),0,VLOOKUP(A63,'Données projet'!$A$139:$I$159,3,0))</f>
        <v>9</v>
      </c>
      <c r="DB63" s="15">
        <f>IF(ISNA(VLOOKUP(A63,'Données projet'!$A$139:$I$159,4,0)),0,VLOOKUP(A63,'Données projet'!$A$139:$I$159,4,0))</f>
        <v>9</v>
      </c>
      <c r="DC63" s="16">
        <f>IF(ISNA(VLOOKUP(A63,'Données projet'!$A$139:$I$159,5,0)),0%,VLOOKUP(A63,'Données projet'!$A$139:$I$159,5,0)*VLOOKUP('Données projet'!$B$13,Paramètres!$A$1:$I$89,7,0))</f>
        <v>0.13250000000000001</v>
      </c>
      <c r="DD63" s="16">
        <f>IF(ISNA(VLOOKUP(A63,'Données projet'!$A$139:$I$159,6,0)),0%,VLOOKUP(A63,'Données projet'!$A$139:$I$159,6,0)*VLOOKUP('Données projet'!$B$13,Paramètres!$A$1:$I$89,7,0))</f>
        <v>0.13250000000000001</v>
      </c>
      <c r="DE63" s="16">
        <f>IF(ISNA(VLOOKUP(A63,'Données projet'!$A$139:$I$159,7,0)),0%,VLOOKUP(A63,'Données projet'!$A$139:$I$159,7,0))</f>
        <v>0.25</v>
      </c>
      <c r="DF63" s="21">
        <f>EXP(-LN(2)/35)*DF62+(1-EXP(-LN(2)/35))/(LN(2)/35)*DB63*DC63*VLOOKUP('Données projet'!$B$13,Paramètres!$A$1:$I$89,3,0)*0.475*44/12</f>
        <v>3.7911239282145202</v>
      </c>
      <c r="DG63" s="21">
        <f>EXP(-LN(2)/25)*DG62+(1-EXP(-LN(2)/25))/(LN(2)/25)*Calculateur!DB63*Calculateur!DD63*VLOOKUP('Données projet'!$B$13,Paramètres!$A$1:$I$89,3,0)*0.475*44/12</f>
        <v>11.074807540152376</v>
      </c>
      <c r="DH63" s="21">
        <f>EXP(-LN(2)/2)*DH62+(1-EXP(-LN(2)/2))/(LN(2)/2)*DB63*DE63*VLOOKUP('Données projet'!$B$13,Paramètres!$A$1:$I$89,3,0)*0.475*44/12</f>
        <v>2.3646389464021778</v>
      </c>
      <c r="DI63" s="22">
        <f t="shared" si="15"/>
        <v>17.230570414769073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61.776462895887853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>
        <f>VLOOKUP(A63,'Données projet'!$A$165:$I$185,2,0)</f>
        <v>127.56410256410255</v>
      </c>
      <c r="DM63" s="12">
        <f>VLOOKUP(A63,'Données projet'!$A$165:$I$185,9,0)</f>
        <v>4.6153846153846132</v>
      </c>
      <c r="DN63" s="12">
        <f t="array" ref="DN63">INDEX(DM:DM,MIN(IF(ISNUMBER(DM63:DM259),ROW(DM63:DM259),"")))</f>
        <v>4.6153846153846132</v>
      </c>
      <c r="DO63" s="12">
        <f>IF('Données projet'!$A$166&gt;35,DO62+DN63-DW62,IF(A63&lt;'Données projet'!$A$166,$DL$205^A63,IF(A63='Données projet'!$A$166,'Données projet'!$B$166,DO62+DN63-DW62)))</f>
        <v>127.56410256410254</v>
      </c>
      <c r="DP63" s="17">
        <f>DO63*VLOOKUP('Données projet'!$B$14,Paramètres!$A$1:$I$89,3,0)*VLOOKUP('Données projet'!$B$14,Paramètres!$A$1:$I$89,5,0)</f>
        <v>85.57</v>
      </c>
      <c r="DQ63" s="13">
        <f t="shared" si="43"/>
        <v>23.493697390127796</v>
      </c>
      <c r="DR63" s="20">
        <f t="shared" si="16"/>
        <v>189.95260628780591</v>
      </c>
      <c r="DS63" s="59">
        <f t="shared" si="17"/>
        <v>453.13297023939469</v>
      </c>
      <c r="DT63" s="59">
        <f ca="1">AVERAGE(OFFSET($DS$3,0,0,'Données projet'!$E$14+1,1))-AVERAGE(OFFSET($H$3,0,0,'Données projet'!$E$14+1,1))</f>
        <v>211.42385430331873</v>
      </c>
      <c r="DU63" s="59">
        <f t="shared" si="44"/>
        <v>146.84623106782686</v>
      </c>
      <c r="DV63" s="15">
        <f>IF(ISNA(VLOOKUP(A63,'Données projet'!$A$165:$I$185,3,0)),0,VLOOKUP(A63,'Données projet'!$A$165:$I$185,3,0))</f>
        <v>9</v>
      </c>
      <c r="DW63" s="15">
        <f>IF(ISNA(VLOOKUP(A63,'Données projet'!$A$165:$I$185,4,0)),0,VLOOKUP(A63,'Données projet'!$A$165:$I$185,4,0))</f>
        <v>14.102564102564102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0.13250000000000001</v>
      </c>
      <c r="DZ63" s="16">
        <f>IF(ISNA(VLOOKUP(A63,'Données projet'!$A$165:$I$185,7,0)),0%,VLOOKUP(A63,'Données projet'!$A$165:$I$185,7,0))</f>
        <v>0.25</v>
      </c>
      <c r="EA63" s="21">
        <f>EXP(-LN(2)/35)*EA62+(1-EXP(-LN(2)/35))/(LN(2)/35)*DW63*DX63*VLOOKUP('Données projet'!$B$14,Paramètres!$A$1:$I$89,3,0)*0.475*44/12</f>
        <v>0</v>
      </c>
      <c r="EB63" s="21">
        <f>EXP(-LN(2)/25)*EB62+(1-EXP(-LN(2)/25))/(LN(2)/25)*Calculateur!DW63*Calculateur!DY63*VLOOKUP('Données projet'!$B$14,Paramètres!$A$1:$I$89,3,0)*0.475*44/12</f>
        <v>6.8620255697166455</v>
      </c>
      <c r="EC63" s="21">
        <f>EXP(-LN(2)/2)*EC62+(1-EXP(-LN(2)/2))/(LN(2)/2)*DW63*DZ63*VLOOKUP('Données projet'!$B$14,Paramètres!$A$1:$I$89,3,0)*0.475*44/12</f>
        <v>2.7097828694136545</v>
      </c>
      <c r="ED63" s="22">
        <f t="shared" si="18"/>
        <v>9.5718084391303009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61.776462895887853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>
        <f>VLOOKUP(A63,'Données projet'!$A$191:$I$211,2,0)</f>
        <v>73.717948717948715</v>
      </c>
      <c r="EH63" s="12">
        <f>VLOOKUP(A63,'Données projet'!$A$191:$I$211,9,0)</f>
        <v>2.4358974358974366</v>
      </c>
      <c r="EI63" s="12">
        <f t="array" ref="EI63">INDEX(EH:EH,MIN(IF(ISNUMBER(EH63:EH259),ROW(EH63:EH259),"")))</f>
        <v>2.4358974358974366</v>
      </c>
      <c r="EJ63" s="12">
        <f>IF('Données projet'!$A$192&gt;35,EJ62+EI63-ER62,IF(A63&lt;'Données projet'!$A$192,$EG$205^A63,IF(A63='Données projet'!$A$192,'Données projet'!$B$192,EJ62+EI63-ER62)))</f>
        <v>73.717948717948687</v>
      </c>
      <c r="EK63" s="17">
        <f>EJ63*VLOOKUP('Données projet'!$B$15,Paramètres!$A$1:$I$89,3,0)*VLOOKUP('Données projet'!$B$15,Paramètres!$A$1:$I$89,5,0)</f>
        <v>79.349999999999966</v>
      </c>
      <c r="EL63" s="13">
        <f t="shared" si="45"/>
        <v>21.978180368034391</v>
      </c>
      <c r="EM63" s="20">
        <f t="shared" si="19"/>
        <v>176.47991414099315</v>
      </c>
      <c r="EN63" s="59">
        <f t="shared" si="20"/>
        <v>439.66027809258196</v>
      </c>
      <c r="EO63" s="59">
        <f ca="1">AVERAGE(OFFSET($EN$3,0,0,'Données projet'!$E$15+1,1))-AVERAGE(OFFSET($H$3,0,0,'Données projet'!$E$15+1,1))</f>
        <v>212.00478362779876</v>
      </c>
      <c r="EP63" s="59">
        <f t="shared" si="46"/>
        <v>133.62262474506707</v>
      </c>
      <c r="EQ63" s="15">
        <f>IF(ISNA(VLOOKUP(A63,'Données projet'!$A$191:$I$211,3,0)),0,VLOOKUP(A63,'Données projet'!$A$191:$I$211,3,0))</f>
        <v>8</v>
      </c>
      <c r="ER63" s="15">
        <f>IF(ISNA(VLOOKUP(A63,'Données projet'!$A$191:$I$211,4,0)),0,VLOOKUP(A63,'Données projet'!$A$191:$I$211,4,0))</f>
        <v>6.4102564102564097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0.1075</v>
      </c>
      <c r="EU63" s="16">
        <f>IF(ISNA(VLOOKUP(A63,'Données projet'!$A$191:$I$211,7,0)),0%,VLOOKUP(A63,'Données projet'!$A$191:$I$211,7,0))</f>
        <v>0.25</v>
      </c>
      <c r="EV63" s="21">
        <f>EXP(-LN(2)/35)*EV62+(1-EXP(-LN(2)/35))/(LN(2)/35)*ER63*ES63*VLOOKUP('Données projet'!$B$15,Paramètres!$A$1:$I$89,3,0)*0.475*44/12</f>
        <v>0</v>
      </c>
      <c r="EW63" s="21">
        <f>EXP(-LN(2)/25)*EW62+(1-EXP(-LN(2)/25))/(LN(2)/25)*Calculateur!ER63*Calculateur!ET63*VLOOKUP('Données projet'!$B$15,Paramètres!$A$1:$I$89,3,0)*0.475*44/12</f>
        <v>3.9844188479291418</v>
      </c>
      <c r="EX63" s="21">
        <f>EXP(-LN(2)/2)*EX62+(1-EXP(-LN(2)/2))/(LN(2)/2)*ER63*EU63*VLOOKUP('Données projet'!$B$15,Paramètres!$A$1:$I$89,3,0)*0.475*44/12</f>
        <v>1.9759879377840732</v>
      </c>
      <c r="EY63" s="22">
        <f t="shared" si="21"/>
        <v>5.9604067857132152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61.776462895887853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>
        <f>VLOOKUP(A63,'Données projet'!$A$217:$I$237,2,0)</f>
        <v>73.717948717948715</v>
      </c>
      <c r="FC63" s="12">
        <f>VLOOKUP(A63,'Données projet'!$A$217:$I$237,9,0)</f>
        <v>2.4358974358974366</v>
      </c>
      <c r="FD63" s="12">
        <f t="array" ref="FD63">INDEX(FC:FC,MIN(IF(ISNUMBER(FC63:FC259),ROW(FC63:FC259),"")))</f>
        <v>2.4358974358974366</v>
      </c>
      <c r="FE63" s="12">
        <f>IF('Données projet'!$A$218&gt;35,FE62+FD63-FM62,IF(A63&lt;'Données projet'!$A$218,$FB$205^A63,IF(A63='Données projet'!$A$218,'Données projet'!$B$218,FE62+FD63-FM62)))</f>
        <v>73.717948717948687</v>
      </c>
      <c r="FF63" s="17">
        <f>FE63*VLOOKUP('Données projet'!$B$16,Paramètres!$A$1:$I$89,3,0)*VLOOKUP('Données projet'!$B$16,Paramètres!$A$1:$I$89,5,0)</f>
        <v>71.299999999999969</v>
      </c>
      <c r="FG63" s="13">
        <f t="shared" si="47"/>
        <v>19.995946837849424</v>
      </c>
      <c r="FH63" s="20">
        <f t="shared" si="22"/>
        <v>159.00710740925433</v>
      </c>
      <c r="FI63" s="59">
        <f t="shared" si="23"/>
        <v>422.18747136084312</v>
      </c>
      <c r="FJ63" s="59">
        <f ca="1">AVERAGE(OFFSET($FI$3,0,0,'Données projet'!$E$16+1,1))-AVERAGE(OFFSET($H$3,0,0,'Données projet'!$E$16+1,1))</f>
        <v>196.65742339093146</v>
      </c>
      <c r="FK63" s="59">
        <f t="shared" si="48"/>
        <v>125.41980634506001</v>
      </c>
      <c r="FL63" s="15">
        <f>IF(ISNA(VLOOKUP(A63,'Données projet'!$A$217:$I$237,3,0)),0,VLOOKUP(A63,'Données projet'!$A$217:$I$237,3,0))</f>
        <v>8</v>
      </c>
      <c r="FM63" s="15">
        <f>IF(ISNA(VLOOKUP(A63,'Données projet'!$A$217:$I$237,4,0)),0,VLOOKUP(A63,'Données projet'!$A$217:$I$237,4,0))</f>
        <v>6.4102564102564097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0.1075</v>
      </c>
      <c r="FP63" s="16">
        <f>IF(ISNA(VLOOKUP(A63,'Données projet'!$A$217:$I$237,7,0)),0%,VLOOKUP(A63,'Données projet'!$A$217:$I$237,7,0))</f>
        <v>0.25</v>
      </c>
      <c r="FQ63" s="21">
        <f>EXP(-LN(2)/35)*FQ62+(1-EXP(-LN(2)/35))/(LN(2)/35)*FM63*FN63*VLOOKUP('Données projet'!$B$16,Paramètres!$A$1:$I$89,3,0)*0.475*44/12</f>
        <v>0</v>
      </c>
      <c r="FR63" s="21">
        <f>EXP(-LN(2)/25)*FR62+(1-EXP(-LN(2)/25))/(LN(2)/25)*Calculateur!FM63*Calculateur!FO63*VLOOKUP('Données projet'!$B$16,Paramètres!$A$1:$I$89,3,0)*0.475*44/12</f>
        <v>3.5802024430667658</v>
      </c>
      <c r="FS63" s="21">
        <f>EXP(-LN(2)/2)*FS62+(1-EXP(-LN(2)/2))/(LN(2)/2)*FM63*FP63*VLOOKUP('Données projet'!$B$16,Paramètres!$A$1:$I$89,3,0)*0.475*44/12</f>
        <v>1.7755253933711963</v>
      </c>
      <c r="FT63" s="22">
        <f t="shared" si="24"/>
        <v>5.3557278364379624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61.776462895887853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61.776462895887853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>
      <c r="A64" s="10">
        <f t="shared" si="31"/>
        <v>61</v>
      </c>
      <c r="B64" s="73">
        <f>'Scénario référence'!$B$16*5+'Scénario référence'!$B$17*0+'Scénario référence'!$B$18*5</f>
        <v>4.6999999999999993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3.2544719999999971</v>
      </c>
      <c r="D64" s="11">
        <f t="shared" si="32"/>
        <v>1.307313871905585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18.312160474005392</v>
      </c>
      <c r="H64" s="67">
        <f t="shared" si="1"/>
        <v>195.67844372690223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61.919122879569521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11.896999999999997</v>
      </c>
      <c r="N64" s="13">
        <f>IF('Données projet'!$A$36&gt;35,N63+M64-V63,IF(A64&lt;'Données projet'!$A$36,$K$205^A64,IF(A64='Données projet'!$A$36,'Données projet'!$B$36,N63+M64-V63)))</f>
        <v>382.99699999999984</v>
      </c>
      <c r="O64" s="13">
        <f>N64*VLOOKUP('Données projet'!$B$9,Paramètres!$A$1:$I$89,3,0)*VLOOKUP('Données projet'!$B$9,Paramètres!$A$1:$I$89,5,0)</f>
        <v>229.03220599999992</v>
      </c>
      <c r="P64" s="13">
        <f t="shared" si="33"/>
        <v>56.073370514455313</v>
      </c>
      <c r="Q64" s="20">
        <f t="shared" si="53"/>
        <v>496.55887909600943</v>
      </c>
      <c r="R64" s="59">
        <f t="shared" si="0"/>
        <v>760.26232965443103</v>
      </c>
      <c r="S64" s="59">
        <f ca="1">AVERAGE(OFFSET($R$3,0,0,'Données projet'!$E$9+1,1))-AVERAGE(OFFSET($H$3,0,0,'Données projet'!$E$9+1,1))</f>
        <v>366.93249569585623</v>
      </c>
      <c r="T64" s="59">
        <f t="shared" si="34"/>
        <v>272.47262353368501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43.642828805373689</v>
      </c>
      <c r="AA64" s="21">
        <f>EXP(-LN(2)/25)*AA63+(1-EXP(-LN(2)/25))/(LN(2)/25)*Calculateur!V64*Calculateur!X64*VLOOKUP('Données projet'!$B$9,Paramètres!$A$1:$I$89,3,0)*0.475*44/12</f>
        <v>18.804988248193443</v>
      </c>
      <c r="AB64" s="21">
        <f>EXP(-LN(2)/2)*AB63+(1-EXP(-LN(2)/2))/(LN(2)/2)*V64*Y64*VLOOKUP('Données projet'!$B$9,Paramètres!$A$1:$I$89,3,0)*0.475*44/12</f>
        <v>6.9078946134240198</v>
      </c>
      <c r="AC64" s="22">
        <f t="shared" si="3"/>
        <v>69.355711666991155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61.919122879569521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16.778571428571428</v>
      </c>
      <c r="AI64" s="13">
        <f>IF('Données projet'!$A$62&gt;35,AI63+AH64-AQ63,IF(A64&lt;'Données projet'!$A$62,$AF$205^A64,IF(A64='Données projet'!$A$62,'Données projet'!$B$62,AI63+AH64-AQ63)))</f>
        <v>387.82285714285661</v>
      </c>
      <c r="AJ64" s="13">
        <f>AI64*VLOOKUP('Données projet'!$B$10,Paramètres!$A$1:$I$89,3,0)*VLOOKUP('Données projet'!$B$10,Paramètres!$A$1:$I$89,5,0)</f>
        <v>181.50109714285688</v>
      </c>
      <c r="AK64" s="13">
        <f t="shared" si="35"/>
        <v>45.655991033396859</v>
      </c>
      <c r="AL64" s="20">
        <f t="shared" si="4"/>
        <v>395.63192857364191</v>
      </c>
      <c r="AM64" s="59">
        <f t="shared" si="5"/>
        <v>659.33537913206351</v>
      </c>
      <c r="AN64" s="59">
        <f ca="1">AVERAGE(OFFSET($AM$3,0,0,'Données projet'!$E$10+1,1))-AVERAGE(OFFSET($H$3,0,0,'Données projet'!$E$10+1,1))</f>
        <v>382.89338473200229</v>
      </c>
      <c r="AO64" s="59">
        <f t="shared" si="36"/>
        <v>360.46248248971744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57.276692245343376</v>
      </c>
      <c r="AV64" s="21">
        <f>EXP(-LN(2)/25)*AV63+(1-EXP(-LN(2)/25))/(LN(2)/25)*Calculateur!AQ64*Calculateur!AS64*VLOOKUP('Données projet'!$B$10,Paramètres!$A$1:$I$89,3,0)*0.475*44/12</f>
        <v>17.124718515681327</v>
      </c>
      <c r="AW64" s="21">
        <f>EXP(-LN(2)/2)*AW63+(1-EXP(-LN(2)/2))/(LN(2)/2)*AQ64*AT64*VLOOKUP('Données projet'!$B$10,Paramètres!$A$1:$I$89,3,0)*0.475*44/12</f>
        <v>1.6975727289818074</v>
      </c>
      <c r="AX64" s="21">
        <f t="shared" si="6"/>
        <v>76.098983490006518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61.919122879569521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2.8205128205128176</v>
      </c>
      <c r="BD64" s="12">
        <f>IF('Données projet'!$A$88&gt;35,BD63+BC64-BL63,IF(A64&lt;'Données projet'!$A$88,$BA$205^A64,IF(A64='Données projet'!$A$88,'Données projet'!$B$88,BD63+BC64-BL63)))</f>
        <v>113.71794871794867</v>
      </c>
      <c r="BE64" s="13">
        <f>BD64*VLOOKUP('Données projet'!$B$11,Paramètres!$A$1:$I$89,3,0)*VLOOKUP('Données projet'!$B$11,Paramètres!$A$1:$I$89,5,0)</f>
        <v>99.343999999999966</v>
      </c>
      <c r="BF64" s="13">
        <f t="shared" si="37"/>
        <v>26.805654780620351</v>
      </c>
      <c r="BG64" s="20">
        <f t="shared" si="7"/>
        <v>219.71064874291372</v>
      </c>
      <c r="BH64" s="59">
        <f t="shared" si="8"/>
        <v>483.41409930133534</v>
      </c>
      <c r="BI64" s="59">
        <f ca="1">AVERAGE(OFFSET($BH$3,0,0,'Données projet'!$E$11+1,1))-AVERAGE(OFFSET($H$3,0,0,'Données projet'!$E$11+1,1))</f>
        <v>225.75484198243581</v>
      </c>
      <c r="BJ64" s="59">
        <f t="shared" si="38"/>
        <v>199.49566488421061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0</v>
      </c>
      <c r="BQ64" s="21">
        <f>EXP(-LN(2)/25)*BQ63+(1-EXP(-LN(2)/25))/(LN(2)/25)*Calculateur!BL64*Calculateur!BN64*VLOOKUP('Données projet'!$B$11,Paramètres!$A$1:$I$89,3,0)*0.475*44/12</f>
        <v>13.402309534299173</v>
      </c>
      <c r="BR64" s="21">
        <f>EXP(-LN(2)/2)*BR63+(1-EXP(-LN(2)/2))/(LN(2)/2)*BL64*BO64*VLOOKUP('Données projet'!$B$11,Paramètres!$A$1:$I$89,3,0)*0.475*44/12</f>
        <v>0</v>
      </c>
      <c r="BS64" s="22">
        <f t="shared" si="9"/>
        <v>13.402309534299173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61.919122879569521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7.2</v>
      </c>
      <c r="BY64" s="12">
        <f>IF('Données projet'!$A$114&gt;35,BY63+BX64-CG63,IF(A64&lt;'Données projet'!$A$114,$BV$205^A64,IF(A64='Données projet'!$A$114,'Données projet'!$B$114,BY63+BX64-CG63)))</f>
        <v>200.19999999999996</v>
      </c>
      <c r="BZ64" s="13">
        <f>BY64*VLOOKUP('Données projet'!$B$12,Paramètres!$A$1:$I$89,3,0)*VLOOKUP('Données projet'!$B$12,Paramètres!$A$1:$I$89,5,0)</f>
        <v>190.51031999999995</v>
      </c>
      <c r="CA64" s="13">
        <f t="shared" si="39"/>
        <v>47.652759738576151</v>
      </c>
      <c r="CB64" s="20">
        <f t="shared" si="10"/>
        <v>414.80069721135334</v>
      </c>
      <c r="CC64" s="59">
        <f t="shared" si="11"/>
        <v>678.50414776977493</v>
      </c>
      <c r="CD64" s="59">
        <f ca="1">AVERAGE(OFFSET($CC$3,0,0,'Données projet'!$E$12+1,1))-AVERAGE(OFFSET($H$3,0,0,'Données projet'!$E$12+1,1))</f>
        <v>413.9352601863377</v>
      </c>
      <c r="CE64" s="59">
        <f t="shared" si="40"/>
        <v>255.13997349799286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0</v>
      </c>
      <c r="CL64" s="21">
        <f>EXP(-LN(2)/25)*CL63+(1-EXP(-LN(2)/25))/(LN(2)/25)*Calculateur!CG64*Calculateur!CI64*VLOOKUP('Données projet'!$B$12,Paramètres!$A$1:$I$89,3,0)*0.475*44/12</f>
        <v>11.370770544514441</v>
      </c>
      <c r="CM64" s="21">
        <f>EXP(-LN(2)/2)*CM63+(1-EXP(-LN(2)/2))/(LN(2)/2)*CG64*CJ64*VLOOKUP('Données projet'!$B$12,Paramètres!$A$1:$I$89,3,0)*0.475*44/12</f>
        <v>4.0488693915171989</v>
      </c>
      <c r="CN64" s="22">
        <f t="shared" si="12"/>
        <v>15.41963993603164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61.919122879569521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3.4</v>
      </c>
      <c r="CT64" s="12">
        <f>IF('Données projet'!$A$140&gt;35,CT63+CS64-DB63,IF(A64&lt;'Données projet'!$A$140,$CQ$205^A64,IF(A64='Données projet'!$A$140,'Données projet'!$B$140,CT63+CS64-DB63)))</f>
        <v>188.4</v>
      </c>
      <c r="CU64" s="17">
        <f>CT64*VLOOKUP('Données projet'!$B$13,Paramètres!$A$1:$I$89,3,0)*VLOOKUP('Données projet'!$B$13,Paramètres!$A$1:$I$89,5,0)</f>
        <v>164.58624000000003</v>
      </c>
      <c r="CV64" s="13">
        <f t="shared" si="41"/>
        <v>41.875247075991886</v>
      </c>
      <c r="CW64" s="20">
        <f t="shared" si="13"/>
        <v>359.58708999068591</v>
      </c>
      <c r="CX64" s="59">
        <f t="shared" si="14"/>
        <v>623.2905405491075</v>
      </c>
      <c r="CY64" s="59">
        <f ca="1">AVERAGE(OFFSET($CX$3,0,0,'Données projet'!$E$13+1,1))-AVERAGE(OFFSET($H$3,0,0,'Données projet'!$E$13+1,1))</f>
        <v>280.59827778697775</v>
      </c>
      <c r="CZ64" s="59">
        <f t="shared" si="42"/>
        <v>270.86588231964726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>
        <f>EXP(-LN(2)/35)*DF63+(1-EXP(-LN(2)/35))/(LN(2)/35)*DB64*DC64*VLOOKUP('Données projet'!$B$13,Paramètres!$A$1:$I$89,3,0)*0.475*44/12</f>
        <v>3.7167823003395033</v>
      </c>
      <c r="DG64" s="21">
        <f>EXP(-LN(2)/25)*DG63+(1-EXP(-LN(2)/25))/(LN(2)/25)*Calculateur!DB64*Calculateur!DD64*VLOOKUP('Données projet'!$B$13,Paramètres!$A$1:$I$89,3,0)*0.475*44/12</f>
        <v>10.771966345568092</v>
      </c>
      <c r="DH64" s="21">
        <f>EXP(-LN(2)/2)*DH63+(1-EXP(-LN(2)/2))/(LN(2)/2)*DB64*DE64*VLOOKUP('Données projet'!$B$13,Paramètres!$A$1:$I$89,3,0)*0.475*44/12</f>
        <v>1.6720522340587931</v>
      </c>
      <c r="DI64" s="22">
        <f t="shared" si="15"/>
        <v>16.160800879966388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61.919122879569521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4.4871794871794917</v>
      </c>
      <c r="DO64" s="12">
        <f>IF('Données projet'!$A$166&gt;35,DO63+DN64-DW63,IF(A64&lt;'Données projet'!$A$166,$DL$205^A64,IF(A64='Données projet'!$A$166,'Données projet'!$B$166,DO63+DN64-DW63)))</f>
        <v>117.94871794871794</v>
      </c>
      <c r="DP64" s="17">
        <f>DO64*VLOOKUP('Données projet'!$B$14,Paramètres!$A$1:$I$89,3,0)*VLOOKUP('Données projet'!$B$14,Paramètres!$A$1:$I$89,5,0)</f>
        <v>79.12</v>
      </c>
      <c r="DQ64" s="13">
        <f t="shared" si="43"/>
        <v>21.921881238270821</v>
      </c>
      <c r="DR64" s="20">
        <f t="shared" si="16"/>
        <v>175.98127648998835</v>
      </c>
      <c r="DS64" s="59">
        <f t="shared" si="17"/>
        <v>439.68472704840997</v>
      </c>
      <c r="DT64" s="59">
        <f ca="1">AVERAGE(OFFSET($DS$3,0,0,'Données projet'!$E$14+1,1))-AVERAGE(OFFSET($H$3,0,0,'Données projet'!$E$14+1,1))</f>
        <v>211.42385430331873</v>
      </c>
      <c r="DU64" s="59">
        <f t="shared" si="44"/>
        <v>146.84623106782686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>
        <f>EXP(-LN(2)/35)*EA63+(1-EXP(-LN(2)/35))/(LN(2)/35)*DW64*DX64*VLOOKUP('Données projet'!$B$14,Paramètres!$A$1:$I$89,3,0)*0.475*44/12</f>
        <v>0</v>
      </c>
      <c r="EB64" s="21">
        <f>EXP(-LN(2)/25)*EB63+(1-EXP(-LN(2)/25))/(LN(2)/25)*Calculateur!DW64*Calculateur!DY64*VLOOKUP('Données projet'!$B$14,Paramètres!$A$1:$I$89,3,0)*0.475*44/12</f>
        <v>6.674383119654502</v>
      </c>
      <c r="EC64" s="21">
        <f>EXP(-LN(2)/2)*EC63+(1-EXP(-LN(2)/2))/(LN(2)/2)*DW64*DZ64*VLOOKUP('Données projet'!$B$14,Paramètres!$A$1:$I$89,3,0)*0.475*44/12</f>
        <v>1.9161058425055359</v>
      </c>
      <c r="ED64" s="22">
        <f t="shared" si="18"/>
        <v>8.5904889621600375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61.919122879569521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2.1794871794871797</v>
      </c>
      <c r="EJ64" s="12">
        <f>IF('Données projet'!$A$192&gt;35,EJ63+EI64-ER63,IF(A64&lt;'Données projet'!$A$192,$EG$205^A64,IF(A64='Données projet'!$A$192,'Données projet'!$B$192,EJ63+EI64-ER63)))</f>
        <v>69.487179487179461</v>
      </c>
      <c r="EK64" s="17">
        <f>EJ64*VLOOKUP('Données projet'!$B$15,Paramètres!$A$1:$I$89,3,0)*VLOOKUP('Données projet'!$B$15,Paramètres!$A$1:$I$89,5,0)</f>
        <v>74.795999999999978</v>
      </c>
      <c r="EL64" s="13">
        <f t="shared" si="45"/>
        <v>20.859841068176475</v>
      </c>
      <c r="EM64" s="20">
        <f t="shared" si="19"/>
        <v>166.60058986040733</v>
      </c>
      <c r="EN64" s="59">
        <f t="shared" si="20"/>
        <v>430.30404041882889</v>
      </c>
      <c r="EO64" s="59">
        <f ca="1">AVERAGE(OFFSET($EN$3,0,0,'Données projet'!$E$15+1,1))-AVERAGE(OFFSET($H$3,0,0,'Données projet'!$E$15+1,1))</f>
        <v>212.00478362779876</v>
      </c>
      <c r="EP64" s="59">
        <f t="shared" si="46"/>
        <v>133.62262474506707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>
        <f>EXP(-LN(2)/35)*EV63+(1-EXP(-LN(2)/35))/(LN(2)/35)*ER64*ES64*VLOOKUP('Données projet'!$B$15,Paramètres!$A$1:$I$89,3,0)*0.475*44/12</f>
        <v>0</v>
      </c>
      <c r="EW64" s="21">
        <f>EXP(-LN(2)/25)*EW63+(1-EXP(-LN(2)/25))/(LN(2)/25)*Calculateur!ER64*Calculateur!ET64*VLOOKUP('Données projet'!$B$15,Paramètres!$A$1:$I$89,3,0)*0.475*44/12</f>
        <v>3.8754647050010389</v>
      </c>
      <c r="EX64" s="21">
        <f>EXP(-LN(2)/2)*EX63+(1-EXP(-LN(2)/2))/(LN(2)/2)*ER64*EU64*VLOOKUP('Données projet'!$B$15,Paramètres!$A$1:$I$89,3,0)*0.475*44/12</f>
        <v>1.39723447034994</v>
      </c>
      <c r="EY64" s="22">
        <f t="shared" si="21"/>
        <v>5.2726991753509793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61.919122879569521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2.1794871794871797</v>
      </c>
      <c r="FE64" s="12">
        <f>IF('Données projet'!$A$218&gt;35,FE63+FD64-FM63,IF(A64&lt;'Données projet'!$A$218,$FB$205^A64,IF(A64='Données projet'!$A$218,'Données projet'!$B$218,FE63+FD64-FM63)))</f>
        <v>69.487179487179461</v>
      </c>
      <c r="FF64" s="17">
        <f>FE64*VLOOKUP('Données projet'!$B$16,Paramètres!$A$1:$I$89,3,0)*VLOOKUP('Données projet'!$B$16,Paramètres!$A$1:$I$89,5,0)</f>
        <v>67.207999999999984</v>
      </c>
      <c r="FG64" s="13">
        <f t="shared" si="47"/>
        <v>18.97847165054225</v>
      </c>
      <c r="FH64" s="20">
        <f t="shared" si="22"/>
        <v>150.10810479136106</v>
      </c>
      <c r="FI64" s="59">
        <f t="shared" si="23"/>
        <v>413.81155534978268</v>
      </c>
      <c r="FJ64" s="59">
        <f ca="1">AVERAGE(OFFSET($FI$3,0,0,'Données projet'!$E$16+1,1))-AVERAGE(OFFSET($H$3,0,0,'Données projet'!$E$16+1,1))</f>
        <v>196.65742339093146</v>
      </c>
      <c r="FK64" s="59">
        <f t="shared" si="48"/>
        <v>125.41980634506001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>
        <f>EXP(-LN(2)/35)*FQ63+(1-EXP(-LN(2)/35))/(LN(2)/35)*FM64*FN64*VLOOKUP('Données projet'!$B$16,Paramètres!$A$1:$I$89,3,0)*0.475*44/12</f>
        <v>0</v>
      </c>
      <c r="FR64" s="21">
        <f>EXP(-LN(2)/25)*FR63+(1-EXP(-LN(2)/25))/(LN(2)/25)*Calculateur!FM64*Calculateur!FO64*VLOOKUP('Données projet'!$B$16,Paramètres!$A$1:$I$89,3,0)*0.475*44/12</f>
        <v>3.4823016189864413</v>
      </c>
      <c r="FS64" s="21">
        <f>EXP(-LN(2)/2)*FS63+(1-EXP(-LN(2)/2))/(LN(2)/2)*FM64*FP64*VLOOKUP('Données projet'!$B$16,Paramètres!$A$1:$I$89,3,0)*0.475*44/12</f>
        <v>1.2554860458216852</v>
      </c>
      <c r="FT64" s="22">
        <f t="shared" si="24"/>
        <v>4.7377876648081267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61.919122879569521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61.919122879569521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>
      <c r="A65" s="10">
        <f t="shared" si="31"/>
        <v>62</v>
      </c>
      <c r="B65" s="73">
        <f>'Scénario référence'!$B$16*5+'Scénario référence'!$B$17*0+'Scénario référence'!$B$18*5</f>
        <v>4.6999999999999993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3.307823999999997</v>
      </c>
      <c r="D65" s="11">
        <f t="shared" si="32"/>
        <v>1.3262326765517716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18.345633267736257</v>
      </c>
      <c r="H65" s="67">
        <f t="shared" si="1"/>
        <v>195.80431537832769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62.059308031474245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11.896999999999997</v>
      </c>
      <c r="N65" s="13">
        <f>IF('Données projet'!$A$36&gt;35,N64+M65-V64,IF(A65&lt;'Données projet'!$A$36,$K$205^A65,IF(A65='Données projet'!$A$36,'Données projet'!$B$36,N64+M65-V64)))</f>
        <v>394.89399999999983</v>
      </c>
      <c r="O65" s="13">
        <f>N65*VLOOKUP('Données projet'!$B$9,Paramètres!$A$1:$I$89,3,0)*VLOOKUP('Données projet'!$B$9,Paramètres!$A$1:$I$89,5,0)</f>
        <v>236.14661199999995</v>
      </c>
      <c r="P65" s="13">
        <f t="shared" si="33"/>
        <v>57.609675887529612</v>
      </c>
      <c r="Q65" s="20">
        <f t="shared" si="53"/>
        <v>511.6255347374472</v>
      </c>
      <c r="R65" s="59">
        <f t="shared" si="0"/>
        <v>775.84299751951949</v>
      </c>
      <c r="S65" s="59">
        <f ca="1">AVERAGE(OFFSET($R$3,0,0,'Données projet'!$E$9+1,1))-AVERAGE(OFFSET($H$3,0,0,'Données projet'!$E$9+1,1))</f>
        <v>366.93249569585623</v>
      </c>
      <c r="T65" s="59">
        <f t="shared" si="34"/>
        <v>272.47262353368501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42.787019551997425</v>
      </c>
      <c r="AA65" s="21">
        <f>EXP(-LN(2)/25)*AA64+(1-EXP(-LN(2)/25))/(LN(2)/25)*Calculateur!V65*Calculateur!X65*VLOOKUP('Données projet'!$B$9,Paramètres!$A$1:$I$89,3,0)*0.475*44/12</f>
        <v>18.290764855635238</v>
      </c>
      <c r="AB65" s="21">
        <f>EXP(-LN(2)/2)*AB64+(1-EXP(-LN(2)/2))/(LN(2)/2)*V65*Y65*VLOOKUP('Données projet'!$B$9,Paramètres!$A$1:$I$89,3,0)*0.475*44/12</f>
        <v>4.8846191248741491</v>
      </c>
      <c r="AC65" s="22">
        <f t="shared" si="3"/>
        <v>65.962403532506812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62.059308031474245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16.778571428571428</v>
      </c>
      <c r="AI65" s="13">
        <f>IF('Données projet'!$A$62&gt;35,AI64+AH65-AQ64,IF(A65&lt;'Données projet'!$A$62,$AF$205^A65,IF(A65='Données projet'!$A$62,'Données projet'!$B$62,AI64+AH65-AQ64)))</f>
        <v>404.60142857142802</v>
      </c>
      <c r="AJ65" s="13">
        <f>AI65*VLOOKUP('Données projet'!$B$10,Paramètres!$A$1:$I$89,3,0)*VLOOKUP('Données projet'!$B$10,Paramètres!$A$1:$I$89,5,0)</f>
        <v>189.35346857142832</v>
      </c>
      <c r="AK65" s="13">
        <f t="shared" si="35"/>
        <v>47.396985588029786</v>
      </c>
      <c r="AL65" s="20">
        <f t="shared" si="4"/>
        <v>412.34037432772288</v>
      </c>
      <c r="AM65" s="59">
        <f t="shared" si="5"/>
        <v>676.55783710979517</v>
      </c>
      <c r="AN65" s="59">
        <f ca="1">AVERAGE(OFFSET($AM$3,0,0,'Données projet'!$E$10+1,1))-AVERAGE(OFFSET($H$3,0,0,'Données projet'!$E$10+1,1))</f>
        <v>382.89338473200229</v>
      </c>
      <c r="AO65" s="59">
        <f t="shared" si="36"/>
        <v>360.46248248971744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56.153531245744887</v>
      </c>
      <c r="AV65" s="21">
        <f>EXP(-LN(2)/25)*AV64+(1-EXP(-LN(2)/25))/(LN(2)/25)*Calculateur!AQ65*Calculateur!AS65*VLOOKUP('Données projet'!$B$10,Paramètres!$A$1:$I$89,3,0)*0.475*44/12</f>
        <v>16.656442187320213</v>
      </c>
      <c r="AW65" s="21">
        <f>EXP(-LN(2)/2)*AW64+(1-EXP(-LN(2)/2))/(LN(2)/2)*AQ65*AT65*VLOOKUP('Données projet'!$B$10,Paramètres!$A$1:$I$89,3,0)*0.475*44/12</f>
        <v>1.2003651882203894</v>
      </c>
      <c r="AX65" s="21">
        <f t="shared" si="6"/>
        <v>74.010338621285484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62.059308031474245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2.8205128205128176</v>
      </c>
      <c r="BD65" s="12">
        <f>IF('Données projet'!$A$88&gt;35,BD64+BC65-BL64,IF(A65&lt;'Données projet'!$A$88,$BA$205^A65,IF(A65='Données projet'!$A$88,'Données projet'!$B$88,BD64+BC65-BL64)))</f>
        <v>116.53846153846149</v>
      </c>
      <c r="BE65" s="13">
        <f>BD65*VLOOKUP('Données projet'!$B$11,Paramètres!$A$1:$I$89,3,0)*VLOOKUP('Données projet'!$B$11,Paramètres!$A$1:$I$89,5,0)</f>
        <v>101.80799999999996</v>
      </c>
      <c r="BF65" s="13">
        <f t="shared" si="37"/>
        <v>27.392278397914477</v>
      </c>
      <c r="BG65" s="20">
        <f t="shared" si="7"/>
        <v>225.02381820970098</v>
      </c>
      <c r="BH65" s="59">
        <f t="shared" si="8"/>
        <v>489.24128099177324</v>
      </c>
      <c r="BI65" s="59">
        <f ca="1">AVERAGE(OFFSET($BH$3,0,0,'Données projet'!$E$11+1,1))-AVERAGE(OFFSET($H$3,0,0,'Données projet'!$E$11+1,1))</f>
        <v>225.75484198243581</v>
      </c>
      <c r="BJ65" s="59">
        <f t="shared" si="38"/>
        <v>199.49566488421061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0</v>
      </c>
      <c r="BQ65" s="21">
        <f>EXP(-LN(2)/25)*BQ64+(1-EXP(-LN(2)/25))/(LN(2)/25)*Calculateur!BL65*Calculateur!BN65*VLOOKUP('Données projet'!$B$11,Paramètres!$A$1:$I$89,3,0)*0.475*44/12</f>
        <v>13.035822675286935</v>
      </c>
      <c r="BR65" s="21">
        <f>EXP(-LN(2)/2)*BR64+(1-EXP(-LN(2)/2))/(LN(2)/2)*BL65*BO65*VLOOKUP('Données projet'!$B$11,Paramètres!$A$1:$I$89,3,0)*0.475*44/12</f>
        <v>0</v>
      </c>
      <c r="BS65" s="22">
        <f t="shared" si="9"/>
        <v>13.035822675286935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62.059308031474245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7.2</v>
      </c>
      <c r="BY65" s="12">
        <f>IF('Données projet'!$A$114&gt;35,BY64+BX65-CG64,IF(A65&lt;'Données projet'!$A$114,$BV$205^A65,IF(A65='Données projet'!$A$114,'Données projet'!$B$114,BY64+BX65-CG64)))</f>
        <v>207.39999999999995</v>
      </c>
      <c r="BZ65" s="13">
        <f>BY65*VLOOKUP('Données projet'!$B$12,Paramètres!$A$1:$I$89,3,0)*VLOOKUP('Données projet'!$B$12,Paramètres!$A$1:$I$89,5,0)</f>
        <v>197.36183999999994</v>
      </c>
      <c r="CA65" s="13">
        <f t="shared" si="39"/>
        <v>49.163932700585988</v>
      </c>
      <c r="CB65" s="20">
        <f t="shared" si="10"/>
        <v>429.36572078685384</v>
      </c>
      <c r="CC65" s="59">
        <f t="shared" si="11"/>
        <v>693.58318356892607</v>
      </c>
      <c r="CD65" s="59">
        <f ca="1">AVERAGE(OFFSET($CC$3,0,0,'Données projet'!$E$12+1,1))-AVERAGE(OFFSET($H$3,0,0,'Données projet'!$E$12+1,1))</f>
        <v>413.9352601863377</v>
      </c>
      <c r="CE65" s="59">
        <f t="shared" si="40"/>
        <v>255.13997349799286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0</v>
      </c>
      <c r="CL65" s="21">
        <f>EXP(-LN(2)/25)*CL64+(1-EXP(-LN(2)/25))/(LN(2)/25)*Calculateur!CG65*Calculateur!CI65*VLOOKUP('Données projet'!$B$12,Paramètres!$A$1:$I$89,3,0)*0.475*44/12</f>
        <v>11.059836226011859</v>
      </c>
      <c r="CM65" s="21">
        <f>EXP(-LN(2)/2)*CM64+(1-EXP(-LN(2)/2))/(LN(2)/2)*CG65*CJ65*VLOOKUP('Données projet'!$B$12,Paramètres!$A$1:$I$89,3,0)*0.475*44/12</f>
        <v>2.8629830028804619</v>
      </c>
      <c r="CN65" s="22">
        <f t="shared" si="12"/>
        <v>13.922819228892321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62.059308031474245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3.4</v>
      </c>
      <c r="CT65" s="12">
        <f>IF('Données projet'!$A$140&gt;35,CT64+CS65-DB64,IF(A65&lt;'Données projet'!$A$140,$CQ$205^A65,IF(A65='Données projet'!$A$140,'Données projet'!$B$140,CT64+CS65-DB64)))</f>
        <v>191.8</v>
      </c>
      <c r="CU65" s="17">
        <f>CT65*VLOOKUP('Données projet'!$B$13,Paramètres!$A$1:$I$89,3,0)*VLOOKUP('Données projet'!$B$13,Paramètres!$A$1:$I$89,5,0)</f>
        <v>167.55648000000002</v>
      </c>
      <c r="CV65" s="13">
        <f t="shared" si="41"/>
        <v>42.542296108660942</v>
      </c>
      <c r="CW65" s="20">
        <f t="shared" si="13"/>
        <v>365.92203505591783</v>
      </c>
      <c r="CX65" s="59">
        <f t="shared" si="14"/>
        <v>630.13949783799012</v>
      </c>
      <c r="CY65" s="59">
        <f ca="1">AVERAGE(OFFSET($CX$3,0,0,'Données projet'!$E$13+1,1))-AVERAGE(OFFSET($H$3,0,0,'Données projet'!$E$13+1,1))</f>
        <v>280.59827778697775</v>
      </c>
      <c r="CZ65" s="59">
        <f t="shared" si="42"/>
        <v>270.86588231964726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>
        <f>EXP(-LN(2)/35)*DF64+(1-EXP(-LN(2)/35))/(LN(2)/35)*DB65*DC65*VLOOKUP('Données projet'!$B$13,Paramètres!$A$1:$I$89,3,0)*0.475*44/12</f>
        <v>3.6438984664431997</v>
      </c>
      <c r="DG65" s="21">
        <f>EXP(-LN(2)/25)*DG64+(1-EXP(-LN(2)/25))/(LN(2)/25)*Calculateur!DB65*Calculateur!DD65*VLOOKUP('Données projet'!$B$13,Paramètres!$A$1:$I$89,3,0)*0.475*44/12</f>
        <v>10.477406359375442</v>
      </c>
      <c r="DH65" s="21">
        <f>EXP(-LN(2)/2)*DH64+(1-EXP(-LN(2)/2))/(LN(2)/2)*DB65*DE65*VLOOKUP('Données projet'!$B$13,Paramètres!$A$1:$I$89,3,0)*0.475*44/12</f>
        <v>1.1823194732010891</v>
      </c>
      <c r="DI65" s="22">
        <f t="shared" si="15"/>
        <v>15.303624299019729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62.059308031474245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4.4871794871794917</v>
      </c>
      <c r="DO65" s="12">
        <f>IF('Données projet'!$A$166&gt;35,DO64+DN65-DW64,IF(A65&lt;'Données projet'!$A$166,$DL$205^A65,IF(A65='Données projet'!$A$166,'Données projet'!$B$166,DO64+DN65-DW64)))</f>
        <v>122.43589743589743</v>
      </c>
      <c r="DP65" s="17">
        <f>DO65*VLOOKUP('Données projet'!$B$14,Paramètres!$A$1:$I$89,3,0)*VLOOKUP('Données projet'!$B$14,Paramètres!$A$1:$I$89,5,0)</f>
        <v>82.13000000000001</v>
      </c>
      <c r="DQ65" s="13">
        <f t="shared" si="43"/>
        <v>22.657181074435304</v>
      </c>
      <c r="DR65" s="20">
        <f t="shared" si="16"/>
        <v>182.50434037130813</v>
      </c>
      <c r="DS65" s="59">
        <f t="shared" si="17"/>
        <v>446.72180315338039</v>
      </c>
      <c r="DT65" s="59">
        <f ca="1">AVERAGE(OFFSET($DS$3,0,0,'Données projet'!$E$14+1,1))-AVERAGE(OFFSET($H$3,0,0,'Données projet'!$E$14+1,1))</f>
        <v>211.42385430331873</v>
      </c>
      <c r="DU65" s="59">
        <f t="shared" si="44"/>
        <v>146.84623106782686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>
        <f>EXP(-LN(2)/35)*EA64+(1-EXP(-LN(2)/35))/(LN(2)/35)*DW65*DX65*VLOOKUP('Données projet'!$B$14,Paramètres!$A$1:$I$89,3,0)*0.475*44/12</f>
        <v>0</v>
      </c>
      <c r="EB65" s="21">
        <f>EXP(-LN(2)/25)*EB64+(1-EXP(-LN(2)/25))/(LN(2)/25)*Calculateur!DW65*Calculateur!DY65*VLOOKUP('Données projet'!$B$14,Paramètres!$A$1:$I$89,3,0)*0.475*44/12</f>
        <v>6.4918717622569959</v>
      </c>
      <c r="EC65" s="21">
        <f>EXP(-LN(2)/2)*EC64+(1-EXP(-LN(2)/2))/(LN(2)/2)*DW65*DZ65*VLOOKUP('Données projet'!$B$14,Paramètres!$A$1:$I$89,3,0)*0.475*44/12</f>
        <v>1.3548914347068275</v>
      </c>
      <c r="ED65" s="22">
        <f t="shared" si="18"/>
        <v>7.8467631969638232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62.059308031474245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2.1794871794871797</v>
      </c>
      <c r="EJ65" s="12">
        <f>IF('Données projet'!$A$192&gt;35,EJ64+EI65-ER64,IF(A65&lt;'Données projet'!$A$192,$EG$205^A65,IF(A65='Données projet'!$A$192,'Données projet'!$B$192,EJ64+EI65-ER64)))</f>
        <v>71.666666666666643</v>
      </c>
      <c r="EK65" s="17">
        <f>EJ65*VLOOKUP('Données projet'!$B$15,Paramètres!$A$1:$I$89,3,0)*VLOOKUP('Données projet'!$B$15,Paramètres!$A$1:$I$89,5,0)</f>
        <v>77.141999999999967</v>
      </c>
      <c r="EL65" s="13">
        <f t="shared" si="45"/>
        <v>21.436915648510755</v>
      </c>
      <c r="EM65" s="20">
        <f t="shared" si="19"/>
        <v>171.69161142115618</v>
      </c>
      <c r="EN65" s="59">
        <f t="shared" si="20"/>
        <v>435.90907420322844</v>
      </c>
      <c r="EO65" s="59">
        <f ca="1">AVERAGE(OFFSET($EN$3,0,0,'Données projet'!$E$15+1,1))-AVERAGE(OFFSET($H$3,0,0,'Données projet'!$E$15+1,1))</f>
        <v>212.00478362779876</v>
      </c>
      <c r="EP65" s="59">
        <f t="shared" si="46"/>
        <v>133.62262474506707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>
        <f>EXP(-LN(2)/35)*EV64+(1-EXP(-LN(2)/35))/(LN(2)/35)*ER65*ES65*VLOOKUP('Données projet'!$B$15,Paramètres!$A$1:$I$89,3,0)*0.475*44/12</f>
        <v>0</v>
      </c>
      <c r="EW65" s="21">
        <f>EXP(-LN(2)/25)*EW64+(1-EXP(-LN(2)/25))/(LN(2)/25)*Calculateur!ER65*Calculateur!ET65*VLOOKUP('Données projet'!$B$15,Paramètres!$A$1:$I$89,3,0)*0.475*44/12</f>
        <v>3.7694899188409541</v>
      </c>
      <c r="EX65" s="21">
        <f>EXP(-LN(2)/2)*EX64+(1-EXP(-LN(2)/2))/(LN(2)/2)*ER65*EU65*VLOOKUP('Données projet'!$B$15,Paramètres!$A$1:$I$89,3,0)*0.475*44/12</f>
        <v>0.98799396889203672</v>
      </c>
      <c r="EY65" s="22">
        <f t="shared" si="21"/>
        <v>4.7574838877329908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62.059308031474245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2.1794871794871797</v>
      </c>
      <c r="FE65" s="12">
        <f>IF('Données projet'!$A$218&gt;35,FE64+FD65-FM64,IF(A65&lt;'Données projet'!$A$218,$FB$205^A65,IF(A65='Données projet'!$A$218,'Données projet'!$B$218,FE64+FD65-FM64)))</f>
        <v>71.666666666666643</v>
      </c>
      <c r="FF65" s="17">
        <f>FE65*VLOOKUP('Données projet'!$B$16,Paramètres!$A$1:$I$89,3,0)*VLOOKUP('Données projet'!$B$16,Paramètres!$A$1:$I$89,5,0)</f>
        <v>69.315999999999974</v>
      </c>
      <c r="FG65" s="13">
        <f t="shared" si="47"/>
        <v>19.503499311459137</v>
      </c>
      <c r="FH65" s="20">
        <f t="shared" si="22"/>
        <v>154.69396130079127</v>
      </c>
      <c r="FI65" s="59">
        <f t="shared" si="23"/>
        <v>418.9114240828635</v>
      </c>
      <c r="FJ65" s="59">
        <f ca="1">AVERAGE(OFFSET($FI$3,0,0,'Données projet'!$E$16+1,1))-AVERAGE(OFFSET($H$3,0,0,'Données projet'!$E$16+1,1))</f>
        <v>196.65742339093146</v>
      </c>
      <c r="FK65" s="59">
        <f t="shared" si="48"/>
        <v>125.41980634506001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>
        <f>EXP(-LN(2)/35)*FQ64+(1-EXP(-LN(2)/35))/(LN(2)/35)*FM65*FN65*VLOOKUP('Données projet'!$B$16,Paramètres!$A$1:$I$89,3,0)*0.475*44/12</f>
        <v>0</v>
      </c>
      <c r="FR65" s="21">
        <f>EXP(-LN(2)/25)*FR64+(1-EXP(-LN(2)/25))/(LN(2)/25)*Calculateur!FM65*Calculateur!FO65*VLOOKUP('Données projet'!$B$16,Paramètres!$A$1:$I$89,3,0)*0.475*44/12</f>
        <v>3.387077898088974</v>
      </c>
      <c r="FS65" s="21">
        <f>EXP(-LN(2)/2)*FS64+(1-EXP(-LN(2)/2))/(LN(2)/2)*FM65*FP65*VLOOKUP('Données projet'!$B$16,Paramètres!$A$1:$I$89,3,0)*0.475*44/12</f>
        <v>0.88776269668559815</v>
      </c>
      <c r="FT65" s="22">
        <f t="shared" si="24"/>
        <v>4.274840594774572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62.059308031474245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62.059308031474245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>
      <c r="A66" s="10">
        <f t="shared" si="31"/>
        <v>63</v>
      </c>
      <c r="B66" s="73">
        <f>'Scénario référence'!$B$16*5+'Scénario référence'!$B$17*0+'Scénario référence'!$B$18*5</f>
        <v>4.6999999999999993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3.3611759999999968</v>
      </c>
      <c r="D66" s="11">
        <f t="shared" si="32"/>
        <v>1.3451159943619304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18.379089625458857</v>
      </c>
      <c r="H66" s="67">
        <f t="shared" si="1"/>
        <v>195.9301252235137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62.197061284400476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11.896999999999997</v>
      </c>
      <c r="N66" s="13">
        <f>IF('Données projet'!$A$36&gt;35,N65+M66-V65,IF(A66&lt;'Données projet'!$A$36,$K$205^A66,IF(A66='Données projet'!$A$36,'Données projet'!$B$36,N65+M66-V65)))</f>
        <v>406.79099999999983</v>
      </c>
      <c r="O66" s="13">
        <f>N66*VLOOKUP('Données projet'!$B$9,Paramètres!$A$1:$I$89,3,0)*VLOOKUP('Données projet'!$B$9,Paramètres!$A$1:$I$89,5,0)</f>
        <v>243.26101799999989</v>
      </c>
      <c r="P66" s="13">
        <f t="shared" si="33"/>
        <v>59.140602334121624</v>
      </c>
      <c r="Q66" s="20">
        <f t="shared" si="53"/>
        <v>526.68282208192829</v>
      </c>
      <c r="R66" s="59">
        <f t="shared" si="0"/>
        <v>791.40538012473007</v>
      </c>
      <c r="S66" s="59">
        <f ca="1">AVERAGE(OFFSET($R$3,0,0,'Données projet'!$E$9+1,1))-AVERAGE(OFFSET($H$3,0,0,'Données projet'!$E$9+1,1))</f>
        <v>366.93249569585623</v>
      </c>
      <c r="T66" s="59">
        <f t="shared" si="34"/>
        <v>272.47262353368501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41.947992196087768</v>
      </c>
      <c r="AA66" s="21">
        <f>EXP(-LN(2)/25)*AA65+(1-EXP(-LN(2)/25))/(LN(2)/25)*Calculateur!V66*Calculateur!X66*VLOOKUP('Données projet'!$B$9,Paramètres!$A$1:$I$89,3,0)*0.475*44/12</f>
        <v>17.790602928788374</v>
      </c>
      <c r="AB66" s="21">
        <f>EXP(-LN(2)/2)*AB65+(1-EXP(-LN(2)/2))/(LN(2)/2)*V66*Y66*VLOOKUP('Données projet'!$B$9,Paramètres!$A$1:$I$89,3,0)*0.475*44/12</f>
        <v>3.4539473067120103</v>
      </c>
      <c r="AC66" s="22">
        <f t="shared" si="3"/>
        <v>63.192542431588151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62.197061284400476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>
        <f>VLOOKUP(A66,'Données projet'!$A$61:$I$81,2,0)</f>
        <v>421.38</v>
      </c>
      <c r="AG66" s="12">
        <f>VLOOKUP(A66,'Données projet'!$A$61:$I$81,9,0)</f>
        <v>16.778571428571428</v>
      </c>
      <c r="AH66" s="12">
        <f t="array" ref="AH66">INDEX(AG:AG,MIN(IF(ISNUMBER(AG66:AG262),ROW(AG66:AG262),"")))</f>
        <v>16.778571428571428</v>
      </c>
      <c r="AI66" s="13">
        <f>IF('Données projet'!$A$62&gt;35,AI65+AH66-AQ65,IF(A66&lt;'Données projet'!$A$62,$AF$205^A66,IF(A66='Données projet'!$A$62,'Données projet'!$B$62,AI65+AH66-AQ65)))</f>
        <v>421.37999999999943</v>
      </c>
      <c r="AJ66" s="13">
        <f>AI66*VLOOKUP('Données projet'!$B$10,Paramètres!$A$1:$I$89,3,0)*VLOOKUP('Données projet'!$B$10,Paramètres!$A$1:$I$89,5,0)</f>
        <v>197.20583999999974</v>
      </c>
      <c r="AK66" s="13">
        <f t="shared" si="35"/>
        <v>49.129594010842474</v>
      </c>
      <c r="AL66" s="20">
        <f t="shared" si="4"/>
        <v>429.03421423555022</v>
      </c>
      <c r="AM66" s="59">
        <f t="shared" si="5"/>
        <v>693.75677227835195</v>
      </c>
      <c r="AN66" s="59">
        <f ca="1">AVERAGE(OFFSET($AM$3,0,0,'Données projet'!$E$10+1,1))-AVERAGE(OFFSET($H$3,0,0,'Données projet'!$E$10+1,1))</f>
        <v>382.89338473200229</v>
      </c>
      <c r="AO66" s="59">
        <f t="shared" si="36"/>
        <v>360.46248248971744</v>
      </c>
      <c r="AP66" s="15">
        <f>IF(ISNA(VLOOKUP(A66,'Données projet'!$A$61:$I$81,3,0)),0,VLOOKUP(A66,'Données projet'!$A$61:$I$81,3,0))</f>
        <v>4</v>
      </c>
      <c r="AQ66" s="15">
        <f>IF(ISNA(VLOOKUP(A66,'Données projet'!$A$61:$I$81,4,0)),0,VLOOKUP(A66,'Données projet'!$A$61:$I$81,4,0))</f>
        <v>79.909999999999968</v>
      </c>
      <c r="AR66" s="16">
        <f>IF(ISNA(VLOOKUP(A66,'Données projet'!$A$61:$I$81,5,0)),0%,VLOOKUP(A66,'Données projet'!$A$61:$I$81,5,0)*VLOOKUP('Données projet'!$B$10,Paramètres!$A$1:$I$89,7,0))</f>
        <v>0.33</v>
      </c>
      <c r="AS66" s="16">
        <f>IF(ISNA(VLOOKUP(A66,'Données projet'!$A$61:$I$81,6,0)),0%,VLOOKUP(A66,'Données projet'!$A$61:$I$81,6,0)*VLOOKUP('Données projet'!$B$10,Paramètres!$A$1:$I$89,7,0))</f>
        <v>0.11000000000000001</v>
      </c>
      <c r="AT66" s="16">
        <f>IF(ISNA(VLOOKUP(A66,'Données projet'!$A$61:$I$81,7,0)),0%,VLOOKUP(A66,'Données projet'!$A$61:$I$81,7,0))</f>
        <v>0.2</v>
      </c>
      <c r="AU66" s="21">
        <f>EXP(-LN(2)/35)*AU65+(1-EXP(-LN(2)/35))/(LN(2)/35)*AQ66*AR66*VLOOKUP('Données projet'!$B$10,Paramètres!$A$1:$I$89,3,0)*0.475*44/12</f>
        <v>71.423925192829728</v>
      </c>
      <c r="AV66" s="21">
        <f>EXP(-LN(2)/25)*AV65+(1-EXP(-LN(2)/25))/(LN(2)/25)*Calculateur!AQ66*Calculateur!AS66*VLOOKUP('Données projet'!$B$10,Paramètres!$A$1:$I$89,3,0)*0.475*44/12</f>
        <v>21.636660730163534</v>
      </c>
      <c r="AW66" s="21">
        <f>EXP(-LN(2)/2)*AW65+(1-EXP(-LN(2)/2))/(LN(2)/2)*AQ66*AT66*VLOOKUP('Données projet'!$B$10,Paramètres!$A$1:$I$89,3,0)*0.475*44/12</f>
        <v>9.3174038834947126</v>
      </c>
      <c r="AX66" s="21">
        <f t="shared" si="6"/>
        <v>102.37798980648796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62.197061284400476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2.8205128205128176</v>
      </c>
      <c r="BD66" s="12">
        <f>IF('Données projet'!$A$88&gt;35,BD65+BC66-BL65,IF(A66&lt;'Données projet'!$A$88,$BA$205^A66,IF(A66='Données projet'!$A$88,'Données projet'!$B$88,BD65+BC66-BL65)))</f>
        <v>119.35897435897431</v>
      </c>
      <c r="BE66" s="13">
        <f>BD66*VLOOKUP('Données projet'!$B$11,Paramètres!$A$1:$I$89,3,0)*VLOOKUP('Données projet'!$B$11,Paramètres!$A$1:$I$89,5,0)</f>
        <v>104.27199999999998</v>
      </c>
      <c r="BF66" s="13">
        <f t="shared" si="37"/>
        <v>27.977251556977873</v>
      </c>
      <c r="BG66" s="20">
        <f t="shared" si="7"/>
        <v>230.33411312840303</v>
      </c>
      <c r="BH66" s="59">
        <f t="shared" si="8"/>
        <v>495.05667117120475</v>
      </c>
      <c r="BI66" s="59">
        <f ca="1">AVERAGE(OFFSET($BH$3,0,0,'Données projet'!$E$11+1,1))-AVERAGE(OFFSET($H$3,0,0,'Données projet'!$E$11+1,1))</f>
        <v>225.75484198243581</v>
      </c>
      <c r="BJ66" s="59">
        <f t="shared" si="38"/>
        <v>199.49566488421061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0</v>
      </c>
      <c r="BQ66" s="21">
        <f>EXP(-LN(2)/25)*BQ65+(1-EXP(-LN(2)/25))/(LN(2)/25)*Calculateur!BL66*Calculateur!BN66*VLOOKUP('Données projet'!$B$11,Paramètres!$A$1:$I$89,3,0)*0.475*44/12</f>
        <v>12.679357418707093</v>
      </c>
      <c r="BR66" s="21">
        <f>EXP(-LN(2)/2)*BR65+(1-EXP(-LN(2)/2))/(LN(2)/2)*BL66*BO66*VLOOKUP('Données projet'!$B$11,Paramètres!$A$1:$I$89,3,0)*0.475*44/12</f>
        <v>0</v>
      </c>
      <c r="BS66" s="22">
        <f t="shared" si="9"/>
        <v>12.679357418707093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62.197061284400476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7.2</v>
      </c>
      <c r="BY66" s="12">
        <f>IF('Données projet'!$A$114&gt;35,BY65+BX66-CG65,IF(A66&lt;'Données projet'!$A$114,$BV$205^A66,IF(A66='Données projet'!$A$114,'Données projet'!$B$114,BY65+BX66-CG65)))</f>
        <v>214.59999999999994</v>
      </c>
      <c r="BZ66" s="13">
        <f>BY66*VLOOKUP('Données projet'!$B$12,Paramètres!$A$1:$I$89,3,0)*VLOOKUP('Données projet'!$B$12,Paramètres!$A$1:$I$89,5,0)</f>
        <v>204.21335999999994</v>
      </c>
      <c r="CA66" s="13">
        <f t="shared" si="39"/>
        <v>50.669010210991836</v>
      </c>
      <c r="CB66" s="20">
        <f t="shared" si="10"/>
        <v>443.9201281174773</v>
      </c>
      <c r="CC66" s="59">
        <f t="shared" si="11"/>
        <v>708.64268616027903</v>
      </c>
      <c r="CD66" s="59">
        <f ca="1">AVERAGE(OFFSET($CC$3,0,0,'Données projet'!$E$12+1,1))-AVERAGE(OFFSET($H$3,0,0,'Données projet'!$E$12+1,1))</f>
        <v>413.9352601863377</v>
      </c>
      <c r="CE66" s="59">
        <f t="shared" si="40"/>
        <v>255.13997349799286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0</v>
      </c>
      <c r="CL66" s="21">
        <f>EXP(-LN(2)/25)*CL65+(1-EXP(-LN(2)/25))/(LN(2)/25)*Calculateur!CG66*Calculateur!CI66*VLOOKUP('Données projet'!$B$12,Paramètres!$A$1:$I$89,3,0)*0.475*44/12</f>
        <v>10.757404422800056</v>
      </c>
      <c r="CM66" s="21">
        <f>EXP(-LN(2)/2)*CM65+(1-EXP(-LN(2)/2))/(LN(2)/2)*CG66*CJ66*VLOOKUP('Données projet'!$B$12,Paramètres!$A$1:$I$89,3,0)*0.475*44/12</f>
        <v>2.0244346957585995</v>
      </c>
      <c r="CN66" s="22">
        <f t="shared" si="12"/>
        <v>12.781839118558654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62.197061284400476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3.4</v>
      </c>
      <c r="CT66" s="12">
        <f>IF('Données projet'!$A$140&gt;35,CT65+CS66-DB65,IF(A66&lt;'Données projet'!$A$140,$CQ$205^A66,IF(A66='Données projet'!$A$140,'Données projet'!$B$140,CT65+CS66-DB65)))</f>
        <v>195.20000000000002</v>
      </c>
      <c r="CU66" s="17">
        <f>CT66*VLOOKUP('Données projet'!$B$13,Paramètres!$A$1:$I$89,3,0)*VLOOKUP('Données projet'!$B$13,Paramètres!$A$1:$I$89,5,0)</f>
        <v>170.52672000000004</v>
      </c>
      <c r="CV66" s="13">
        <f t="shared" si="41"/>
        <v>43.207970095682747</v>
      </c>
      <c r="CW66" s="20">
        <f t="shared" si="13"/>
        <v>372.25458524998089</v>
      </c>
      <c r="CX66" s="59">
        <f t="shared" si="14"/>
        <v>636.97714329278256</v>
      </c>
      <c r="CY66" s="59">
        <f ca="1">AVERAGE(OFFSET($CX$3,0,0,'Données projet'!$E$13+1,1))-AVERAGE(OFFSET($H$3,0,0,'Données projet'!$E$13+1,1))</f>
        <v>280.59827778697775</v>
      </c>
      <c r="CZ66" s="59">
        <f t="shared" si="42"/>
        <v>270.86588231964726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>
        <f>EXP(-LN(2)/35)*DF65+(1-EXP(-LN(2)/35))/(LN(2)/35)*DB66*DC66*VLOOKUP('Données projet'!$B$13,Paramètres!$A$1:$I$89,3,0)*0.475*44/12</f>
        <v>3.5724438400748535</v>
      </c>
      <c r="DG66" s="21">
        <f>EXP(-LN(2)/25)*DG65+(1-EXP(-LN(2)/25))/(LN(2)/25)*Calculateur!DB66*Calculateur!DD66*VLOOKUP('Données projet'!$B$13,Paramètres!$A$1:$I$89,3,0)*0.475*44/12</f>
        <v>10.190901131495465</v>
      </c>
      <c r="DH66" s="21">
        <f>EXP(-LN(2)/2)*DH65+(1-EXP(-LN(2)/2))/(LN(2)/2)*DB66*DE66*VLOOKUP('Données projet'!$B$13,Paramètres!$A$1:$I$89,3,0)*0.475*44/12</f>
        <v>0.83602611702939666</v>
      </c>
      <c r="DI66" s="22">
        <f t="shared" si="15"/>
        <v>14.599371088599716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62.197061284400476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4.4871794871794917</v>
      </c>
      <c r="DO66" s="12">
        <f>IF('Données projet'!$A$166&gt;35,DO65+DN66-DW65,IF(A66&lt;'Données projet'!$A$166,$DL$205^A66,IF(A66='Données projet'!$A$166,'Données projet'!$B$166,DO65+DN66-DW65)))</f>
        <v>126.92307692307692</v>
      </c>
      <c r="DP66" s="17">
        <f>DO66*VLOOKUP('Données projet'!$B$14,Paramètres!$A$1:$I$89,3,0)*VLOOKUP('Données projet'!$B$14,Paramètres!$A$1:$I$89,5,0)</f>
        <v>85.14</v>
      </c>
      <c r="DQ66" s="13">
        <f t="shared" si="43"/>
        <v>23.389350085445869</v>
      </c>
      <c r="DR66" s="20">
        <f t="shared" si="16"/>
        <v>189.02195139881823</v>
      </c>
      <c r="DS66" s="59">
        <f t="shared" si="17"/>
        <v>453.74450944161993</v>
      </c>
      <c r="DT66" s="59">
        <f ca="1">AVERAGE(OFFSET($DS$3,0,0,'Données projet'!$E$14+1,1))-AVERAGE(OFFSET($H$3,0,0,'Données projet'!$E$14+1,1))</f>
        <v>211.42385430331873</v>
      </c>
      <c r="DU66" s="59">
        <f t="shared" si="44"/>
        <v>146.84623106782686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>
        <f>EXP(-LN(2)/35)*EA65+(1-EXP(-LN(2)/35))/(LN(2)/35)*DW66*DX66*VLOOKUP('Données projet'!$B$14,Paramètres!$A$1:$I$89,3,0)*0.475*44/12</f>
        <v>0</v>
      </c>
      <c r="EB66" s="21">
        <f>EXP(-LN(2)/25)*EB65+(1-EXP(-LN(2)/25))/(LN(2)/25)*Calculateur!DW66*Calculateur!DY66*VLOOKUP('Données projet'!$B$14,Paramètres!$A$1:$I$89,3,0)*0.475*44/12</f>
        <v>6.3143511875253795</v>
      </c>
      <c r="EC66" s="21">
        <f>EXP(-LN(2)/2)*EC65+(1-EXP(-LN(2)/2))/(LN(2)/2)*DW66*DZ66*VLOOKUP('Données projet'!$B$14,Paramètres!$A$1:$I$89,3,0)*0.475*44/12</f>
        <v>0.9580529212527682</v>
      </c>
      <c r="ED66" s="22">
        <f t="shared" si="18"/>
        <v>7.2724041087781472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62.197061284400476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2.1794871794871797</v>
      </c>
      <c r="EJ66" s="12">
        <f>IF('Données projet'!$A$192&gt;35,EJ65+EI66-ER65,IF(A66&lt;'Données projet'!$A$192,$EG$205^A66,IF(A66='Données projet'!$A$192,'Données projet'!$B$192,EJ65+EI66-ER65)))</f>
        <v>73.846153846153825</v>
      </c>
      <c r="EK66" s="17">
        <f>EJ66*VLOOKUP('Données projet'!$B$15,Paramètres!$A$1:$I$89,3,0)*VLOOKUP('Données projet'!$B$15,Paramètres!$A$1:$I$89,5,0)</f>
        <v>79.487999999999971</v>
      </c>
      <c r="EL66" s="13">
        <f t="shared" si="45"/>
        <v>22.011950725965701</v>
      </c>
      <c r="EM66" s="20">
        <f t="shared" si="19"/>
        <v>176.77908084772355</v>
      </c>
      <c r="EN66" s="59">
        <f t="shared" si="20"/>
        <v>441.50163889052527</v>
      </c>
      <c r="EO66" s="59">
        <f ca="1">AVERAGE(OFFSET($EN$3,0,0,'Données projet'!$E$15+1,1))-AVERAGE(OFFSET($H$3,0,0,'Données projet'!$E$15+1,1))</f>
        <v>212.00478362779876</v>
      </c>
      <c r="EP66" s="59">
        <f t="shared" si="46"/>
        <v>133.62262474506707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>
        <f>EXP(-LN(2)/35)*EV65+(1-EXP(-LN(2)/35))/(LN(2)/35)*ER66*ES66*VLOOKUP('Données projet'!$B$15,Paramètres!$A$1:$I$89,3,0)*0.475*44/12</f>
        <v>0</v>
      </c>
      <c r="EW66" s="21">
        <f>EXP(-LN(2)/25)*EW65+(1-EXP(-LN(2)/25))/(LN(2)/25)*Calculateur!ER66*Calculateur!ET66*VLOOKUP('Données projet'!$B$15,Paramètres!$A$1:$I$89,3,0)*0.475*44/12</f>
        <v>3.6664130187813888</v>
      </c>
      <c r="EX66" s="21">
        <f>EXP(-LN(2)/2)*EX65+(1-EXP(-LN(2)/2))/(LN(2)/2)*ER66*EU66*VLOOKUP('Données projet'!$B$15,Paramètres!$A$1:$I$89,3,0)*0.475*44/12</f>
        <v>0.6986172351749701</v>
      </c>
      <c r="EY66" s="22">
        <f t="shared" si="21"/>
        <v>4.365030253956359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62.197061284400476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2.1794871794871797</v>
      </c>
      <c r="FE66" s="12">
        <f>IF('Données projet'!$A$218&gt;35,FE65+FD66-FM65,IF(A66&lt;'Données projet'!$A$218,$FB$205^A66,IF(A66='Données projet'!$A$218,'Données projet'!$B$218,FE65+FD66-FM65)))</f>
        <v>73.846153846153825</v>
      </c>
      <c r="FF66" s="17">
        <f>FE66*VLOOKUP('Données projet'!$B$16,Paramètres!$A$1:$I$89,3,0)*VLOOKUP('Données projet'!$B$16,Paramètres!$A$1:$I$89,5,0)</f>
        <v>71.423999999999978</v>
      </c>
      <c r="FG66" s="13">
        <f t="shared" si="47"/>
        <v>20.026671414251194</v>
      </c>
      <c r="FH66" s="20">
        <f t="shared" si="22"/>
        <v>159.27658604648744</v>
      </c>
      <c r="FI66" s="59">
        <f t="shared" si="23"/>
        <v>423.99914408928919</v>
      </c>
      <c r="FJ66" s="59">
        <f ca="1">AVERAGE(OFFSET($FI$3,0,0,'Données projet'!$E$16+1,1))-AVERAGE(OFFSET($H$3,0,0,'Données projet'!$E$16+1,1))</f>
        <v>196.65742339093146</v>
      </c>
      <c r="FK66" s="59">
        <f t="shared" si="48"/>
        <v>125.41980634506001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>
        <f>EXP(-LN(2)/35)*FQ65+(1-EXP(-LN(2)/35))/(LN(2)/35)*FM66*FN66*VLOOKUP('Données projet'!$B$16,Paramètres!$A$1:$I$89,3,0)*0.475*44/12</f>
        <v>0</v>
      </c>
      <c r="FR66" s="21">
        <f>EXP(-LN(2)/25)*FR65+(1-EXP(-LN(2)/25))/(LN(2)/25)*Calculateur!FM66*Calculateur!FO66*VLOOKUP('Données projet'!$B$16,Paramètres!$A$1:$I$89,3,0)*0.475*44/12</f>
        <v>3.2944580748470456</v>
      </c>
      <c r="FS66" s="21">
        <f>EXP(-LN(2)/2)*FS65+(1-EXP(-LN(2)/2))/(LN(2)/2)*FM66*FP66*VLOOKUP('Données projet'!$B$16,Paramètres!$A$1:$I$89,3,0)*0.475*44/12</f>
        <v>0.62774302291084261</v>
      </c>
      <c r="FT66" s="22">
        <f t="shared" si="24"/>
        <v>3.9222010977578883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62.197061284400476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62.197061284400476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>
      <c r="A67" s="10">
        <f t="shared" si="31"/>
        <v>64</v>
      </c>
      <c r="B67" s="73">
        <f>'Scénario référence'!$B$16*5+'Scénario référence'!$B$17*0+'Scénario référence'!$B$18*5</f>
        <v>4.6999999999999993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3.4145279999999967</v>
      </c>
      <c r="D67" s="11">
        <f t="shared" si="32"/>
        <v>1.3639644536578961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18.41252983818541</v>
      </c>
      <c r="H67" s="67">
        <f t="shared" si="1"/>
        <v>196.05587435678751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62.332424826358576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11.896999999999997</v>
      </c>
      <c r="N67" s="13">
        <f>IF('Données projet'!$A$36&gt;35,N66+M67-V66,IF(A67&lt;'Données projet'!$A$36,$K$205^A67,IF(A67='Données projet'!$A$36,'Données projet'!$B$36,N66+M67-V66)))</f>
        <v>418.68799999999982</v>
      </c>
      <c r="O67" s="13">
        <f>N67*VLOOKUP('Données projet'!$B$9,Paramètres!$A$1:$I$89,3,0)*VLOOKUP('Données projet'!$B$9,Paramètres!$A$1:$I$89,5,0)</f>
        <v>250.37542399999992</v>
      </c>
      <c r="P67" s="13">
        <f t="shared" si="33"/>
        <v>60.666325229387866</v>
      </c>
      <c r="Q67" s="20">
        <f t="shared" ref="Q67:Q98" si="54">(O67+P67)*0.475*44/12</f>
        <v>541.73104657451711</v>
      </c>
      <c r="R67" s="59">
        <f t="shared" ref="R67:R130" si="55">Q67+(I67+J67)*44/12</f>
        <v>806.94993760449847</v>
      </c>
      <c r="S67" s="59">
        <f ca="1">AVERAGE(OFFSET($R$3,0,0,'Données projet'!$E$9+1,1))-AVERAGE(OFFSET($H$3,0,0,'Données projet'!$E$9+1,1))</f>
        <v>366.93249569585623</v>
      </c>
      <c r="T67" s="59">
        <f t="shared" si="34"/>
        <v>272.47262353368501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41.125417654871342</v>
      </c>
      <c r="AA67" s="21">
        <f>EXP(-LN(2)/25)*AA66+(1-EXP(-LN(2)/25))/(LN(2)/25)*Calculateur!V67*Calculateur!X67*VLOOKUP('Données projet'!$B$9,Paramètres!$A$1:$I$89,3,0)*0.475*44/12</f>
        <v>17.30411795613351</v>
      </c>
      <c r="AB67" s="21">
        <f>EXP(-LN(2)/2)*AB66+(1-EXP(-LN(2)/2))/(LN(2)/2)*V67*Y67*VLOOKUP('Données projet'!$B$9,Paramètres!$A$1:$I$89,3,0)*0.475*44/12</f>
        <v>2.442309562437075</v>
      </c>
      <c r="AC67" s="22">
        <f t="shared" si="3"/>
        <v>60.871845173441926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62.332424826358576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16.234999999999999</v>
      </c>
      <c r="AI67" s="13">
        <f>IF('Données projet'!$A$62&gt;35,AI66+AH67-AQ66,IF(A67&lt;'Données projet'!$A$62,$AF$205^A67,IF(A67='Données projet'!$A$62,'Données projet'!$B$62,AI66+AH67-AQ66)))</f>
        <v>357.70499999999947</v>
      </c>
      <c r="AJ67" s="13">
        <f>AI67*VLOOKUP('Données projet'!$B$10,Paramètres!$A$1:$I$89,3,0)*VLOOKUP('Données projet'!$B$10,Paramètres!$A$1:$I$89,5,0)</f>
        <v>167.40593999999973</v>
      </c>
      <c r="AK67" s="13">
        <f t="shared" si="35"/>
        <v>42.508521522773925</v>
      </c>
      <c r="AL67" s="20">
        <f t="shared" si="4"/>
        <v>365.60102048549743</v>
      </c>
      <c r="AM67" s="59">
        <f t="shared" si="5"/>
        <v>630.81991151547891</v>
      </c>
      <c r="AN67" s="59">
        <f ca="1">AVERAGE(OFFSET($AM$3,0,0,'Données projet'!$E$10+1,1))-AVERAGE(OFFSET($H$3,0,0,'Données projet'!$E$10+1,1))</f>
        <v>382.89338473200229</v>
      </c>
      <c r="AO67" s="59">
        <f t="shared" si="36"/>
        <v>360.46248248971744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70.023345584091089</v>
      </c>
      <c r="AV67" s="21">
        <f>EXP(-LN(2)/25)*AV66+(1-EXP(-LN(2)/25))/(LN(2)/25)*Calculateur!AQ67*Calculateur!AS67*VLOOKUP('Données projet'!$B$10,Paramètres!$A$1:$I$89,3,0)*0.475*44/12</f>
        <v>21.045005104674676</v>
      </c>
      <c r="AW67" s="21">
        <f>EXP(-LN(2)/2)*AW66+(1-EXP(-LN(2)/2))/(LN(2)/2)*AQ67*AT67*VLOOKUP('Données projet'!$B$10,Paramètres!$A$1:$I$89,3,0)*0.475*44/12</f>
        <v>6.5883994690729839</v>
      </c>
      <c r="AX67" s="21">
        <f t="shared" si="6"/>
        <v>97.656750157838744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62.332424826358576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2.8205128205128176</v>
      </c>
      <c r="BD67" s="12">
        <f>IF('Données projet'!$A$88&gt;35,BD66+BC67-BL66,IF(A67&lt;'Données projet'!$A$88,$BA$205^A67,IF(A67='Données projet'!$A$88,'Données projet'!$B$88,BD66+BC67-BL66)))</f>
        <v>122.17948717948713</v>
      </c>
      <c r="BE67" s="13">
        <f>BD67*VLOOKUP('Données projet'!$B$11,Paramètres!$A$1:$I$89,3,0)*VLOOKUP('Données projet'!$B$11,Paramètres!$A$1:$I$89,5,0)</f>
        <v>106.73599999999996</v>
      </c>
      <c r="BF67" s="13">
        <f t="shared" si="37"/>
        <v>28.560617747062828</v>
      </c>
      <c r="BG67" s="20">
        <f t="shared" si="7"/>
        <v>235.641609242801</v>
      </c>
      <c r="BH67" s="59">
        <f t="shared" si="8"/>
        <v>500.86050027278242</v>
      </c>
      <c r="BI67" s="59">
        <f ca="1">AVERAGE(OFFSET($BH$3,0,0,'Données projet'!$E$11+1,1))-AVERAGE(OFFSET($H$3,0,0,'Données projet'!$E$11+1,1))</f>
        <v>225.75484198243581</v>
      </c>
      <c r="BJ67" s="59">
        <f t="shared" si="38"/>
        <v>199.49566488421061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0</v>
      </c>
      <c r="BQ67" s="21">
        <f>EXP(-LN(2)/25)*BQ66+(1-EXP(-LN(2)/25))/(LN(2)/25)*Calculateur!BL67*Calculateur!BN67*VLOOKUP('Données projet'!$B$11,Paramètres!$A$1:$I$89,3,0)*0.475*44/12</f>
        <v>12.33263972331412</v>
      </c>
      <c r="BR67" s="21">
        <f>EXP(-LN(2)/2)*BR66+(1-EXP(-LN(2)/2))/(LN(2)/2)*BL67*BO67*VLOOKUP('Données projet'!$B$11,Paramètres!$A$1:$I$89,3,0)*0.475*44/12</f>
        <v>0</v>
      </c>
      <c r="BS67" s="22">
        <f t="shared" si="9"/>
        <v>12.33263972331412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62.332424826358576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7.2</v>
      </c>
      <c r="BY67" s="12">
        <f>IF('Données projet'!$A$114&gt;35,BY66+BX67-CG66,IF(A67&lt;'Données projet'!$A$114,$BV$205^A67,IF(A67='Données projet'!$A$114,'Données projet'!$B$114,BY66+BX67-CG66)))</f>
        <v>221.79999999999993</v>
      </c>
      <c r="BZ67" s="13">
        <f>BY67*VLOOKUP('Données projet'!$B$12,Paramètres!$A$1:$I$89,3,0)*VLOOKUP('Données projet'!$B$12,Paramètres!$A$1:$I$89,5,0)</f>
        <v>211.06487999999993</v>
      </c>
      <c r="CA67" s="13">
        <f t="shared" si="39"/>
        <v>52.168220223304395</v>
      </c>
      <c r="CB67" s="20">
        <f t="shared" si="10"/>
        <v>458.46431622225504</v>
      </c>
      <c r="CC67" s="59">
        <f t="shared" si="11"/>
        <v>723.68320725223646</v>
      </c>
      <c r="CD67" s="59">
        <f ca="1">AVERAGE(OFFSET($CC$3,0,0,'Données projet'!$E$12+1,1))-AVERAGE(OFFSET($H$3,0,0,'Données projet'!$E$12+1,1))</f>
        <v>413.9352601863377</v>
      </c>
      <c r="CE67" s="59">
        <f t="shared" si="40"/>
        <v>255.13997349799286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0</v>
      </c>
      <c r="CL67" s="21">
        <f>EXP(-LN(2)/25)*CL66+(1-EXP(-LN(2)/25))/(LN(2)/25)*Calculateur!CG67*Calculateur!CI67*VLOOKUP('Données projet'!$B$12,Paramètres!$A$1:$I$89,3,0)*0.475*44/12</f>
        <v>10.463242633151276</v>
      </c>
      <c r="CM67" s="21">
        <f>EXP(-LN(2)/2)*CM66+(1-EXP(-LN(2)/2))/(LN(2)/2)*CG67*CJ67*VLOOKUP('Données projet'!$B$12,Paramètres!$A$1:$I$89,3,0)*0.475*44/12</f>
        <v>1.431491501440231</v>
      </c>
      <c r="CN67" s="22">
        <f t="shared" si="12"/>
        <v>11.894734134591507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62.332424826358576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3.4</v>
      </c>
      <c r="CT67" s="12">
        <f>IF('Données projet'!$A$140&gt;35,CT66+CS67-DB66,IF(A67&lt;'Données projet'!$A$140,$CQ$205^A67,IF(A67='Données projet'!$A$140,'Données projet'!$B$140,CT66+CS67-DB66)))</f>
        <v>198.60000000000002</v>
      </c>
      <c r="CU67" s="17">
        <f>CT67*VLOOKUP('Données projet'!$B$13,Paramètres!$A$1:$I$89,3,0)*VLOOKUP('Données projet'!$B$13,Paramètres!$A$1:$I$89,5,0)</f>
        <v>173.49696000000003</v>
      </c>
      <c r="CV67" s="13">
        <f t="shared" si="41"/>
        <v>43.872295751131787</v>
      </c>
      <c r="CW67" s="20">
        <f t="shared" si="13"/>
        <v>378.58478709988793</v>
      </c>
      <c r="CX67" s="59">
        <f t="shared" si="14"/>
        <v>643.80367812986935</v>
      </c>
      <c r="CY67" s="59">
        <f ca="1">AVERAGE(OFFSET($CX$3,0,0,'Données projet'!$E$13+1,1))-AVERAGE(OFFSET($H$3,0,0,'Données projet'!$E$13+1,1))</f>
        <v>280.59827778697775</v>
      </c>
      <c r="CZ67" s="59">
        <f t="shared" si="42"/>
        <v>270.86588231964726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>
        <f>EXP(-LN(2)/35)*DF66+(1-EXP(-LN(2)/35))/(LN(2)/35)*DB67*DC67*VLOOKUP('Données projet'!$B$13,Paramètres!$A$1:$I$89,3,0)*0.475*44/12</f>
        <v>3.502390395346572</v>
      </c>
      <c r="DG67" s="21">
        <f>EXP(-LN(2)/25)*DG66+(1-EXP(-LN(2)/25))/(LN(2)/25)*Calculateur!DB67*Calculateur!DD67*VLOOKUP('Données projet'!$B$13,Paramètres!$A$1:$I$89,3,0)*0.475*44/12</f>
        <v>9.9122304041385227</v>
      </c>
      <c r="DH67" s="21">
        <f>EXP(-LN(2)/2)*DH66+(1-EXP(-LN(2)/2))/(LN(2)/2)*DB67*DE67*VLOOKUP('Données projet'!$B$13,Paramètres!$A$1:$I$89,3,0)*0.475*44/12</f>
        <v>0.59115973660054455</v>
      </c>
      <c r="DI67" s="22">
        <f t="shared" si="15"/>
        <v>14.00578053608564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62.332424826358576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4.4871794871794917</v>
      </c>
      <c r="DO67" s="12">
        <f>IF('Données projet'!$A$166&gt;35,DO66+DN67-DW66,IF(A67&lt;'Données projet'!$A$166,$DL$205^A67,IF(A67='Données projet'!$A$166,'Données projet'!$B$166,DO66+DN67-DW66)))</f>
        <v>131.41025641025641</v>
      </c>
      <c r="DP67" s="17">
        <f>DO67*VLOOKUP('Données projet'!$B$14,Paramètres!$A$1:$I$89,3,0)*VLOOKUP('Données projet'!$B$14,Paramètres!$A$1:$I$89,5,0)</f>
        <v>88.15</v>
      </c>
      <c r="DQ67" s="13">
        <f t="shared" si="43"/>
        <v>24.118511639205323</v>
      </c>
      <c r="DR67" s="20">
        <f t="shared" si="16"/>
        <v>195.5343244382826</v>
      </c>
      <c r="DS67" s="59">
        <f t="shared" si="17"/>
        <v>460.75321546826399</v>
      </c>
      <c r="DT67" s="59">
        <f ca="1">AVERAGE(OFFSET($DS$3,0,0,'Données projet'!$E$14+1,1))-AVERAGE(OFFSET($H$3,0,0,'Données projet'!$E$14+1,1))</f>
        <v>211.42385430331873</v>
      </c>
      <c r="DU67" s="59">
        <f t="shared" si="44"/>
        <v>146.84623106782686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>
        <f>EXP(-LN(2)/35)*EA66+(1-EXP(-LN(2)/35))/(LN(2)/35)*DW67*DX67*VLOOKUP('Données projet'!$B$14,Paramètres!$A$1:$I$89,3,0)*0.475*44/12</f>
        <v>0</v>
      </c>
      <c r="EB67" s="21">
        <f>EXP(-LN(2)/25)*EB66+(1-EXP(-LN(2)/25))/(LN(2)/25)*Calculateur!DW67*Calculateur!DY67*VLOOKUP('Données projet'!$B$14,Paramètres!$A$1:$I$89,3,0)*0.475*44/12</f>
        <v>6.1416849222452008</v>
      </c>
      <c r="EC67" s="21">
        <f>EXP(-LN(2)/2)*EC66+(1-EXP(-LN(2)/2))/(LN(2)/2)*DW67*DZ67*VLOOKUP('Données projet'!$B$14,Paramètres!$A$1:$I$89,3,0)*0.475*44/12</f>
        <v>0.67744571735341386</v>
      </c>
      <c r="ED67" s="22">
        <f t="shared" si="18"/>
        <v>6.8191306395986144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62.332424826358576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2.1794871794871797</v>
      </c>
      <c r="EJ67" s="12">
        <f>IF('Données projet'!$A$192&gt;35,EJ66+EI67-ER66,IF(A67&lt;'Données projet'!$A$192,$EG$205^A67,IF(A67='Données projet'!$A$192,'Données projet'!$B$192,EJ66+EI67-ER66)))</f>
        <v>76.025641025641008</v>
      </c>
      <c r="EK67" s="17">
        <f>EJ67*VLOOKUP('Données projet'!$B$15,Paramètres!$A$1:$I$89,3,0)*VLOOKUP('Données projet'!$B$15,Paramètres!$A$1:$I$89,5,0)</f>
        <v>81.833999999999975</v>
      </c>
      <c r="EL67" s="13">
        <f t="shared" si="45"/>
        <v>22.585013405197767</v>
      </c>
      <c r="EM67" s="20">
        <f t="shared" si="19"/>
        <v>181.86311501405271</v>
      </c>
      <c r="EN67" s="59">
        <f t="shared" si="20"/>
        <v>447.08200604403413</v>
      </c>
      <c r="EO67" s="59">
        <f ca="1">AVERAGE(OFFSET($EN$3,0,0,'Données projet'!$E$15+1,1))-AVERAGE(OFFSET($H$3,0,0,'Données projet'!$E$15+1,1))</f>
        <v>212.00478362779876</v>
      </c>
      <c r="EP67" s="59">
        <f t="shared" si="46"/>
        <v>133.62262474506707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>
        <f>EXP(-LN(2)/35)*EV66+(1-EXP(-LN(2)/35))/(LN(2)/35)*ER67*ES67*VLOOKUP('Données projet'!$B$15,Paramètres!$A$1:$I$89,3,0)*0.475*44/12</f>
        <v>0</v>
      </c>
      <c r="EW67" s="21">
        <f>EXP(-LN(2)/25)*EW66+(1-EXP(-LN(2)/25))/(LN(2)/25)*Calculateur!ER67*Calculateur!ET67*VLOOKUP('Données projet'!$B$15,Paramètres!$A$1:$I$89,3,0)*0.475*44/12</f>
        <v>3.5661547619745306</v>
      </c>
      <c r="EX67" s="21">
        <f>EXP(-LN(2)/2)*EX66+(1-EXP(-LN(2)/2))/(LN(2)/2)*ER67*EU67*VLOOKUP('Données projet'!$B$15,Paramètres!$A$1:$I$89,3,0)*0.475*44/12</f>
        <v>0.49399698444601842</v>
      </c>
      <c r="EY67" s="22">
        <f t="shared" si="21"/>
        <v>4.0601517464205488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62.332424826358576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2.1794871794871797</v>
      </c>
      <c r="FE67" s="12">
        <f>IF('Données projet'!$A$218&gt;35,FE66+FD67-FM66,IF(A67&lt;'Données projet'!$A$218,$FB$205^A67,IF(A67='Données projet'!$A$218,'Données projet'!$B$218,FE66+FD67-FM66)))</f>
        <v>76.025641025641008</v>
      </c>
      <c r="FF67" s="17">
        <f>FE67*VLOOKUP('Données projet'!$B$16,Paramètres!$A$1:$I$89,3,0)*VLOOKUP('Données projet'!$B$16,Paramètres!$A$1:$I$89,5,0)</f>
        <v>73.531999999999982</v>
      </c>
      <c r="FG67" s="13">
        <f t="shared" si="47"/>
        <v>20.548049011340446</v>
      </c>
      <c r="FH67" s="20">
        <f t="shared" si="22"/>
        <v>163.85608536141791</v>
      </c>
      <c r="FI67" s="59">
        <f t="shared" si="23"/>
        <v>429.07497639139933</v>
      </c>
      <c r="FJ67" s="59">
        <f ca="1">AVERAGE(OFFSET($FI$3,0,0,'Données projet'!$E$16+1,1))-AVERAGE(OFFSET($H$3,0,0,'Données projet'!$E$16+1,1))</f>
        <v>196.65742339093146</v>
      </c>
      <c r="FK67" s="59">
        <f t="shared" si="48"/>
        <v>125.41980634506001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>
        <f>EXP(-LN(2)/35)*FQ66+(1-EXP(-LN(2)/35))/(LN(2)/35)*FM67*FN67*VLOOKUP('Données projet'!$B$16,Paramètres!$A$1:$I$89,3,0)*0.475*44/12</f>
        <v>0</v>
      </c>
      <c r="FR67" s="21">
        <f>EXP(-LN(2)/25)*FR66+(1-EXP(-LN(2)/25))/(LN(2)/25)*Calculateur!FM67*Calculateur!FO67*VLOOKUP('Données projet'!$B$16,Paramètres!$A$1:$I$89,3,0)*0.475*44/12</f>
        <v>3.2043709455423324</v>
      </c>
      <c r="FS67" s="21">
        <f>EXP(-LN(2)/2)*FS66+(1-EXP(-LN(2)/2))/(LN(2)/2)*FM67*FP67*VLOOKUP('Données projet'!$B$16,Paramètres!$A$1:$I$89,3,0)*0.475*44/12</f>
        <v>0.44388134834279908</v>
      </c>
      <c r="FT67" s="22">
        <f t="shared" si="24"/>
        <v>3.6482522938851316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62.332424826358576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62.332424826358576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>
      <c r="A68" s="10">
        <f t="shared" si="31"/>
        <v>65</v>
      </c>
      <c r="B68" s="73">
        <f>'Scénario référence'!$B$16*5+'Scénario référence'!$B$17*0+'Scénario référence'!$B$18*5</f>
        <v>4.6999999999999993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3.4678799999999965</v>
      </c>
      <c r="D68" s="11">
        <f t="shared" si="32"/>
        <v>1.3827786620000457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18.445954187312299</v>
      </c>
      <c r="H68" s="67">
        <f t="shared" ref="H68:H131" si="56">(B68+E68+F68)*44/12+(C68+D68)*0.475*44/12</f>
        <v>196.18156383631674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62.46544011349124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11.896999999999997</v>
      </c>
      <c r="N68" s="13">
        <f>IF('Données projet'!$A$36&gt;35,N67+M68-V67,IF(A68&lt;'Données projet'!$A$36,$K$205^A68,IF(A68='Données projet'!$A$36,'Données projet'!$B$36,N67+M68-V67)))</f>
        <v>430.58499999999981</v>
      </c>
      <c r="O68" s="13">
        <f>N68*VLOOKUP('Données projet'!$B$9,Paramètres!$A$1:$I$89,3,0)*VLOOKUP('Données projet'!$B$9,Paramètres!$A$1:$I$89,5,0)</f>
        <v>257.48982999999993</v>
      </c>
      <c r="P68" s="13">
        <f t="shared" si="33"/>
        <v>62.187009415011673</v>
      </c>
      <c r="Q68" s="20">
        <f t="shared" si="54"/>
        <v>556.77049531447858</v>
      </c>
      <c r="R68" s="59">
        <f t="shared" si="55"/>
        <v>822.4771090639465</v>
      </c>
      <c r="S68" s="59">
        <f ca="1">AVERAGE(OFFSET($R$3,0,0,'Données projet'!$E$9+1,1))-AVERAGE(OFFSET($H$3,0,0,'Données projet'!$E$9+1,1))</f>
        <v>366.93249569585623</v>
      </c>
      <c r="T68" s="59">
        <f t="shared" si="34"/>
        <v>272.47262353368501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40.31897329868724</v>
      </c>
      <c r="AA68" s="21">
        <f>EXP(-LN(2)/25)*AA67+(1-EXP(-LN(2)/25))/(LN(2)/25)*Calculateur!V68*Calculateur!X68*VLOOKUP('Données projet'!$B$9,Paramètres!$A$1:$I$89,3,0)*0.475*44/12</f>
        <v>16.830935940639026</v>
      </c>
      <c r="AB68" s="21">
        <f>EXP(-LN(2)/2)*AB67+(1-EXP(-LN(2)/2))/(LN(2)/2)*V68*Y68*VLOOKUP('Données projet'!$B$9,Paramètres!$A$1:$I$89,3,0)*0.475*44/12</f>
        <v>1.7269736533560056</v>
      </c>
      <c r="AC68" s="22">
        <f t="shared" ref="AC68:AC131" si="57">SUM(Z68:AB68)</f>
        <v>58.876882892682268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62.46544011349124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16.234999999999999</v>
      </c>
      <c r="AI68" s="13">
        <f>IF('Données projet'!$A$62&gt;35,AI67+AH68-AQ67,IF(A68&lt;'Données projet'!$A$62,$AF$205^A68,IF(A68='Données projet'!$A$62,'Données projet'!$B$62,AI67+AH68-AQ67)))</f>
        <v>373.93999999999949</v>
      </c>
      <c r="AJ68" s="13">
        <f>AI68*VLOOKUP('Données projet'!$B$10,Paramètres!$A$1:$I$89,3,0)*VLOOKUP('Données projet'!$B$10,Paramètres!$A$1:$I$89,5,0)</f>
        <v>175.00391999999977</v>
      </c>
      <c r="AK68" s="13">
        <f t="shared" si="35"/>
        <v>44.208836016377994</v>
      </c>
      <c r="AL68" s="20">
        <f t="shared" ref="AL68:AL131" si="58">(AJ68+AK68)*0.475*44/12</f>
        <v>381.79555006185797</v>
      </c>
      <c r="AM68" s="59">
        <f t="shared" ref="AM68:AM131" si="59">AL68+(AD68+AE68)*44/12</f>
        <v>647.50216381132577</v>
      </c>
      <c r="AN68" s="59">
        <f ca="1">AVERAGE(OFFSET($AM$3,0,0,'Données projet'!$E$10+1,1))-AVERAGE(OFFSET($H$3,0,0,'Données projet'!$E$10+1,1))</f>
        <v>382.89338473200229</v>
      </c>
      <c r="AO68" s="59">
        <f t="shared" si="36"/>
        <v>360.46248248971744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68.650230487210607</v>
      </c>
      <c r="AV68" s="21">
        <f>EXP(-LN(2)/25)*AV67+(1-EXP(-LN(2)/25))/(LN(2)/25)*Calculateur!AQ68*Calculateur!AS68*VLOOKUP('Données projet'!$B$10,Paramètres!$A$1:$I$89,3,0)*0.475*44/12</f>
        <v>20.469528333378626</v>
      </c>
      <c r="AW68" s="21">
        <f>EXP(-LN(2)/2)*AW67+(1-EXP(-LN(2)/2))/(LN(2)/2)*AQ68*AT68*VLOOKUP('Données projet'!$B$10,Paramètres!$A$1:$I$89,3,0)*0.475*44/12</f>
        <v>4.6587019417473563</v>
      </c>
      <c r="AX68" s="21">
        <f t="shared" ref="AX68:AX131" si="60">SUM(AU68:AW68)</f>
        <v>93.778460762336579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62.46544011349124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>
        <f>VLOOKUP(A68,'Données projet'!$A$87:$I$107,2,0)</f>
        <v>125</v>
      </c>
      <c r="BB68" s="12">
        <f>VLOOKUP(A68,'Données projet'!$A$87:$I$107,9,0)</f>
        <v>2.8205128205128176</v>
      </c>
      <c r="BC68" s="12">
        <f t="array" ref="BC68">INDEX(BB:BB,MIN(IF(ISNUMBER(BB68:BB264),ROW(BB68:BB264),"")))</f>
        <v>2.8205128205128176</v>
      </c>
      <c r="BD68" s="12">
        <f>IF('Données projet'!$A$88&gt;35,BD67+BC68-BL67,IF(A68&lt;'Données projet'!$A$88,$BA$205^A68,IF(A68='Données projet'!$A$88,'Données projet'!$B$88,BD67+BC68-BL67)))</f>
        <v>124.99999999999994</v>
      </c>
      <c r="BE68" s="13">
        <f>BD68*VLOOKUP('Données projet'!$B$11,Paramètres!$A$1:$I$89,3,0)*VLOOKUP('Données projet'!$B$11,Paramètres!$A$1:$I$89,5,0)</f>
        <v>109.19999999999996</v>
      </c>
      <c r="BF68" s="13">
        <f t="shared" si="37"/>
        <v>29.142418334948612</v>
      </c>
      <c r="BG68" s="20">
        <f t="shared" ref="BG68:BG131" si="61">(BE68+BF68)*0.475*44/12</f>
        <v>240.94637860003544</v>
      </c>
      <c r="BH68" s="59">
        <f t="shared" ref="BH68:BH131" si="62">BG68+(AY68+AZ68)*44/12</f>
        <v>506.65299234950328</v>
      </c>
      <c r="BI68" s="59">
        <f ca="1">AVERAGE(OFFSET($BH$3,0,0,'Données projet'!$E$11+1,1))-AVERAGE(OFFSET($H$3,0,0,'Données projet'!$E$11+1,1))</f>
        <v>225.75484198243581</v>
      </c>
      <c r="BJ68" s="59">
        <f t="shared" si="38"/>
        <v>199.49566488421061</v>
      </c>
      <c r="BK68" s="15">
        <f>IF(ISNA(VLOOKUP(A68,'Données projet'!$A$87:$I$107,3,0)),0,VLOOKUP(A68,'Données projet'!$A$87:$I$107,3,0))</f>
        <v>10</v>
      </c>
      <c r="BL68" s="15">
        <f>IF(ISNA(VLOOKUP(A68,'Données projet'!$A$87:$I$107,4,0)),0,VLOOKUP(A68,'Données projet'!$A$87:$I$107,4,0))</f>
        <v>9.615384615384615</v>
      </c>
      <c r="BM68" s="16">
        <f>IF(ISNA(VLOOKUP(A68,'Données projet'!$A$87:$I$107,5,0)),0%,VLOOKUP(A68,'Données projet'!$A$87:$I$107,5,0)*VLOOKUP('Données projet'!$B$11,Paramètres!$A$1:$I$89,7,0))</f>
        <v>4.3000000000000003E-2</v>
      </c>
      <c r="BN68" s="16">
        <f>IF(ISNA(VLOOKUP(A68,'Données projet'!$A$87:$I$107,6,0)),0%,VLOOKUP(A68,'Données projet'!$A$87:$I$107,6,0)*VLOOKUP('Données projet'!$B$11,Paramètres!$A$1:$I$89,7,0))</f>
        <v>0.215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0.39929590108730167</v>
      </c>
      <c r="BQ68" s="21">
        <f>EXP(-LN(2)/25)*BQ67+(1-EXP(-LN(2)/25))/(LN(2)/25)*Calculateur!BL68*Calculateur!BN68*VLOOKUP('Données projet'!$B$11,Paramètres!$A$1:$I$89,3,0)*0.475*44/12</f>
        <v>13.984021646440032</v>
      </c>
      <c r="BR68" s="21">
        <f>EXP(-LN(2)/2)*BR67+(1-EXP(-LN(2)/2))/(LN(2)/2)*BL68*BO68*VLOOKUP('Données projet'!$B$11,Paramètres!$A$1:$I$89,3,0)*0.475*44/12</f>
        <v>0</v>
      </c>
      <c r="BS68" s="22">
        <f t="shared" ref="BS68:BS131" si="63">SUM(BP68:BR68)</f>
        <v>14.383317547527334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62.46544011349124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>
        <f>VLOOKUP(A68,'Données projet'!$A$113:$I$133,2,0)</f>
        <v>229</v>
      </c>
      <c r="BW68" s="12">
        <f>VLOOKUP(A68,'Données projet'!$A$113:$I$133,9,0)</f>
        <v>7.2</v>
      </c>
      <c r="BX68" s="12">
        <f t="array" ref="BX68">INDEX(BW:BW,MIN(IF(ISNUMBER(BW68:BW264),ROW(BW68:BW264),"")))</f>
        <v>7.2</v>
      </c>
      <c r="BY68" s="12">
        <f>IF('Données projet'!$A$114&gt;35,BY67+BX68-CG67,IF(A68&lt;'Données projet'!$A$114,$BV$205^A68,IF(A68='Données projet'!$A$114,'Données projet'!$B$114,BY67+BX68-CG67)))</f>
        <v>228.99999999999991</v>
      </c>
      <c r="BZ68" s="13">
        <f>BY68*VLOOKUP('Données projet'!$B$12,Paramètres!$A$1:$I$89,3,0)*VLOOKUP('Données projet'!$B$12,Paramètres!$A$1:$I$89,5,0)</f>
        <v>217.91639999999992</v>
      </c>
      <c r="CA68" s="13">
        <f t="shared" si="39"/>
        <v>53.661775051402536</v>
      </c>
      <c r="CB68" s="20">
        <f t="shared" ref="CB68:CB131" si="64">(BZ68+CA68)*0.475*44/12</f>
        <v>472.99865488119258</v>
      </c>
      <c r="CC68" s="59">
        <f t="shared" ref="CC68:CC131" si="65">CB68+(BT68+BU68)*44/12</f>
        <v>738.70526863066038</v>
      </c>
      <c r="CD68" s="59">
        <f ca="1">AVERAGE(OFFSET($CC$3,0,0,'Données projet'!$E$12+1,1))-AVERAGE(OFFSET($H$3,0,0,'Données projet'!$E$12+1,1))</f>
        <v>413.9352601863377</v>
      </c>
      <c r="CE68" s="59">
        <f t="shared" si="40"/>
        <v>255.13997349799286</v>
      </c>
      <c r="CF68" s="15">
        <f>IF(ISNA(VLOOKUP(A68,'Données projet'!$A$113:$I$133,3,0)),0,VLOOKUP(A68,'Données projet'!$A$113:$I$133,3,0))</f>
        <v>9</v>
      </c>
      <c r="CG68" s="15">
        <f>IF(ISNA(VLOOKUP(A68,'Données projet'!$A$113:$I$133,4,0)),0,VLOOKUP(A68,'Données projet'!$A$113:$I$133,4,0))</f>
        <v>21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0.1075</v>
      </c>
      <c r="CJ68" s="16">
        <f>IF(ISNA(VLOOKUP(A68,'Données projet'!$A$113:$I$133,7,0)),0%,VLOOKUP(A68,'Données projet'!$A$113:$I$133,7,0))</f>
        <v>0.25</v>
      </c>
      <c r="CK68" s="21">
        <f>EXP(-LN(2)/35)*CK67+(1-EXP(-LN(2)/35))/(LN(2)/35)*CG68*CH68*VLOOKUP('Données projet'!$B$12,Paramètres!$A$1:$I$89,3,0)*0.475*44/12</f>
        <v>0</v>
      </c>
      <c r="CL68" s="21">
        <f>EXP(-LN(2)/25)*CL67+(1-EXP(-LN(2)/25))/(LN(2)/25)*Calculateur!CG68*Calculateur!CI68*VLOOKUP('Données projet'!$B$12,Paramètres!$A$1:$I$89,3,0)*0.475*44/12</f>
        <v>12.542586543644562</v>
      </c>
      <c r="CM68" s="21">
        <f>EXP(-LN(2)/2)*CM67+(1-EXP(-LN(2)/2))/(LN(2)/2)*CG68*CJ68*VLOOKUP('Données projet'!$B$12,Paramètres!$A$1:$I$89,3,0)*0.475*44/12</f>
        <v>5.7259834605563587</v>
      </c>
      <c r="CN68" s="22">
        <f t="shared" ref="CN68:CN131" si="66">SUM(CK68:CM68)</f>
        <v>18.268570004200921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62.46544011349124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>
        <f>VLOOKUP(A68,'Données projet'!$A$139:$I$159,2,0)</f>
        <v>202</v>
      </c>
      <c r="CR68" s="12">
        <f>VLOOKUP(A68,'Données projet'!$A$139:$I$159,9,0)</f>
        <v>3.4</v>
      </c>
      <c r="CS68" s="12">
        <f t="array" ref="CS68">INDEX(CR:CR,MIN(IF(ISNUMBER(CR68:CR264),ROW(CR68:CR264),"")))</f>
        <v>3.4</v>
      </c>
      <c r="CT68" s="12">
        <f>IF('Données projet'!$A$140&gt;35,CT67+CS68-DB67,IF(A68&lt;'Données projet'!$A$140,$CQ$205^A68,IF(A68='Données projet'!$A$140,'Données projet'!$B$140,CT67+CS68-DB67)))</f>
        <v>202.00000000000003</v>
      </c>
      <c r="CU68" s="17">
        <f>CT68*VLOOKUP('Données projet'!$B$13,Paramètres!$A$1:$I$89,3,0)*VLOOKUP('Données projet'!$B$13,Paramètres!$A$1:$I$89,5,0)</f>
        <v>176.46720000000005</v>
      </c>
      <c r="CV68" s="13">
        <f t="shared" si="41"/>
        <v>44.535298821989393</v>
      </c>
      <c r="CW68" s="20">
        <f t="shared" ref="CW68:CW131" si="67">(CU68+CV68)*0.475*44/12</f>
        <v>384.91268544829819</v>
      </c>
      <c r="CX68" s="59">
        <f t="shared" ref="CX68:CX131" si="68">CW68+(CO68+CP68)*44/12</f>
        <v>650.61929919776605</v>
      </c>
      <c r="CY68" s="59">
        <f ca="1">AVERAGE(OFFSET($CX$3,0,0,'Données projet'!$E$13+1,1))-AVERAGE(OFFSET($H$3,0,0,'Données projet'!$E$13+1,1))</f>
        <v>280.59827778697775</v>
      </c>
      <c r="CZ68" s="59">
        <f t="shared" si="42"/>
        <v>270.86588231964726</v>
      </c>
      <c r="DA68" s="15">
        <f>IF(ISNA(VLOOKUP(A68,'Données projet'!$A$139:$I$159,3,0)),0,VLOOKUP(A68,'Données projet'!$A$139:$I$159,3,0))</f>
        <v>10</v>
      </c>
      <c r="DB68" s="15">
        <f>IF(ISNA(VLOOKUP(A68,'Données projet'!$A$139:$I$159,4,0)),0,VLOOKUP(A68,'Données projet'!$A$139:$I$159,4,0))</f>
        <v>8</v>
      </c>
      <c r="DC68" s="16">
        <f>IF(ISNA(VLOOKUP(A68,'Données projet'!$A$139:$I$159,5,0)),0%,VLOOKUP(A68,'Données projet'!$A$139:$I$159,5,0)*VLOOKUP('Données projet'!$B$13,Paramètres!$A$1:$I$89,7,0))</f>
        <v>0.13250000000000001</v>
      </c>
      <c r="DD68" s="16">
        <f>IF(ISNA(VLOOKUP(A68,'Données projet'!$A$139:$I$159,6,0)),0%,VLOOKUP(A68,'Données projet'!$A$139:$I$159,6,0)*VLOOKUP('Données projet'!$B$13,Paramètres!$A$1:$I$89,7,0))</f>
        <v>0.13250000000000001</v>
      </c>
      <c r="DE68" s="16">
        <f>IF(ISNA(VLOOKUP(A68,'Données projet'!$A$139:$I$159,7,0)),0%,VLOOKUP(A68,'Données projet'!$A$139:$I$159,7,0))</f>
        <v>0.25</v>
      </c>
      <c r="DF68" s="21">
        <f>EXP(-LN(2)/35)*DF67+(1-EXP(-LN(2)/35))/(LN(2)/35)*DB68*DC68*VLOOKUP('Données projet'!$B$13,Paramètres!$A$1:$I$89,3,0)*0.475*44/12</f>
        <v>4.457393914914614</v>
      </c>
      <c r="DG68" s="21">
        <f>EXP(-LN(2)/25)*DG67+(1-EXP(-LN(2)/25))/(LN(2)/25)*Calculateur!DB68*Calculateur!DD68*VLOOKUP('Données projet'!$B$13,Paramètres!$A$1:$I$89,3,0)*0.475*44/12</f>
        <v>10.660832570404917</v>
      </c>
      <c r="DH68" s="21">
        <f>EXP(-LN(2)/2)*DH67+(1-EXP(-LN(2)/2))/(LN(2)/2)*DB68*DE68*VLOOKUP('Données projet'!$B$13,Paramètres!$A$1:$I$89,3,0)*0.475*44/12</f>
        <v>2.0665432837132327</v>
      </c>
      <c r="DI68" s="22">
        <f t="shared" ref="DI68:DI131" si="69">SUM(DF68:DH68)</f>
        <v>17.184769769032766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62.46544011349124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>
        <f>VLOOKUP(A68,'Données projet'!$A$165:$I$185,2,0)</f>
        <v>135.89743589743591</v>
      </c>
      <c r="DM68" s="12">
        <f>VLOOKUP(A68,'Données projet'!$A$165:$I$185,9,0)</f>
        <v>4.4871794871794917</v>
      </c>
      <c r="DN68" s="12">
        <f t="array" ref="DN68">INDEX(DM:DM,MIN(IF(ISNUMBER(DM68:DM264),ROW(DM68:DM264),"")))</f>
        <v>4.4871794871794917</v>
      </c>
      <c r="DO68" s="12">
        <f>IF('Données projet'!$A$166&gt;35,DO67+DN68-DW67,IF(A68&lt;'Données projet'!$A$166,$DL$205^A68,IF(A68='Données projet'!$A$166,'Données projet'!$B$166,DO67+DN68-DW67)))</f>
        <v>135.89743589743591</v>
      </c>
      <c r="DP68" s="17">
        <f>DO68*VLOOKUP('Données projet'!$B$14,Paramètres!$A$1:$I$89,3,0)*VLOOKUP('Données projet'!$B$14,Paramètres!$A$1:$I$89,5,0)</f>
        <v>91.160000000000011</v>
      </c>
      <c r="DQ68" s="13">
        <f t="shared" si="43"/>
        <v>24.844780200578068</v>
      </c>
      <c r="DR68" s="20">
        <f t="shared" ref="DR68:DR131" si="70">(DP68+DQ68)*0.475*44/12</f>
        <v>202.04165884934017</v>
      </c>
      <c r="DS68" s="59">
        <f t="shared" ref="DS68:DS131" si="71">DR68+(DJ68+DK68)*44/12</f>
        <v>467.74827259880806</v>
      </c>
      <c r="DT68" s="59">
        <f ca="1">AVERAGE(OFFSET($DS$3,0,0,'Données projet'!$E$14+1,1))-AVERAGE(OFFSET($H$3,0,0,'Données projet'!$E$14+1,1))</f>
        <v>211.42385430331873</v>
      </c>
      <c r="DU68" s="59">
        <f t="shared" si="44"/>
        <v>146.84623106782686</v>
      </c>
      <c r="DV68" s="15">
        <f>IF(ISNA(VLOOKUP(A68,'Données projet'!$A$165:$I$185,3,0)),0,VLOOKUP(A68,'Données projet'!$A$165:$I$185,3,0))</f>
        <v>10</v>
      </c>
      <c r="DW68" s="15">
        <f>IF(ISNA(VLOOKUP(A68,'Données projet'!$A$165:$I$185,4,0)),0,VLOOKUP(A68,'Données projet'!$A$165:$I$185,4,0))</f>
        <v>14.102564102564102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0.13250000000000001</v>
      </c>
      <c r="DZ68" s="16">
        <f>IF(ISNA(VLOOKUP(A68,'Données projet'!$A$165:$I$185,7,0)),0%,VLOOKUP(A68,'Données projet'!$A$165:$I$185,7,0))</f>
        <v>0.25</v>
      </c>
      <c r="EA68" s="21">
        <f>EXP(-LN(2)/35)*EA67+(1-EXP(-LN(2)/35))/(LN(2)/35)*DW68*DX68*VLOOKUP('Données projet'!$B$14,Paramètres!$A$1:$I$89,3,0)*0.475*44/12</f>
        <v>0</v>
      </c>
      <c r="EB68" s="21">
        <f>EXP(-LN(2)/25)*EB67+(1-EXP(-LN(2)/25))/(LN(2)/25)*Calculateur!DW68*Calculateur!DY68*VLOOKUP('Données projet'!$B$14,Paramètres!$A$1:$I$89,3,0)*0.475*44/12</f>
        <v>7.353936232997536</v>
      </c>
      <c r="EC68" s="21">
        <f>EXP(-LN(2)/2)*EC67+(1-EXP(-LN(2)/2))/(LN(2)/2)*DW68*DZ68*VLOOKUP('Données projet'!$B$14,Paramètres!$A$1:$I$89,3,0)*0.475*44/12</f>
        <v>2.7104676136681278</v>
      </c>
      <c r="ED68" s="22">
        <f t="shared" ref="ED68:ED131" si="72">SUM(EA68:EC68)</f>
        <v>10.064403846665664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62.46544011349124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>
        <f>VLOOKUP(A68,'Données projet'!$A$191:$I$211,2,0)</f>
        <v>78.205128205128204</v>
      </c>
      <c r="EH68" s="12">
        <f>VLOOKUP(A68,'Données projet'!$A$191:$I$211,9,0)</f>
        <v>2.1794871794871797</v>
      </c>
      <c r="EI68" s="12">
        <f t="array" ref="EI68">INDEX(EH:EH,MIN(IF(ISNUMBER(EH68:EH264),ROW(EH68:EH264),"")))</f>
        <v>2.1794871794871797</v>
      </c>
      <c r="EJ68" s="12">
        <f>IF('Données projet'!$A$192&gt;35,EJ67+EI68-ER67,IF(A68&lt;'Données projet'!$A$192,$EG$205^A68,IF(A68='Données projet'!$A$192,'Données projet'!$B$192,EJ67+EI68-ER67)))</f>
        <v>78.20512820512819</v>
      </c>
      <c r="EK68" s="17">
        <f>EJ68*VLOOKUP('Données projet'!$B$15,Paramètres!$A$1:$I$89,3,0)*VLOOKUP('Données projet'!$B$15,Paramètres!$A$1:$I$89,5,0)</f>
        <v>84.179999999999978</v>
      </c>
      <c r="EL68" s="13">
        <f t="shared" si="45"/>
        <v>23.156166724555288</v>
      </c>
      <c r="EM68" s="20">
        <f t="shared" ref="EM68:EM131" si="73">(EK68+EL68)*0.475*44/12</f>
        <v>186.94382371193376</v>
      </c>
      <c r="EN68" s="59">
        <f t="shared" ref="EN68:EN131" si="74">EM68+(EE68+EF68)*44/12</f>
        <v>452.65043746140162</v>
      </c>
      <c r="EO68" s="59">
        <f ca="1">AVERAGE(OFFSET($EN$3,0,0,'Données projet'!$E$15+1,1))-AVERAGE(OFFSET($H$3,0,0,'Données projet'!$E$15+1,1))</f>
        <v>212.00478362779876</v>
      </c>
      <c r="EP68" s="59">
        <f t="shared" si="46"/>
        <v>133.62262474506707</v>
      </c>
      <c r="EQ68" s="15">
        <f>IF(ISNA(VLOOKUP(A68,'Données projet'!$A$191:$I$211,3,0)),0,VLOOKUP(A68,'Données projet'!$A$191:$I$211,3,0))</f>
        <v>9</v>
      </c>
      <c r="ER68" s="15">
        <f>IF(ISNA(VLOOKUP(A68,'Données projet'!$A$191:$I$211,4,0)),0,VLOOKUP(A68,'Données projet'!$A$191:$I$211,4,0))</f>
        <v>6.4102564102564097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0.1075</v>
      </c>
      <c r="EU68" s="16">
        <f>IF(ISNA(VLOOKUP(A68,'Données projet'!$A$191:$I$211,7,0)),0%,VLOOKUP(A68,'Données projet'!$A$191:$I$211,7,0))</f>
        <v>0.25</v>
      </c>
      <c r="EV68" s="21">
        <f>EXP(-LN(2)/35)*EV67+(1-EXP(-LN(2)/35))/(LN(2)/35)*ER68*ES68*VLOOKUP('Données projet'!$B$15,Paramètres!$A$1:$I$89,3,0)*0.475*44/12</f>
        <v>0</v>
      </c>
      <c r="EW68" s="21">
        <f>EXP(-LN(2)/25)*EW67+(1-EXP(-LN(2)/25))/(LN(2)/25)*Calculateur!ER68*Calculateur!ET68*VLOOKUP('Données projet'!$B$15,Paramètres!$A$1:$I$89,3,0)*0.475*44/12</f>
        <v>4.2853921423442181</v>
      </c>
      <c r="EX68" s="21">
        <f>EXP(-LN(2)/2)*EX67+(1-EXP(-LN(2)/2))/(LN(2)/2)*ER68*EU68*VLOOKUP('Données projet'!$B$15,Paramètres!$A$1:$I$89,3,0)*0.475*44/12</f>
        <v>1.9768925452817794</v>
      </c>
      <c r="EY68" s="22">
        <f t="shared" ref="EY68:EY131" si="75">SUM(EV68:EX68)</f>
        <v>6.2622846876259972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62.46544011349124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>
        <f>VLOOKUP(A68,'Données projet'!$A$217:$I$237,2,0)</f>
        <v>78.205128205128204</v>
      </c>
      <c r="FC68" s="12">
        <f>VLOOKUP(A68,'Données projet'!$A$217:$I$237,9,0)</f>
        <v>2.1794871794871797</v>
      </c>
      <c r="FD68" s="12">
        <f t="array" ref="FD68">INDEX(FC:FC,MIN(IF(ISNUMBER(FC68:FC264),ROW(FC68:FC264),"")))</f>
        <v>2.1794871794871797</v>
      </c>
      <c r="FE68" s="12">
        <f>IF('Données projet'!$A$218&gt;35,FE67+FD68-FM67,IF(A68&lt;'Données projet'!$A$218,$FB$205^A68,IF(A68='Données projet'!$A$218,'Données projet'!$B$218,FE67+FD68-FM67)))</f>
        <v>78.20512820512819</v>
      </c>
      <c r="FF68" s="17">
        <f>FE68*VLOOKUP('Données projet'!$B$16,Paramètres!$A$1:$I$89,3,0)*VLOOKUP('Données projet'!$B$16,Paramètres!$A$1:$I$89,5,0)</f>
        <v>75.639999999999986</v>
      </c>
      <c r="FG68" s="13">
        <f t="shared" si="47"/>
        <v>21.067689455585086</v>
      </c>
      <c r="FH68" s="20">
        <f t="shared" ref="FH68:FH131" si="76">(FF68+FG68)*0.475*44/12</f>
        <v>168.43255913514398</v>
      </c>
      <c r="FI68" s="59">
        <f t="shared" ref="FI68:FI131" si="77">FH68+(EZ68+FA68)*44/12</f>
        <v>434.13917288461187</v>
      </c>
      <c r="FJ68" s="59">
        <f ca="1">AVERAGE(OFFSET($FI$3,0,0,'Données projet'!$E$16+1,1))-AVERAGE(OFFSET($H$3,0,0,'Données projet'!$E$16+1,1))</f>
        <v>196.65742339093146</v>
      </c>
      <c r="FK68" s="59">
        <f t="shared" si="48"/>
        <v>125.41980634506001</v>
      </c>
      <c r="FL68" s="15">
        <f>IF(ISNA(VLOOKUP(A68,'Données projet'!$A$217:$I$237,3,0)),0,VLOOKUP(A68,'Données projet'!$A$217:$I$237,3,0))</f>
        <v>9</v>
      </c>
      <c r="FM68" s="15">
        <f>IF(ISNA(VLOOKUP(A68,'Données projet'!$A$217:$I$237,4,0)),0,VLOOKUP(A68,'Données projet'!$A$217:$I$237,4,0))</f>
        <v>6.4102564102564097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0.1075</v>
      </c>
      <c r="FP68" s="16">
        <f>IF(ISNA(VLOOKUP(A68,'Données projet'!$A$217:$I$237,7,0)),0%,VLOOKUP(A68,'Données projet'!$A$217:$I$237,7,0))</f>
        <v>0.25</v>
      </c>
      <c r="FQ68" s="21">
        <f>EXP(-LN(2)/35)*FQ67+(1-EXP(-LN(2)/35))/(LN(2)/35)*FM68*FN68*VLOOKUP('Données projet'!$B$16,Paramètres!$A$1:$I$89,3,0)*0.475*44/12</f>
        <v>0</v>
      </c>
      <c r="FR68" s="21">
        <f>EXP(-LN(2)/25)*FR67+(1-EXP(-LN(2)/25))/(LN(2)/25)*Calculateur!FM68*Calculateur!FO68*VLOOKUP('Données projet'!$B$16,Paramètres!$A$1:$I$89,3,0)*0.475*44/12</f>
        <v>3.8506422148600219</v>
      </c>
      <c r="FS68" s="21">
        <f>EXP(-LN(2)/2)*FS67+(1-EXP(-LN(2)/2))/(LN(2)/2)*FM68*FP68*VLOOKUP('Données projet'!$B$16,Paramètres!$A$1:$I$89,3,0)*0.475*44/12</f>
        <v>1.7763382290937728</v>
      </c>
      <c r="FT68" s="22">
        <f t="shared" ref="FT68:FT131" si="78">SUM(FQ68:FS68)</f>
        <v>5.6269804439537943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62.46544011349124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62.46544011349124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>
      <c r="A69" s="10">
        <f t="shared" ref="A69:A132" si="85">A68+1</f>
        <v>66</v>
      </c>
      <c r="B69" s="73">
        <f>'Scénario référence'!$B$16*5+'Scénario référence'!$B$17*0+'Scénario référence'!$B$18*5</f>
        <v>4.6999999999999993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3.5212319999999964</v>
      </c>
      <c r="D69" s="11">
        <f t="shared" ref="D69:D132" si="86">IFERROR(EXP(-1.0587+0.8836*LN(C69)+0.284),0)</f>
        <v>1.4015592071819656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18.479362945080766</v>
      </c>
      <c r="H69" s="67">
        <f t="shared" si="56"/>
        <v>196.30719468584192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62.596147882769785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11.896999999999997</v>
      </c>
      <c r="N69" s="13">
        <f>IF('Données projet'!$A$36&gt;35,N68+M69-V68,IF(A69&lt;'Données projet'!$A$36,$K$205^A69,IF(A69='Données projet'!$A$36,'Données projet'!$B$36,N68+M69-V68)))</f>
        <v>442.4819999999998</v>
      </c>
      <c r="O69" s="13">
        <f>N69*VLOOKUP('Données projet'!$B$9,Paramètres!$A$1:$I$89,3,0)*VLOOKUP('Données projet'!$B$9,Paramètres!$A$1:$I$89,5,0)</f>
        <v>264.6042359999999</v>
      </c>
      <c r="P69" s="13">
        <f t="shared" ref="P69:P132" si="87">EXP(-1.0587+0.8836*LN(O69)+0.284)</f>
        <v>63.702810105204811</v>
      </c>
      <c r="Q69" s="20">
        <f t="shared" si="54"/>
        <v>571.80143863323156</v>
      </c>
      <c r="R69" s="59">
        <f t="shared" si="55"/>
        <v>837.98731420338743</v>
      </c>
      <c r="S69" s="59">
        <f ca="1">AVERAGE(OFFSET($R$3,0,0,'Données projet'!$E$9+1,1))-AVERAGE(OFFSET($H$3,0,0,'Données projet'!$E$9+1,1))</f>
        <v>366.93249569585623</v>
      </c>
      <c r="T69" s="59">
        <f t="shared" ref="T69:T132" si="88">$T$3</f>
        <v>272.47262353368501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39.528342824445424</v>
      </c>
      <c r="AA69" s="21">
        <f>EXP(-LN(2)/25)*AA68+(1-EXP(-LN(2)/25))/(LN(2)/25)*Calculateur!V69*Calculateur!X69*VLOOKUP('Données projet'!$B$9,Paramètres!$A$1:$I$89,3,0)*0.475*44/12</f>
        <v>16.370693112241799</v>
      </c>
      <c r="AB69" s="21">
        <f>EXP(-LN(2)/2)*AB68+(1-EXP(-LN(2)/2))/(LN(2)/2)*V69*Y69*VLOOKUP('Données projet'!$B$9,Paramètres!$A$1:$I$89,3,0)*0.475*44/12</f>
        <v>1.2211547812185377</v>
      </c>
      <c r="AC69" s="22">
        <f t="shared" si="57"/>
        <v>57.120190717905764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62.596147882769785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16.234999999999999</v>
      </c>
      <c r="AI69" s="13">
        <f>IF('Données projet'!$A$62&gt;35,AI68+AH69-AQ68,IF(A69&lt;'Données projet'!$A$62,$AF$205^A69,IF(A69='Données projet'!$A$62,'Données projet'!$B$62,AI68+AH69-AQ68)))</f>
        <v>390.1749999999995</v>
      </c>
      <c r="AJ69" s="13">
        <f>AI69*VLOOKUP('Données projet'!$B$10,Paramètres!$A$1:$I$89,3,0)*VLOOKUP('Données projet'!$B$10,Paramètres!$A$1:$I$89,5,0)</f>
        <v>182.60189999999977</v>
      </c>
      <c r="AK69" s="13">
        <f t="shared" ref="AK69:AK132" si="89">EXP(-1.0587+0.8836*LN(AJ69)+0.284)</f>
        <v>45.900576582807517</v>
      </c>
      <c r="AL69" s="20">
        <f t="shared" si="58"/>
        <v>397.97514671505604</v>
      </c>
      <c r="AM69" s="59">
        <f t="shared" si="59"/>
        <v>664.16102228521186</v>
      </c>
      <c r="AN69" s="59">
        <f ca="1">AVERAGE(OFFSET($AM$3,0,0,'Données projet'!$E$10+1,1))-AVERAGE(OFFSET($H$3,0,0,'Données projet'!$E$10+1,1))</f>
        <v>382.89338473200229</v>
      </c>
      <c r="AO69" s="59">
        <f t="shared" ref="AO69:AO132" si="90">$AO$3</f>
        <v>360.46248248971744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67.304041339862437</v>
      </c>
      <c r="AV69" s="21">
        <f>EXP(-LN(2)/25)*AV68+(1-EXP(-LN(2)/25))/(LN(2)/25)*Calculateur!AQ69*Calculateur!AS69*VLOOKUP('Données projet'!$B$10,Paramètres!$A$1:$I$89,3,0)*0.475*44/12</f>
        <v>19.909788004656676</v>
      </c>
      <c r="AW69" s="21">
        <f>EXP(-LN(2)/2)*AW68+(1-EXP(-LN(2)/2))/(LN(2)/2)*AQ69*AT69*VLOOKUP('Données projet'!$B$10,Paramètres!$A$1:$I$89,3,0)*0.475*44/12</f>
        <v>3.294199734536492</v>
      </c>
      <c r="AX69" s="21">
        <f t="shared" si="60"/>
        <v>90.508029079055603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62.596147882769785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2.6923076923076907</v>
      </c>
      <c r="BD69" s="12">
        <f>IF('Données projet'!$A$88&gt;35,BD68+BC69-BL68,IF(A69&lt;'Données projet'!$A$88,$BA$205^A69,IF(A69='Données projet'!$A$88,'Données projet'!$B$88,BD68+BC69-BL68)))</f>
        <v>118.07692307692302</v>
      </c>
      <c r="BE69" s="13">
        <f>BD69*VLOOKUP('Données projet'!$B$11,Paramètres!$A$1:$I$89,3,0)*VLOOKUP('Données projet'!$B$11,Paramètres!$A$1:$I$89,5,0)</f>
        <v>103.15199999999996</v>
      </c>
      <c r="BF69" s="13">
        <f t="shared" ref="BF69:BF132" si="91">EXP(-1.0587+0.8836*LN(BE69)+0.284)</f>
        <v>27.711556440369876</v>
      </c>
      <c r="BG69" s="20">
        <f t="shared" si="61"/>
        <v>227.92069413364416</v>
      </c>
      <c r="BH69" s="59">
        <f t="shared" si="62"/>
        <v>494.10656970380001</v>
      </c>
      <c r="BI69" s="59">
        <f ca="1">AVERAGE(OFFSET($BH$3,0,0,'Données projet'!$E$11+1,1))-AVERAGE(OFFSET($H$3,0,0,'Données projet'!$E$11+1,1))</f>
        <v>225.75484198243581</v>
      </c>
      <c r="BJ69" s="59">
        <f t="shared" ref="BJ69:BJ132" si="92">$BJ$3</f>
        <v>199.49566488421061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0.39146595201343115</v>
      </c>
      <c r="BQ69" s="21">
        <f>EXP(-LN(2)/25)*BQ68+(1-EXP(-LN(2)/25))/(LN(2)/25)*Calculateur!BL69*Calculateur!BN69*VLOOKUP('Données projet'!$B$11,Paramètres!$A$1:$I$89,3,0)*0.475*44/12</f>
        <v>13.601627839130392</v>
      </c>
      <c r="BR69" s="21">
        <f>EXP(-LN(2)/2)*BR68+(1-EXP(-LN(2)/2))/(LN(2)/2)*BL69*BO69*VLOOKUP('Données projet'!$B$11,Paramètres!$A$1:$I$89,3,0)*0.475*44/12</f>
        <v>0</v>
      </c>
      <c r="BS69" s="22">
        <f t="shared" si="63"/>
        <v>13.993093791143824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62.596147882769785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6.8</v>
      </c>
      <c r="BY69" s="12">
        <f>IF('Données projet'!$A$114&gt;35,BY68+BX69-CG68,IF(A69&lt;'Données projet'!$A$114,$BV$205^A69,IF(A69='Données projet'!$A$114,'Données projet'!$B$114,BY68+BX69-CG68)))</f>
        <v>214.79999999999993</v>
      </c>
      <c r="BZ69" s="13">
        <f>BY69*VLOOKUP('Données projet'!$B$12,Paramètres!$A$1:$I$89,3,0)*VLOOKUP('Données projet'!$B$12,Paramètres!$A$1:$I$89,5,0)</f>
        <v>204.40367999999995</v>
      </c>
      <c r="CA69" s="13">
        <f t="shared" ref="CA69:CA132" si="93">EXP(-1.0587+0.8836*LN(BZ69)+0.284)</f>
        <v>50.710733146553501</v>
      </c>
      <c r="CB69" s="20">
        <f t="shared" si="64"/>
        <v>444.32426956358057</v>
      </c>
      <c r="CC69" s="59">
        <f t="shared" si="65"/>
        <v>710.51014513373639</v>
      </c>
      <c r="CD69" s="59">
        <f ca="1">AVERAGE(OFFSET($CC$3,0,0,'Données projet'!$E$12+1,1))-AVERAGE(OFFSET($H$3,0,0,'Données projet'!$E$12+1,1))</f>
        <v>413.9352601863377</v>
      </c>
      <c r="CE69" s="59">
        <f t="shared" ref="CE69:CE132" si="94">$CE$3</f>
        <v>255.13997349799286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0</v>
      </c>
      <c r="CL69" s="21">
        <f>EXP(-LN(2)/25)*CL68+(1-EXP(-LN(2)/25))/(LN(2)/25)*Calculateur!CG69*Calculateur!CI69*VLOOKUP('Données projet'!$B$12,Paramètres!$A$1:$I$89,3,0)*0.475*44/12</f>
        <v>12.199608855022642</v>
      </c>
      <c r="CM69" s="21">
        <f>EXP(-LN(2)/2)*CM68+(1-EXP(-LN(2)/2))/(LN(2)/2)*CG69*CJ69*VLOOKUP('Données projet'!$B$12,Paramètres!$A$1:$I$89,3,0)*0.475*44/12</f>
        <v>4.0488817339214158</v>
      </c>
      <c r="CN69" s="22">
        <f t="shared" si="66"/>
        <v>16.248490588944058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62.596147882769785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3</v>
      </c>
      <c r="CT69" s="12">
        <f>IF('Données projet'!$A$140&gt;35,CT68+CS69-DB68,IF(A69&lt;'Données projet'!$A$140,$CQ$205^A69,IF(A69='Données projet'!$A$140,'Données projet'!$B$140,CT68+CS69-DB68)))</f>
        <v>197.00000000000003</v>
      </c>
      <c r="CU69" s="17">
        <f>CT69*VLOOKUP('Données projet'!$B$13,Paramètres!$A$1:$I$89,3,0)*VLOOKUP('Données projet'!$B$13,Paramètres!$A$1:$I$89,5,0)</f>
        <v>172.09920000000005</v>
      </c>
      <c r="CV69" s="13">
        <f t="shared" ref="CV69:CV132" si="95">EXP(-1.0587+0.8836*LN(CU69)+0.284)</f>
        <v>43.559838214506989</v>
      </c>
      <c r="CW69" s="20">
        <f t="shared" si="67"/>
        <v>375.60615822359978</v>
      </c>
      <c r="CX69" s="59">
        <f t="shared" si="68"/>
        <v>641.79203379375565</v>
      </c>
      <c r="CY69" s="59">
        <f ca="1">AVERAGE(OFFSET($CX$3,0,0,'Données projet'!$E$13+1,1))-AVERAGE(OFFSET($H$3,0,0,'Données projet'!$E$13+1,1))</f>
        <v>280.59827778697775</v>
      </c>
      <c r="CZ69" s="59">
        <f t="shared" ref="CZ69:CZ132" si="96">$CZ$3</f>
        <v>270.86588231964726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>
        <f>EXP(-LN(2)/35)*DF68+(1-EXP(-LN(2)/35))/(LN(2)/35)*DB69*DC69*VLOOKUP('Données projet'!$B$13,Paramètres!$A$1:$I$89,3,0)*0.475*44/12</f>
        <v>4.3699871389849729</v>
      </c>
      <c r="DG69" s="21">
        <f>EXP(-LN(2)/25)*DG68+(1-EXP(-LN(2)/25))/(LN(2)/25)*Calculateur!DB69*Calculateur!DD69*VLOOKUP('Données projet'!$B$13,Paramètres!$A$1:$I$89,3,0)*0.475*44/12</f>
        <v>10.369311543138375</v>
      </c>
      <c r="DH69" s="21">
        <f>EXP(-LN(2)/2)*DH68+(1-EXP(-LN(2)/2))/(LN(2)/2)*DB69*DE69*VLOOKUP('Données projet'!$B$13,Paramètres!$A$1:$I$89,3,0)*0.475*44/12</f>
        <v>1.4612667695291424</v>
      </c>
      <c r="DI69" s="22">
        <f t="shared" si="69"/>
        <v>16.200565451652491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62.596147882769785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4.2307692307692291</v>
      </c>
      <c r="DO69" s="12">
        <f>IF('Données projet'!$A$166&gt;35,DO68+DN69-DW68,IF(A69&lt;'Données projet'!$A$166,$DL$205^A69,IF(A69='Données projet'!$A$166,'Données projet'!$B$166,DO68+DN69-DW68)))</f>
        <v>126.02564102564104</v>
      </c>
      <c r="DP69" s="17">
        <f>DO69*VLOOKUP('Données projet'!$B$14,Paramètres!$A$1:$I$89,3,0)*VLOOKUP('Données projet'!$B$14,Paramètres!$A$1:$I$89,5,0)</f>
        <v>84.538000000000011</v>
      </c>
      <c r="DQ69" s="13">
        <f t="shared" ref="DQ69:DQ132" si="97">EXP(-1.0587+0.8836*LN(DP69)+0.284)</f>
        <v>23.243160693144805</v>
      </c>
      <c r="DR69" s="20">
        <f t="shared" si="70"/>
        <v>187.71885487389389</v>
      </c>
      <c r="DS69" s="59">
        <f t="shared" si="71"/>
        <v>453.90473044404973</v>
      </c>
      <c r="DT69" s="59">
        <f ca="1">AVERAGE(OFFSET($DS$3,0,0,'Données projet'!$E$14+1,1))-AVERAGE(OFFSET($H$3,0,0,'Données projet'!$E$14+1,1))</f>
        <v>211.42385430331873</v>
      </c>
      <c r="DU69" s="59">
        <f t="shared" ref="DU69:DU132" si="98">$DU$3</f>
        <v>146.84623106782686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>
        <f>EXP(-LN(2)/35)*EA68+(1-EXP(-LN(2)/35))/(LN(2)/35)*DW69*DX69*VLOOKUP('Données projet'!$B$14,Paramètres!$A$1:$I$89,3,0)*0.475*44/12</f>
        <v>0</v>
      </c>
      <c r="EB69" s="21">
        <f>EXP(-LN(2)/25)*EB68+(1-EXP(-LN(2)/25))/(LN(2)/25)*Calculateur!DW69*Calculateur!DY69*VLOOKUP('Données projet'!$B$14,Paramètres!$A$1:$I$89,3,0)*0.475*44/12</f>
        <v>7.1528424599795191</v>
      </c>
      <c r="EC69" s="21">
        <f>EXP(-LN(2)/2)*EC68+(1-EXP(-LN(2)/2))/(LN(2)/2)*DW69*DZ69*VLOOKUP('Données projet'!$B$14,Paramètres!$A$1:$I$89,3,0)*0.475*44/12</f>
        <v>1.9165900298112526</v>
      </c>
      <c r="ED69" s="22">
        <f t="shared" si="72"/>
        <v>9.0694324897907723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62.596147882769785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2.3076923076923066</v>
      </c>
      <c r="EJ69" s="12">
        <f>IF('Données projet'!$A$192&gt;35,EJ68+EI69-ER68,IF(A69&lt;'Données projet'!$A$192,$EG$205^A69,IF(A69='Données projet'!$A$192,'Données projet'!$B$192,EJ68+EI69-ER68)))</f>
        <v>74.102564102564088</v>
      </c>
      <c r="EK69" s="17">
        <f>EJ69*VLOOKUP('Données projet'!$B$15,Paramètres!$A$1:$I$89,3,0)*VLOOKUP('Données projet'!$B$15,Paramètres!$A$1:$I$89,5,0)</f>
        <v>79.763999999999982</v>
      </c>
      <c r="EL69" s="13">
        <f t="shared" ref="EL69:EL132" si="99">EXP(-1.0587+0.8836*LN(EK69)+0.284)</f>
        <v>22.079470983807951</v>
      </c>
      <c r="EM69" s="20">
        <f t="shared" si="73"/>
        <v>177.37737863013214</v>
      </c>
      <c r="EN69" s="59">
        <f t="shared" si="74"/>
        <v>443.56325420028804</v>
      </c>
      <c r="EO69" s="59">
        <f ca="1">AVERAGE(OFFSET($EN$3,0,0,'Données projet'!$E$15+1,1))-AVERAGE(OFFSET($H$3,0,0,'Données projet'!$E$15+1,1))</f>
        <v>212.00478362779876</v>
      </c>
      <c r="EP69" s="59">
        <f t="shared" ref="EP69:EP132" si="100">$EP$3</f>
        <v>133.62262474506707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>
        <f>EXP(-LN(2)/35)*EV68+(1-EXP(-LN(2)/35))/(LN(2)/35)*ER69*ES69*VLOOKUP('Données projet'!$B$15,Paramètres!$A$1:$I$89,3,0)*0.475*44/12</f>
        <v>0</v>
      </c>
      <c r="EW69" s="21">
        <f>EXP(-LN(2)/25)*EW68+(1-EXP(-LN(2)/25))/(LN(2)/25)*Calculateur!ER69*Calculateur!ET69*VLOOKUP('Données projet'!$B$15,Paramètres!$A$1:$I$89,3,0)*0.475*44/12</f>
        <v>4.1682078688528374</v>
      </c>
      <c r="EX69" s="21">
        <f>EXP(-LN(2)/2)*EX68+(1-EXP(-LN(2)/2))/(LN(2)/2)*ER69*EU69*VLOOKUP('Données projet'!$B$15,Paramètres!$A$1:$I$89,3,0)*0.475*44/12</f>
        <v>1.3978741244458803</v>
      </c>
      <c r="EY69" s="22">
        <f t="shared" si="75"/>
        <v>5.5660819932987176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62.596147882769785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2.3076923076923066</v>
      </c>
      <c r="FE69" s="12">
        <f>IF('Données projet'!$A$218&gt;35,FE68+FD69-FM68,IF(A69&lt;'Données projet'!$A$218,$FB$205^A69,IF(A69='Données projet'!$A$218,'Données projet'!$B$218,FE68+FD69-FM68)))</f>
        <v>74.102564102564088</v>
      </c>
      <c r="FF69" s="17">
        <f>FE69*VLOOKUP('Données projet'!$B$16,Paramètres!$A$1:$I$89,3,0)*VLOOKUP('Données projet'!$B$16,Paramètres!$A$1:$I$89,5,0)</f>
        <v>71.671999999999983</v>
      </c>
      <c r="FG69" s="13">
        <f t="shared" ref="FG69:FG132" si="101">EXP(-1.0587+0.8836*LN(FF69)+0.284)</f>
        <v>20.088101954163189</v>
      </c>
      <c r="FH69" s="20">
        <f t="shared" si="76"/>
        <v>159.81551090350086</v>
      </c>
      <c r="FI69" s="59">
        <f t="shared" si="77"/>
        <v>426.00138647365674</v>
      </c>
      <c r="FJ69" s="59">
        <f ca="1">AVERAGE(OFFSET($FI$3,0,0,'Données projet'!$E$16+1,1))-AVERAGE(OFFSET($H$3,0,0,'Données projet'!$E$16+1,1))</f>
        <v>196.65742339093146</v>
      </c>
      <c r="FK69" s="59">
        <f t="shared" ref="FK69:FK132" si="102">$FK$3</f>
        <v>125.41980634506001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>
        <f>EXP(-LN(2)/35)*FQ68+(1-EXP(-LN(2)/35))/(LN(2)/35)*FM69*FN69*VLOOKUP('Données projet'!$B$16,Paramètres!$A$1:$I$89,3,0)*0.475*44/12</f>
        <v>0</v>
      </c>
      <c r="FR69" s="21">
        <f>EXP(-LN(2)/25)*FR68+(1-EXP(-LN(2)/25))/(LN(2)/25)*Calculateur!FM69*Calculateur!FO69*VLOOKUP('Données projet'!$B$16,Paramètres!$A$1:$I$89,3,0)*0.475*44/12</f>
        <v>3.7453462009982013</v>
      </c>
      <c r="FS69" s="21">
        <f>EXP(-LN(2)/2)*FS68+(1-EXP(-LN(2)/2))/(LN(2)/2)*FM69*FP69*VLOOKUP('Données projet'!$B$16,Paramètres!$A$1:$I$89,3,0)*0.475*44/12</f>
        <v>1.2560608074731099</v>
      </c>
      <c r="FT69" s="22">
        <f t="shared" si="78"/>
        <v>5.0014070084713111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62.596147882769785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62.596147882769785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>
      <c r="A70" s="10">
        <f t="shared" si="85"/>
        <v>67</v>
      </c>
      <c r="B70" s="73">
        <f>'Scénario référence'!$B$16*5+'Scénario référence'!$B$17*0+'Scénario référence'!$B$18*5</f>
        <v>4.6999999999999993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3.5745839999999962</v>
      </c>
      <c r="D70" s="11">
        <f t="shared" si="86"/>
        <v>1.4203066581631203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18.51275637500888</v>
      </c>
      <c r="H70" s="67">
        <f t="shared" si="56"/>
        <v>196.43276789630079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62.724588164470148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11.896999999999997</v>
      </c>
      <c r="N70" s="13">
        <f>IF('Données projet'!$A$36&gt;35,N69+M70-V69,IF(A70&lt;'Données projet'!$A$36,$K$205^A70,IF(A70='Données projet'!$A$36,'Données projet'!$B$36,N69+M70-V69)))</f>
        <v>454.37899999999979</v>
      </c>
      <c r="O70" s="13">
        <f>N70*VLOOKUP('Données projet'!$B$9,Paramètres!$A$1:$I$89,3,0)*VLOOKUP('Données projet'!$B$9,Paramètres!$A$1:$I$89,5,0)</f>
        <v>271.71864199999993</v>
      </c>
      <c r="P70" s="13">
        <f t="shared" si="87"/>
        <v>65.213873692530555</v>
      </c>
      <c r="Q70" s="20">
        <f t="shared" si="54"/>
        <v>586.82413149782394</v>
      </c>
      <c r="R70" s="59">
        <f t="shared" si="55"/>
        <v>853.48095476754781</v>
      </c>
      <c r="S70" s="59">
        <f ca="1">AVERAGE(OFFSET($R$3,0,0,'Données projet'!$E$9+1,1))-AVERAGE(OFFSET($H$3,0,0,'Données projet'!$E$9+1,1))</f>
        <v>366.93249569585623</v>
      </c>
      <c r="T70" s="59">
        <f t="shared" si="88"/>
        <v>272.47262353368501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38.753216131566518</v>
      </c>
      <c r="AA70" s="21">
        <f>EXP(-LN(2)/25)*AA69+(1-EXP(-LN(2)/25))/(LN(2)/25)*Calculateur!V70*Calculateur!X70*VLOOKUP('Données projet'!$B$9,Paramètres!$A$1:$I$89,3,0)*0.475*44/12</f>
        <v>15.923035648190211</v>
      </c>
      <c r="AB70" s="21">
        <f>EXP(-LN(2)/2)*AB69+(1-EXP(-LN(2)/2))/(LN(2)/2)*V70*Y70*VLOOKUP('Données projet'!$B$9,Paramètres!$A$1:$I$89,3,0)*0.475*44/12</f>
        <v>0.86348682667800292</v>
      </c>
      <c r="AC70" s="22">
        <f t="shared" si="57"/>
        <v>55.539738606434732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62.724588164470148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16.234999999999999</v>
      </c>
      <c r="AI70" s="13">
        <f>IF('Données projet'!$A$62&gt;35,AI69+AH70-AQ69,IF(A70&lt;'Données projet'!$A$62,$AF$205^A70,IF(A70='Données projet'!$A$62,'Données projet'!$B$62,AI69+AH70-AQ69)))</f>
        <v>406.40999999999951</v>
      </c>
      <c r="AJ70" s="13">
        <f>AI70*VLOOKUP('Données projet'!$B$10,Paramètres!$A$1:$I$89,3,0)*VLOOKUP('Données projet'!$B$10,Paramètres!$A$1:$I$89,5,0)</f>
        <v>190.19987999999975</v>
      </c>
      <c r="AK70" s="13">
        <f t="shared" si="89"/>
        <v>47.584140776714392</v>
      </c>
      <c r="AL70" s="20">
        <f t="shared" si="58"/>
        <v>414.14050285277716</v>
      </c>
      <c r="AM70" s="59">
        <f t="shared" si="59"/>
        <v>680.79732612250109</v>
      </c>
      <c r="AN70" s="59">
        <f ca="1">AVERAGE(OFFSET($AM$3,0,0,'Données projet'!$E$10+1,1))-AVERAGE(OFFSET($H$3,0,0,'Données projet'!$E$10+1,1))</f>
        <v>382.89338473200229</v>
      </c>
      <c r="AO70" s="59">
        <f t="shared" si="90"/>
        <v>360.46248248971744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65.984250140599457</v>
      </c>
      <c r="AV70" s="21">
        <f>EXP(-LN(2)/25)*AV69+(1-EXP(-LN(2)/25))/(LN(2)/25)*Calculateur!AQ70*Calculateur!AS70*VLOOKUP('Données projet'!$B$10,Paramètres!$A$1:$I$89,3,0)*0.475*44/12</f>
        <v>19.365353804659094</v>
      </c>
      <c r="AW70" s="21">
        <f>EXP(-LN(2)/2)*AW69+(1-EXP(-LN(2)/2))/(LN(2)/2)*AQ70*AT70*VLOOKUP('Données projet'!$B$10,Paramètres!$A$1:$I$89,3,0)*0.475*44/12</f>
        <v>2.3293509708736782</v>
      </c>
      <c r="AX70" s="21">
        <f t="shared" si="60"/>
        <v>87.678954916132227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62.724588164470148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2.6923076923076907</v>
      </c>
      <c r="BD70" s="12">
        <f>IF('Données projet'!$A$88&gt;35,BD69+BC70-BL69,IF(A70&lt;'Données projet'!$A$88,$BA$205^A70,IF(A70='Données projet'!$A$88,'Données projet'!$B$88,BD69+BC70-BL69)))</f>
        <v>120.76923076923072</v>
      </c>
      <c r="BE70" s="13">
        <f>BD70*VLOOKUP('Données projet'!$B$11,Paramètres!$A$1:$I$89,3,0)*VLOOKUP('Données projet'!$B$11,Paramètres!$A$1:$I$89,5,0)</f>
        <v>105.50399999999996</v>
      </c>
      <c r="BF70" s="13">
        <f t="shared" si="91"/>
        <v>28.269132889790829</v>
      </c>
      <c r="BG70" s="20">
        <f t="shared" si="61"/>
        <v>232.98820644971894</v>
      </c>
      <c r="BH70" s="59">
        <f t="shared" si="62"/>
        <v>499.64502971944285</v>
      </c>
      <c r="BI70" s="59">
        <f ca="1">AVERAGE(OFFSET($BH$3,0,0,'Données projet'!$E$11+1,1))-AVERAGE(OFFSET($H$3,0,0,'Données projet'!$E$11+1,1))</f>
        <v>225.75484198243581</v>
      </c>
      <c r="BJ70" s="59">
        <f t="shared" si="92"/>
        <v>199.49566488421061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0.38378954346510186</v>
      </c>
      <c r="BQ70" s="21">
        <f>EXP(-LN(2)/25)*BQ69+(1-EXP(-LN(2)/25))/(LN(2)/25)*Calculateur!BL70*Calculateur!BN70*VLOOKUP('Données projet'!$B$11,Paramètres!$A$1:$I$89,3,0)*0.475*44/12</f>
        <v>13.22969061059085</v>
      </c>
      <c r="BR70" s="21">
        <f>EXP(-LN(2)/2)*BR69+(1-EXP(-LN(2)/2))/(LN(2)/2)*BL70*BO70*VLOOKUP('Données projet'!$B$11,Paramètres!$A$1:$I$89,3,0)*0.475*44/12</f>
        <v>0</v>
      </c>
      <c r="BS70" s="22">
        <f t="shared" si="63"/>
        <v>13.613480154055953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62.724588164470148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6.8</v>
      </c>
      <c r="BY70" s="12">
        <f>IF('Données projet'!$A$114&gt;35,BY69+BX70-CG69,IF(A70&lt;'Données projet'!$A$114,$BV$205^A70,IF(A70='Données projet'!$A$114,'Données projet'!$B$114,BY69+BX70-CG69)))</f>
        <v>221.59999999999994</v>
      </c>
      <c r="BZ70" s="13">
        <f>BY70*VLOOKUP('Données projet'!$B$12,Paramètres!$A$1:$I$89,3,0)*VLOOKUP('Données projet'!$B$12,Paramètres!$A$1:$I$89,5,0)</f>
        <v>210.87455999999995</v>
      </c>
      <c r="CA70" s="13">
        <f t="shared" si="93"/>
        <v>52.126652811854591</v>
      </c>
      <c r="CB70" s="20">
        <f t="shared" si="64"/>
        <v>458.06044564731332</v>
      </c>
      <c r="CC70" s="59">
        <f t="shared" si="65"/>
        <v>724.71726891703725</v>
      </c>
      <c r="CD70" s="59">
        <f ca="1">AVERAGE(OFFSET($CC$3,0,0,'Données projet'!$E$12+1,1))-AVERAGE(OFFSET($H$3,0,0,'Données projet'!$E$12+1,1))</f>
        <v>413.9352601863377</v>
      </c>
      <c r="CE70" s="59">
        <f t="shared" si="94"/>
        <v>255.13997349799286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0</v>
      </c>
      <c r="CL70" s="21">
        <f>EXP(-LN(2)/25)*CL69+(1-EXP(-LN(2)/25))/(LN(2)/25)*Calculateur!CG70*Calculateur!CI70*VLOOKUP('Données projet'!$B$12,Paramètres!$A$1:$I$89,3,0)*0.475*44/12</f>
        <v>11.866009909332501</v>
      </c>
      <c r="CM70" s="21">
        <f>EXP(-LN(2)/2)*CM69+(1-EXP(-LN(2)/2))/(LN(2)/2)*CG70*CJ70*VLOOKUP('Données projet'!$B$12,Paramètres!$A$1:$I$89,3,0)*0.475*44/12</f>
        <v>2.8629917302781798</v>
      </c>
      <c r="CN70" s="22">
        <f t="shared" si="66"/>
        <v>14.729001639610681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62.724588164470148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3</v>
      </c>
      <c r="CT70" s="12">
        <f>IF('Données projet'!$A$140&gt;35,CT69+CS70-DB69,IF(A70&lt;'Données projet'!$A$140,$CQ$205^A70,IF(A70='Données projet'!$A$140,'Données projet'!$B$140,CT69+CS70-DB69)))</f>
        <v>200.00000000000003</v>
      </c>
      <c r="CU70" s="17">
        <f>CT70*VLOOKUP('Données projet'!$B$13,Paramètres!$A$1:$I$89,3,0)*VLOOKUP('Données projet'!$B$13,Paramètres!$A$1:$I$89,5,0)</f>
        <v>174.72000000000006</v>
      </c>
      <c r="CV70" s="13">
        <f t="shared" si="95"/>
        <v>44.145455754865246</v>
      </c>
      <c r="CW70" s="20">
        <f t="shared" si="67"/>
        <v>381.19066877305704</v>
      </c>
      <c r="CX70" s="59">
        <f t="shared" si="68"/>
        <v>647.84749204278091</v>
      </c>
      <c r="CY70" s="59">
        <f ca="1">AVERAGE(OFFSET($CX$3,0,0,'Données projet'!$E$13+1,1))-AVERAGE(OFFSET($H$3,0,0,'Données projet'!$E$13+1,1))</f>
        <v>280.59827778697775</v>
      </c>
      <c r="CZ70" s="59">
        <f t="shared" si="96"/>
        <v>270.86588231964726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>
        <f>EXP(-LN(2)/35)*DF69+(1-EXP(-LN(2)/35))/(LN(2)/35)*DB70*DC70*VLOOKUP('Données projet'!$B$13,Paramètres!$A$1:$I$89,3,0)*0.475*44/12</f>
        <v>4.2842943566184433</v>
      </c>
      <c r="DG70" s="21">
        <f>EXP(-LN(2)/25)*DG69+(1-EXP(-LN(2)/25))/(LN(2)/25)*Calculateur!DB70*Calculateur!DD70*VLOOKUP('Données projet'!$B$13,Paramètres!$A$1:$I$89,3,0)*0.475*44/12</f>
        <v>10.085762173692862</v>
      </c>
      <c r="DH70" s="21">
        <f>EXP(-LN(2)/2)*DH69+(1-EXP(-LN(2)/2))/(LN(2)/2)*DB70*DE70*VLOOKUP('Données projet'!$B$13,Paramètres!$A$1:$I$89,3,0)*0.475*44/12</f>
        <v>1.0332716418566166</v>
      </c>
      <c r="DI70" s="22">
        <f t="shared" si="69"/>
        <v>15.403328172167923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62.724588164470148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4.2307692307692291</v>
      </c>
      <c r="DO70" s="12">
        <f>IF('Données projet'!$A$166&gt;35,DO69+DN70-DW69,IF(A70&lt;'Données projet'!$A$166,$DL$205^A70,IF(A70='Données projet'!$A$166,'Données projet'!$B$166,DO69+DN70-DW69)))</f>
        <v>130.25641025641028</v>
      </c>
      <c r="DP70" s="17">
        <f>DO70*VLOOKUP('Données projet'!$B$14,Paramètres!$A$1:$I$89,3,0)*VLOOKUP('Données projet'!$B$14,Paramètres!$A$1:$I$89,5,0)</f>
        <v>87.376000000000019</v>
      </c>
      <c r="DQ70" s="13">
        <f t="shared" si="97"/>
        <v>23.931293699474718</v>
      </c>
      <c r="DR70" s="20">
        <f t="shared" si="70"/>
        <v>193.86020319325181</v>
      </c>
      <c r="DS70" s="59">
        <f t="shared" si="71"/>
        <v>460.51702646297565</v>
      </c>
      <c r="DT70" s="59">
        <f ca="1">AVERAGE(OFFSET($DS$3,0,0,'Données projet'!$E$14+1,1))-AVERAGE(OFFSET($H$3,0,0,'Données projet'!$E$14+1,1))</f>
        <v>211.42385430331873</v>
      </c>
      <c r="DU70" s="59">
        <f t="shared" si="98"/>
        <v>146.84623106782686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>
        <f>EXP(-LN(2)/35)*EA69+(1-EXP(-LN(2)/35))/(LN(2)/35)*DW70*DX70*VLOOKUP('Données projet'!$B$14,Paramètres!$A$1:$I$89,3,0)*0.475*44/12</f>
        <v>0</v>
      </c>
      <c r="EB70" s="21">
        <f>EXP(-LN(2)/25)*EB69+(1-EXP(-LN(2)/25))/(LN(2)/25)*Calculateur!DW70*Calculateur!DY70*VLOOKUP('Données projet'!$B$14,Paramètres!$A$1:$I$89,3,0)*0.475*44/12</f>
        <v>6.9572476067597426</v>
      </c>
      <c r="EC70" s="21">
        <f>EXP(-LN(2)/2)*EC69+(1-EXP(-LN(2)/2))/(LN(2)/2)*DW70*DZ70*VLOOKUP('Données projet'!$B$14,Paramètres!$A$1:$I$89,3,0)*0.475*44/12</f>
        <v>1.3552338068340641</v>
      </c>
      <c r="ED70" s="22">
        <f t="shared" si="72"/>
        <v>8.3124814135938063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62.724588164470148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2.3076923076923066</v>
      </c>
      <c r="EJ70" s="12">
        <f>IF('Données projet'!$A$192&gt;35,EJ69+EI70-ER69,IF(A70&lt;'Données projet'!$A$192,$EG$205^A70,IF(A70='Données projet'!$A$192,'Données projet'!$B$192,EJ69+EI70-ER69)))</f>
        <v>76.410256410256395</v>
      </c>
      <c r="EK70" s="17">
        <f>EJ70*VLOOKUP('Données projet'!$B$15,Paramètres!$A$1:$I$89,3,0)*VLOOKUP('Données projet'!$B$15,Paramètres!$A$1:$I$89,5,0)</f>
        <v>82.247999999999976</v>
      </c>
      <c r="EL70" s="13">
        <f t="shared" si="99"/>
        <v>22.685942172969277</v>
      </c>
      <c r="EM70" s="20">
        <f t="shared" si="73"/>
        <v>182.75994928458809</v>
      </c>
      <c r="EN70" s="59">
        <f t="shared" si="74"/>
        <v>449.41677255431193</v>
      </c>
      <c r="EO70" s="59">
        <f ca="1">AVERAGE(OFFSET($EN$3,0,0,'Données projet'!$E$15+1,1))-AVERAGE(OFFSET($H$3,0,0,'Données projet'!$E$15+1,1))</f>
        <v>212.00478362779876</v>
      </c>
      <c r="EP70" s="59">
        <f t="shared" si="100"/>
        <v>133.62262474506707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>
        <f>EXP(-LN(2)/35)*EV69+(1-EXP(-LN(2)/35))/(LN(2)/35)*ER70*ES70*VLOOKUP('Données projet'!$B$15,Paramètres!$A$1:$I$89,3,0)*0.475*44/12</f>
        <v>0</v>
      </c>
      <c r="EW70" s="21">
        <f>EXP(-LN(2)/25)*EW69+(1-EXP(-LN(2)/25))/(LN(2)/25)*Calculateur!ER70*Calculateur!ET70*VLOOKUP('Données projet'!$B$15,Paramètres!$A$1:$I$89,3,0)*0.475*44/12</f>
        <v>4.054228005482531</v>
      </c>
      <c r="EX70" s="21">
        <f>EXP(-LN(2)/2)*EX69+(1-EXP(-LN(2)/2))/(LN(2)/2)*ER70*EU70*VLOOKUP('Données projet'!$B$15,Paramètres!$A$1:$I$89,3,0)*0.475*44/12</f>
        <v>0.98844627264088991</v>
      </c>
      <c r="EY70" s="22">
        <f t="shared" si="75"/>
        <v>5.0426742781234211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62.724588164470148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2.3076923076923066</v>
      </c>
      <c r="FE70" s="12">
        <f>IF('Données projet'!$A$218&gt;35,FE69+FD70-FM69,IF(A70&lt;'Données projet'!$A$218,$FB$205^A70,IF(A70='Données projet'!$A$218,'Données projet'!$B$218,FE69+FD70-FM69)))</f>
        <v>76.410256410256395</v>
      </c>
      <c r="FF70" s="17">
        <f>FE70*VLOOKUP('Données projet'!$B$16,Paramètres!$A$1:$I$89,3,0)*VLOOKUP('Données projet'!$B$16,Paramètres!$A$1:$I$89,5,0)</f>
        <v>73.903999999999982</v>
      </c>
      <c r="FG70" s="13">
        <f t="shared" si="101"/>
        <v>20.639874915076501</v>
      </c>
      <c r="FH70" s="20">
        <f t="shared" si="76"/>
        <v>164.66391547709154</v>
      </c>
      <c r="FI70" s="59">
        <f t="shared" si="77"/>
        <v>431.32073874681544</v>
      </c>
      <c r="FJ70" s="59">
        <f ca="1">AVERAGE(OFFSET($FI$3,0,0,'Données projet'!$E$16+1,1))-AVERAGE(OFFSET($H$3,0,0,'Données projet'!$E$16+1,1))</f>
        <v>196.65742339093146</v>
      </c>
      <c r="FK70" s="59">
        <f t="shared" si="102"/>
        <v>125.41980634506001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>
        <f>EXP(-LN(2)/35)*FQ69+(1-EXP(-LN(2)/35))/(LN(2)/35)*FM70*FN70*VLOOKUP('Données projet'!$B$16,Paramètres!$A$1:$I$89,3,0)*0.475*44/12</f>
        <v>0</v>
      </c>
      <c r="FR70" s="21">
        <f>EXP(-LN(2)/25)*FR69+(1-EXP(-LN(2)/25))/(LN(2)/25)*Calculateur!FM70*Calculateur!FO70*VLOOKUP('Données projet'!$B$16,Paramètres!$A$1:$I$89,3,0)*0.475*44/12</f>
        <v>3.6429295121727088</v>
      </c>
      <c r="FS70" s="21">
        <f>EXP(-LN(2)/2)*FS69+(1-EXP(-LN(2)/2))/(LN(2)/2)*FM70*FP70*VLOOKUP('Données projet'!$B$16,Paramètres!$A$1:$I$89,3,0)*0.475*44/12</f>
        <v>0.88816911454688652</v>
      </c>
      <c r="FT70" s="22">
        <f t="shared" si="78"/>
        <v>4.5310986267195954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62.724588164470148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62.724588164470148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>
      <c r="A71" s="10">
        <f t="shared" si="85"/>
        <v>68</v>
      </c>
      <c r="B71" s="73">
        <f>'Scénario référence'!$B$16*5+'Scénario référence'!$B$17*0+'Scénario référence'!$B$18*5</f>
        <v>4.6999999999999993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3.6279359999999961</v>
      </c>
      <c r="D71" s="11">
        <f t="shared" si="86"/>
        <v>1.4390215659442622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18.546134732296988</v>
      </c>
      <c r="H71" s="67">
        <f t="shared" si="56"/>
        <v>196.55828442735293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62.850800294432453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11.896999999999997</v>
      </c>
      <c r="N71" s="13">
        <f>IF('Données projet'!$A$36&gt;35,N70+M71-V70,IF(A71&lt;'Données projet'!$A$36,$K$205^A71,IF(A71='Données projet'!$A$36,'Données projet'!$B$36,N70+M71-V70)))</f>
        <v>466.27599999999978</v>
      </c>
      <c r="O71" s="13">
        <f>N71*VLOOKUP('Données projet'!$B$9,Paramètres!$A$1:$I$89,3,0)*VLOOKUP('Données projet'!$B$9,Paramètres!$A$1:$I$89,5,0)</f>
        <v>278.83304799999985</v>
      </c>
      <c r="P71" s="13">
        <f t="shared" si="87"/>
        <v>66.720338466956676</v>
      </c>
      <c r="Q71" s="20">
        <f t="shared" si="54"/>
        <v>601.83881476328258</v>
      </c>
      <c r="R71" s="59">
        <f t="shared" si="55"/>
        <v>868.95841584286813</v>
      </c>
      <c r="S71" s="59">
        <f ca="1">AVERAGE(OFFSET($R$3,0,0,'Données projet'!$E$9+1,1))-AVERAGE(OFFSET($H$3,0,0,'Données projet'!$E$9+1,1))</f>
        <v>366.93249569585623</v>
      </c>
      <c r="T71" s="59">
        <f t="shared" si="88"/>
        <v>272.47262353368501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37.993289200354369</v>
      </c>
      <c r="AA71" s="21">
        <f>EXP(-LN(2)/25)*AA70+(1-EXP(-LN(2)/25))/(LN(2)/25)*Calculateur!V71*Calculateur!X71*VLOOKUP('Données projet'!$B$9,Paramètres!$A$1:$I$89,3,0)*0.475*44/12</f>
        <v>15.487619401034397</v>
      </c>
      <c r="AB71" s="21">
        <f>EXP(-LN(2)/2)*AB70+(1-EXP(-LN(2)/2))/(LN(2)/2)*V71*Y71*VLOOKUP('Données projet'!$B$9,Paramètres!$A$1:$I$89,3,0)*0.475*44/12</f>
        <v>0.61057739060926897</v>
      </c>
      <c r="AC71" s="22">
        <f t="shared" si="57"/>
        <v>54.091485991998034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62.850800294432453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16.234999999999999</v>
      </c>
      <c r="AI71" s="13">
        <f>IF('Données projet'!$A$62&gt;35,AI70+AH71-AQ70,IF(A71&lt;'Données projet'!$A$62,$AF$205^A71,IF(A71='Données projet'!$A$62,'Données projet'!$B$62,AI70+AH71-AQ70)))</f>
        <v>422.64499999999953</v>
      </c>
      <c r="AJ71" s="13">
        <f>AI71*VLOOKUP('Données projet'!$B$10,Paramètres!$A$1:$I$89,3,0)*VLOOKUP('Données projet'!$B$10,Paramètres!$A$1:$I$89,5,0)</f>
        <v>197.79785999999979</v>
      </c>
      <c r="AK71" s="13">
        <f t="shared" si="89"/>
        <v>49.259892592357481</v>
      </c>
      <c r="AL71" s="20">
        <f t="shared" si="58"/>
        <v>430.29225243168889</v>
      </c>
      <c r="AM71" s="59">
        <f t="shared" si="59"/>
        <v>697.41185351127456</v>
      </c>
      <c r="AN71" s="59">
        <f ca="1">AVERAGE(OFFSET($AM$3,0,0,'Données projet'!$E$10+1,1))-AVERAGE(OFFSET($H$3,0,0,'Données projet'!$E$10+1,1))</f>
        <v>382.89338473200229</v>
      </c>
      <c r="AO71" s="59">
        <f t="shared" si="90"/>
        <v>360.46248248971744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64.690339241760881</v>
      </c>
      <c r="AV71" s="21">
        <f>EXP(-LN(2)/25)*AV70+(1-EXP(-LN(2)/25))/(LN(2)/25)*Calculateur!AQ71*Calculateur!AS71*VLOOKUP('Données projet'!$B$10,Paramètres!$A$1:$I$89,3,0)*0.475*44/12</f>
        <v>18.835807186490996</v>
      </c>
      <c r="AW71" s="21">
        <f>EXP(-LN(2)/2)*AW70+(1-EXP(-LN(2)/2))/(LN(2)/2)*AQ71*AT71*VLOOKUP('Données projet'!$B$10,Paramètres!$A$1:$I$89,3,0)*0.475*44/12</f>
        <v>1.647099867268246</v>
      </c>
      <c r="AX71" s="21">
        <f t="shared" si="60"/>
        <v>85.17324629552013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62.850800294432453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2.6923076923076907</v>
      </c>
      <c r="BD71" s="12">
        <f>IF('Données projet'!$A$88&gt;35,BD70+BC71-BL70,IF(A71&lt;'Données projet'!$A$88,$BA$205^A71,IF(A71='Données projet'!$A$88,'Données projet'!$B$88,BD70+BC71-BL70)))</f>
        <v>123.46153846153841</v>
      </c>
      <c r="BE71" s="13">
        <f>BD71*VLOOKUP('Données projet'!$B$11,Paramètres!$A$1:$I$89,3,0)*VLOOKUP('Données projet'!$B$11,Paramètres!$A$1:$I$89,5,0)</f>
        <v>107.85599999999997</v>
      </c>
      <c r="BF71" s="13">
        <f t="shared" si="91"/>
        <v>28.825264230687974</v>
      </c>
      <c r="BG71" s="20">
        <f t="shared" si="61"/>
        <v>238.05320186844813</v>
      </c>
      <c r="BH71" s="59">
        <f t="shared" si="62"/>
        <v>505.17280294803373</v>
      </c>
      <c r="BI71" s="59">
        <f ca="1">AVERAGE(OFFSET($BH$3,0,0,'Données projet'!$E$11+1,1))-AVERAGE(OFFSET($H$3,0,0,'Données projet'!$E$11+1,1))</f>
        <v>225.75484198243581</v>
      </c>
      <c r="BJ71" s="59">
        <f t="shared" si="92"/>
        <v>199.49566488421061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0.37626366460625843</v>
      </c>
      <c r="BQ71" s="21">
        <f>EXP(-LN(2)/25)*BQ70+(1-EXP(-LN(2)/25))/(LN(2)/25)*Calculateur!BL71*Calculateur!BN71*VLOOKUP('Données projet'!$B$11,Paramètres!$A$1:$I$89,3,0)*0.475*44/12</f>
        <v>12.867924025125051</v>
      </c>
      <c r="BR71" s="21">
        <f>EXP(-LN(2)/2)*BR70+(1-EXP(-LN(2)/2))/(LN(2)/2)*BL71*BO71*VLOOKUP('Données projet'!$B$11,Paramètres!$A$1:$I$89,3,0)*0.475*44/12</f>
        <v>0</v>
      </c>
      <c r="BS71" s="22">
        <f t="shared" si="63"/>
        <v>13.244187689731309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62.850800294432453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6.8</v>
      </c>
      <c r="BY71" s="12">
        <f>IF('Données projet'!$A$114&gt;35,BY70+BX71-CG70,IF(A71&lt;'Données projet'!$A$114,$BV$205^A71,IF(A71='Données projet'!$A$114,'Données projet'!$B$114,BY70+BX71-CG70)))</f>
        <v>228.39999999999995</v>
      </c>
      <c r="BZ71" s="13">
        <f>BY71*VLOOKUP('Données projet'!$B$12,Paramètres!$A$1:$I$89,3,0)*VLOOKUP('Données projet'!$B$12,Paramètres!$A$1:$I$89,5,0)</f>
        <v>217.34543999999994</v>
      </c>
      <c r="CA71" s="13">
        <f t="shared" si="93"/>
        <v>53.537523221233471</v>
      </c>
      <c r="CB71" s="20">
        <f t="shared" si="64"/>
        <v>471.78782761031488</v>
      </c>
      <c r="CC71" s="59">
        <f t="shared" si="65"/>
        <v>738.90742868990048</v>
      </c>
      <c r="CD71" s="59">
        <f ca="1">AVERAGE(OFFSET($CC$3,0,0,'Données projet'!$E$12+1,1))-AVERAGE(OFFSET($H$3,0,0,'Données projet'!$E$12+1,1))</f>
        <v>413.9352601863377</v>
      </c>
      <c r="CE71" s="59">
        <f t="shared" si="94"/>
        <v>255.13997349799286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0</v>
      </c>
      <c r="CL71" s="21">
        <f>EXP(-LN(2)/25)*CL70+(1-EXP(-LN(2)/25))/(LN(2)/25)*Calculateur!CG71*Calculateur!CI71*VLOOKUP('Données projet'!$B$12,Paramètres!$A$1:$I$89,3,0)*0.475*44/12</f>
        <v>11.541533244355463</v>
      </c>
      <c r="CM71" s="21">
        <f>EXP(-LN(2)/2)*CM70+(1-EXP(-LN(2)/2))/(LN(2)/2)*CG71*CJ71*VLOOKUP('Données projet'!$B$12,Paramètres!$A$1:$I$89,3,0)*0.475*44/12</f>
        <v>2.0244408669607079</v>
      </c>
      <c r="CN71" s="22">
        <f t="shared" si="66"/>
        <v>13.565974111316171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62.850800294432453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3</v>
      </c>
      <c r="CT71" s="12">
        <f>IF('Données projet'!$A$140&gt;35,CT70+CS71-DB70,IF(A71&lt;'Données projet'!$A$140,$CQ$205^A71,IF(A71='Données projet'!$A$140,'Données projet'!$B$140,CT70+CS71-DB70)))</f>
        <v>203.00000000000003</v>
      </c>
      <c r="CU71" s="17">
        <f>CT71*VLOOKUP('Données projet'!$B$13,Paramètres!$A$1:$I$89,3,0)*VLOOKUP('Données projet'!$B$13,Paramètres!$A$1:$I$89,5,0)</f>
        <v>177.34080000000003</v>
      </c>
      <c r="CV71" s="13">
        <f t="shared" si="95"/>
        <v>44.730051658603102</v>
      </c>
      <c r="CW71" s="20">
        <f t="shared" si="67"/>
        <v>386.77339997206712</v>
      </c>
      <c r="CX71" s="59">
        <f t="shared" si="68"/>
        <v>653.89300105165273</v>
      </c>
      <c r="CY71" s="59">
        <f ca="1">AVERAGE(OFFSET($CX$3,0,0,'Données projet'!$E$13+1,1))-AVERAGE(OFFSET($H$3,0,0,'Données projet'!$E$13+1,1))</f>
        <v>280.59827778697775</v>
      </c>
      <c r="CZ71" s="59">
        <f t="shared" si="96"/>
        <v>270.86588231964726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>
        <f>EXP(-LN(2)/35)*DF70+(1-EXP(-LN(2)/35))/(LN(2)/35)*DB71*DC71*VLOOKUP('Données projet'!$B$13,Paramètres!$A$1:$I$89,3,0)*0.475*44/12</f>
        <v>4.200281957446685</v>
      </c>
      <c r="DG71" s="21">
        <f>EXP(-LN(2)/25)*DG70+(1-EXP(-LN(2)/25))/(LN(2)/25)*Calculateur!DB71*Calculateur!DD71*VLOOKUP('Données projet'!$B$13,Paramètres!$A$1:$I$89,3,0)*0.475*44/12</f>
        <v>9.8099664766660499</v>
      </c>
      <c r="DH71" s="21">
        <f>EXP(-LN(2)/2)*DH70+(1-EXP(-LN(2)/2))/(LN(2)/2)*DB71*DE71*VLOOKUP('Données projet'!$B$13,Paramètres!$A$1:$I$89,3,0)*0.475*44/12</f>
        <v>0.73063338476457129</v>
      </c>
      <c r="DI71" s="22">
        <f t="shared" si="69"/>
        <v>14.740881818877307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62.850800294432453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4.2307692307692291</v>
      </c>
      <c r="DO71" s="12">
        <f>IF('Données projet'!$A$166&gt;35,DO70+DN71-DW70,IF(A71&lt;'Données projet'!$A$166,$DL$205^A71,IF(A71='Données projet'!$A$166,'Données projet'!$B$166,DO70+DN71-DW70)))</f>
        <v>134.4871794871795</v>
      </c>
      <c r="DP71" s="17">
        <f>DO71*VLOOKUP('Données projet'!$B$14,Paramètres!$A$1:$I$89,3,0)*VLOOKUP('Données projet'!$B$14,Paramètres!$A$1:$I$89,5,0)</f>
        <v>90.214000000000013</v>
      </c>
      <c r="DQ71" s="13">
        <f t="shared" si="97"/>
        <v>24.61682950474863</v>
      </c>
      <c r="DR71" s="20">
        <f t="shared" si="70"/>
        <v>199.99702805410388</v>
      </c>
      <c r="DS71" s="59">
        <f t="shared" si="71"/>
        <v>467.11662913368946</v>
      </c>
      <c r="DT71" s="59">
        <f ca="1">AVERAGE(OFFSET($DS$3,0,0,'Données projet'!$E$14+1,1))-AVERAGE(OFFSET($H$3,0,0,'Données projet'!$E$14+1,1))</f>
        <v>211.42385430331873</v>
      </c>
      <c r="DU71" s="59">
        <f t="shared" si="98"/>
        <v>146.84623106782686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>
        <f>EXP(-LN(2)/35)*EA70+(1-EXP(-LN(2)/35))/(LN(2)/35)*DW71*DX71*VLOOKUP('Données projet'!$B$14,Paramètres!$A$1:$I$89,3,0)*0.475*44/12</f>
        <v>0</v>
      </c>
      <c r="EB71" s="21">
        <f>EXP(-LN(2)/25)*EB70+(1-EXP(-LN(2)/25))/(LN(2)/25)*Calculateur!DW71*Calculateur!DY71*VLOOKUP('Données projet'!$B$14,Paramètres!$A$1:$I$89,3,0)*0.475*44/12</f>
        <v>6.7670013050871471</v>
      </c>
      <c r="EC71" s="21">
        <f>EXP(-LN(2)/2)*EC70+(1-EXP(-LN(2)/2))/(LN(2)/2)*DW71*DZ71*VLOOKUP('Données projet'!$B$14,Paramètres!$A$1:$I$89,3,0)*0.475*44/12</f>
        <v>0.95829501490562652</v>
      </c>
      <c r="ED71" s="22">
        <f t="shared" si="72"/>
        <v>7.7252963199927738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62.850800294432453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2.3076923076923066</v>
      </c>
      <c r="EJ71" s="12">
        <f>IF('Données projet'!$A$192&gt;35,EJ70+EI71-ER70,IF(A71&lt;'Données projet'!$A$192,$EG$205^A71,IF(A71='Données projet'!$A$192,'Données projet'!$B$192,EJ70+EI71-ER70)))</f>
        <v>78.717948717948701</v>
      </c>
      <c r="EK71" s="17">
        <f>EJ71*VLOOKUP('Données projet'!$B$15,Paramètres!$A$1:$I$89,3,0)*VLOOKUP('Données projet'!$B$15,Paramètres!$A$1:$I$89,5,0)</f>
        <v>84.731999999999985</v>
      </c>
      <c r="EL71" s="13">
        <f t="shared" si="99"/>
        <v>23.290284752520538</v>
      </c>
      <c r="EM71" s="20">
        <f t="shared" si="73"/>
        <v>188.13881261063989</v>
      </c>
      <c r="EN71" s="59">
        <f t="shared" si="74"/>
        <v>455.2584136902255</v>
      </c>
      <c r="EO71" s="59">
        <f ca="1">AVERAGE(OFFSET($EN$3,0,0,'Données projet'!$E$15+1,1))-AVERAGE(OFFSET($H$3,0,0,'Données projet'!$E$15+1,1))</f>
        <v>212.00478362779876</v>
      </c>
      <c r="EP71" s="59">
        <f t="shared" si="100"/>
        <v>133.62262474506707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>
        <f>EXP(-LN(2)/35)*EV70+(1-EXP(-LN(2)/35))/(LN(2)/35)*ER71*ES71*VLOOKUP('Données projet'!$B$15,Paramètres!$A$1:$I$89,3,0)*0.475*44/12</f>
        <v>0</v>
      </c>
      <c r="EW71" s="21">
        <f>EXP(-LN(2)/25)*EW70+(1-EXP(-LN(2)/25))/(LN(2)/25)*Calculateur!ER71*Calculateur!ET71*VLOOKUP('Données projet'!$B$15,Paramètres!$A$1:$I$89,3,0)*0.475*44/12</f>
        <v>3.9433649274700264</v>
      </c>
      <c r="EX71" s="21">
        <f>EXP(-LN(2)/2)*EX70+(1-EXP(-LN(2)/2))/(LN(2)/2)*ER71*EU71*VLOOKUP('Données projet'!$B$15,Paramètres!$A$1:$I$89,3,0)*0.475*44/12</f>
        <v>0.69893706222294028</v>
      </c>
      <c r="EY71" s="22">
        <f t="shared" si="75"/>
        <v>4.6423019896929665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62.850800294432453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2.3076923076923066</v>
      </c>
      <c r="FE71" s="12">
        <f>IF('Données projet'!$A$218&gt;35,FE70+FD71-FM70,IF(A71&lt;'Données projet'!$A$218,$FB$205^A71,IF(A71='Données projet'!$A$218,'Données projet'!$B$218,FE70+FD71-FM70)))</f>
        <v>78.717948717948701</v>
      </c>
      <c r="FF71" s="17">
        <f>FE71*VLOOKUP('Données projet'!$B$16,Paramètres!$A$1:$I$89,3,0)*VLOOKUP('Données projet'!$B$16,Paramètres!$A$1:$I$89,5,0)</f>
        <v>76.135999999999981</v>
      </c>
      <c r="FG71" s="13">
        <f t="shared" si="101"/>
        <v>21.189711247757238</v>
      </c>
      <c r="FH71" s="20">
        <f t="shared" si="76"/>
        <v>169.50894708984382</v>
      </c>
      <c r="FI71" s="59">
        <f t="shared" si="77"/>
        <v>436.62854816942945</v>
      </c>
      <c r="FJ71" s="59">
        <f ca="1">AVERAGE(OFFSET($FI$3,0,0,'Données projet'!$E$16+1,1))-AVERAGE(OFFSET($H$3,0,0,'Données projet'!$E$16+1,1))</f>
        <v>196.65742339093146</v>
      </c>
      <c r="FK71" s="59">
        <f t="shared" si="102"/>
        <v>125.41980634506001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>
        <f>EXP(-LN(2)/35)*FQ70+(1-EXP(-LN(2)/35))/(LN(2)/35)*FM71*FN71*VLOOKUP('Données projet'!$B$16,Paramètres!$A$1:$I$89,3,0)*0.475*44/12</f>
        <v>0</v>
      </c>
      <c r="FR71" s="21">
        <f>EXP(-LN(2)/25)*FR70+(1-EXP(-LN(2)/25))/(LN(2)/25)*Calculateur!FM71*Calculateur!FO71*VLOOKUP('Données projet'!$B$16,Paramètres!$A$1:$I$89,3,0)*0.475*44/12</f>
        <v>3.5433134130890092</v>
      </c>
      <c r="FS71" s="21">
        <f>EXP(-LN(2)/2)*FS70+(1-EXP(-LN(2)/2))/(LN(2)/2)*FM71*FP71*VLOOKUP('Données projet'!$B$16,Paramètres!$A$1:$I$89,3,0)*0.475*44/12</f>
        <v>0.62803040373655494</v>
      </c>
      <c r="FT71" s="22">
        <f t="shared" si="78"/>
        <v>4.1713438168255639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62.850800294432453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62.850800294432453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>
      <c r="A72" s="10">
        <f t="shared" si="85"/>
        <v>69</v>
      </c>
      <c r="B72" s="73">
        <f>'Scénario référence'!$B$16*5+'Scénario référence'!$B$17*0+'Scénario référence'!$B$18*5</f>
        <v>4.6999999999999993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3.6812879999999959</v>
      </c>
      <c r="D72" s="11">
        <f t="shared" si="86"/>
        <v>1.4577044643898815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18.579498264208642</v>
      </c>
      <c r="H72" s="67">
        <f t="shared" si="56"/>
        <v>196.68374520881238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62.974822926107969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11.896999999999997</v>
      </c>
      <c r="N72" s="13">
        <f>IF('Données projet'!$A$36&gt;35,N71+M72-V71,IF(A72&lt;'Données projet'!$A$36,$K$205^A72,IF(A72='Données projet'!$A$36,'Données projet'!$B$36,N71+M72-V71)))</f>
        <v>478.17299999999977</v>
      </c>
      <c r="O72" s="13">
        <f>N72*VLOOKUP('Données projet'!$B$9,Paramètres!$A$1:$I$89,3,0)*VLOOKUP('Données projet'!$B$9,Paramètres!$A$1:$I$89,5,0)</f>
        <v>285.94745399999988</v>
      </c>
      <c r="P72" s="13">
        <f t="shared" si="87"/>
        <v>68.222335259457765</v>
      </c>
      <c r="Q72" s="20">
        <f t="shared" si="54"/>
        <v>616.84571629355526</v>
      </c>
      <c r="R72" s="59">
        <f t="shared" si="55"/>
        <v>884.42006702261779</v>
      </c>
      <c r="S72" s="59">
        <f ca="1">AVERAGE(OFFSET($R$3,0,0,'Données projet'!$E$9+1,1))-AVERAGE(OFFSET($H$3,0,0,'Données projet'!$E$9+1,1))</f>
        <v>366.93249569585623</v>
      </c>
      <c r="T72" s="59">
        <f t="shared" si="88"/>
        <v>272.47262353368501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37.248263972753627</v>
      </c>
      <c r="AA72" s="21">
        <f>EXP(-LN(2)/25)*AA71+(1-EXP(-LN(2)/25))/(LN(2)/25)*Calculateur!V72*Calculateur!X72*VLOOKUP('Données projet'!$B$9,Paramètres!$A$1:$I$89,3,0)*0.475*44/12</f>
        <v>15.064109634054605</v>
      </c>
      <c r="AB72" s="21">
        <f>EXP(-LN(2)/2)*AB71+(1-EXP(-LN(2)/2))/(LN(2)/2)*V72*Y72*VLOOKUP('Données projet'!$B$9,Paramètres!$A$1:$I$89,3,0)*0.475*44/12</f>
        <v>0.43174341333900151</v>
      </c>
      <c r="AC72" s="22">
        <f t="shared" si="57"/>
        <v>52.744117020147229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62.974822926107969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16.234999999999999</v>
      </c>
      <c r="AI72" s="13">
        <f>IF('Données projet'!$A$62&gt;35,AI71+AH72-AQ71,IF(A72&lt;'Données projet'!$A$62,$AF$205^A72,IF(A72='Données projet'!$A$62,'Données projet'!$B$62,AI71+AH72-AQ71)))</f>
        <v>438.87999999999954</v>
      </c>
      <c r="AJ72" s="13">
        <f>AI72*VLOOKUP('Données projet'!$B$10,Paramètres!$A$1:$I$89,3,0)*VLOOKUP('Données projet'!$B$10,Paramètres!$A$1:$I$89,5,0)</f>
        <v>205.39583999999979</v>
      </c>
      <c r="AK72" s="13">
        <f t="shared" si="89"/>
        <v>50.928166476210805</v>
      </c>
      <c r="AL72" s="20">
        <f t="shared" si="58"/>
        <v>446.43097794606678</v>
      </c>
      <c r="AM72" s="59">
        <f t="shared" si="59"/>
        <v>714.00532867512936</v>
      </c>
      <c r="AN72" s="59">
        <f ca="1">AVERAGE(OFFSET($AM$3,0,0,'Données projet'!$E$10+1,1))-AVERAGE(OFFSET($H$3,0,0,'Données projet'!$E$10+1,1))</f>
        <v>382.89338473200229</v>
      </c>
      <c r="AO72" s="59">
        <f t="shared" si="90"/>
        <v>360.46248248971744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63.421801146440814</v>
      </c>
      <c r="AV72" s="21">
        <f>EXP(-LN(2)/25)*AV71+(1-EXP(-LN(2)/25))/(LN(2)/25)*Calculateur!AQ72*Calculateur!AS72*VLOOKUP('Données projet'!$B$10,Paramètres!$A$1:$I$89,3,0)*0.475*44/12</f>
        <v>18.320741048444351</v>
      </c>
      <c r="AW72" s="21">
        <f>EXP(-LN(2)/2)*AW71+(1-EXP(-LN(2)/2))/(LN(2)/2)*AQ72*AT72*VLOOKUP('Données projet'!$B$10,Paramètres!$A$1:$I$89,3,0)*0.475*44/12</f>
        <v>1.1646754854368391</v>
      </c>
      <c r="AX72" s="21">
        <f t="shared" si="60"/>
        <v>82.907217680322006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62.974822926107969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2.6923076923076907</v>
      </c>
      <c r="BD72" s="12">
        <f>IF('Données projet'!$A$88&gt;35,BD71+BC72-BL71,IF(A72&lt;'Données projet'!$A$88,$BA$205^A72,IF(A72='Données projet'!$A$88,'Données projet'!$B$88,BD71+BC72-BL71)))</f>
        <v>126.1538461538461</v>
      </c>
      <c r="BE72" s="13">
        <f>BD72*VLOOKUP('Données projet'!$B$11,Paramètres!$A$1:$I$89,3,0)*VLOOKUP('Données projet'!$B$11,Paramètres!$A$1:$I$89,5,0)</f>
        <v>110.20799999999997</v>
      </c>
      <c r="BF72" s="13">
        <f t="shared" si="91"/>
        <v>29.379985605489026</v>
      </c>
      <c r="BG72" s="20">
        <f t="shared" si="61"/>
        <v>243.11574159622663</v>
      </c>
      <c r="BH72" s="59">
        <f t="shared" si="62"/>
        <v>510.69009232528924</v>
      </c>
      <c r="BI72" s="59">
        <f ca="1">AVERAGE(OFFSET($BH$3,0,0,'Données projet'!$E$11+1,1))-AVERAGE(OFFSET($H$3,0,0,'Données projet'!$E$11+1,1))</f>
        <v>225.75484198243581</v>
      </c>
      <c r="BJ72" s="59">
        <f t="shared" si="92"/>
        <v>199.49566488421061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0.36888536364150404</v>
      </c>
      <c r="BQ72" s="21">
        <f>EXP(-LN(2)/25)*BQ71+(1-EXP(-LN(2)/25))/(LN(2)/25)*Calculateur!BL72*Calculateur!BN72*VLOOKUP('Données projet'!$B$11,Paramètres!$A$1:$I$89,3,0)*0.475*44/12</f>
        <v>12.516049965963292</v>
      </c>
      <c r="BR72" s="21">
        <f>EXP(-LN(2)/2)*BR71+(1-EXP(-LN(2)/2))/(LN(2)/2)*BL72*BO72*VLOOKUP('Données projet'!$B$11,Paramètres!$A$1:$I$89,3,0)*0.475*44/12</f>
        <v>0</v>
      </c>
      <c r="BS72" s="22">
        <f t="shared" si="63"/>
        <v>12.884935329604795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62.974822926107969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6.8</v>
      </c>
      <c r="BY72" s="12">
        <f>IF('Données projet'!$A$114&gt;35,BY71+BX72-CG71,IF(A72&lt;'Données projet'!$A$114,$BV$205^A72,IF(A72='Données projet'!$A$114,'Données projet'!$B$114,BY71+BX72-CG71)))</f>
        <v>235.19999999999996</v>
      </c>
      <c r="BZ72" s="13">
        <f>BY72*VLOOKUP('Données projet'!$B$12,Paramètres!$A$1:$I$89,3,0)*VLOOKUP('Données projet'!$B$12,Paramètres!$A$1:$I$89,5,0)</f>
        <v>223.81631999999999</v>
      </c>
      <c r="CA72" s="13">
        <f t="shared" si="93"/>
        <v>54.94351196072666</v>
      </c>
      <c r="CB72" s="20">
        <f t="shared" si="64"/>
        <v>485.50670733159899</v>
      </c>
      <c r="CC72" s="59">
        <f t="shared" si="65"/>
        <v>753.08105806066158</v>
      </c>
      <c r="CD72" s="59">
        <f ca="1">AVERAGE(OFFSET($CC$3,0,0,'Données projet'!$E$12+1,1))-AVERAGE(OFFSET($H$3,0,0,'Données projet'!$E$12+1,1))</f>
        <v>413.9352601863377</v>
      </c>
      <c r="CE72" s="59">
        <f t="shared" si="94"/>
        <v>255.13997349799286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0</v>
      </c>
      <c r="CL72" s="21">
        <f>EXP(-LN(2)/25)*CL71+(1-EXP(-LN(2)/25))/(LN(2)/25)*Calculateur!CG72*Calculateur!CI72*VLOOKUP('Données projet'!$B$12,Paramètres!$A$1:$I$89,3,0)*0.475*44/12</f>
        <v>11.225929410845708</v>
      </c>
      <c r="CM72" s="21">
        <f>EXP(-LN(2)/2)*CM71+(1-EXP(-LN(2)/2))/(LN(2)/2)*CG72*CJ72*VLOOKUP('Données projet'!$B$12,Paramètres!$A$1:$I$89,3,0)*0.475*44/12</f>
        <v>1.4314958651390899</v>
      </c>
      <c r="CN72" s="22">
        <f t="shared" si="66"/>
        <v>12.657425275984798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62.974822926107969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3</v>
      </c>
      <c r="CT72" s="12">
        <f>IF('Données projet'!$A$140&gt;35,CT71+CS72-DB71,IF(A72&lt;'Données projet'!$A$140,$CQ$205^A72,IF(A72='Données projet'!$A$140,'Données projet'!$B$140,CT71+CS72-DB71)))</f>
        <v>206.00000000000003</v>
      </c>
      <c r="CU72" s="17">
        <f>CT72*VLOOKUP('Données projet'!$B$13,Paramètres!$A$1:$I$89,3,0)*VLOOKUP('Données projet'!$B$13,Paramètres!$A$1:$I$89,5,0)</f>
        <v>179.96160000000006</v>
      </c>
      <c r="CV72" s="13">
        <f t="shared" si="95"/>
        <v>45.313642767960104</v>
      </c>
      <c r="CW72" s="20">
        <f t="shared" si="67"/>
        <v>392.3543811541972</v>
      </c>
      <c r="CX72" s="59">
        <f t="shared" si="68"/>
        <v>659.92873188325984</v>
      </c>
      <c r="CY72" s="59">
        <f ca="1">AVERAGE(OFFSET($CX$3,0,0,'Données projet'!$E$13+1,1))-AVERAGE(OFFSET($H$3,0,0,'Données projet'!$E$13+1,1))</f>
        <v>280.59827778697775</v>
      </c>
      <c r="CZ72" s="59">
        <f t="shared" si="96"/>
        <v>270.86588231964726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>
        <f>EXP(-LN(2)/35)*DF71+(1-EXP(-LN(2)/35))/(LN(2)/35)*DB72*DC72*VLOOKUP('Données projet'!$B$13,Paramètres!$A$1:$I$89,3,0)*0.475*44/12</f>
        <v>4.1179169901801806</v>
      </c>
      <c r="DG72" s="21">
        <f>EXP(-LN(2)/25)*DG71+(1-EXP(-LN(2)/25))/(LN(2)/25)*Calculateur!DB72*Calculateur!DD72*VLOOKUP('Données projet'!$B$13,Paramètres!$A$1:$I$89,3,0)*0.475*44/12</f>
        <v>9.5417124274779006</v>
      </c>
      <c r="DH72" s="21">
        <f>EXP(-LN(2)/2)*DH71+(1-EXP(-LN(2)/2))/(LN(2)/2)*DB72*DE72*VLOOKUP('Données projet'!$B$13,Paramètres!$A$1:$I$89,3,0)*0.475*44/12</f>
        <v>0.51663582092830829</v>
      </c>
      <c r="DI72" s="22">
        <f t="shared" si="69"/>
        <v>14.176265238586389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62.974822926107969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4.2307692307692291</v>
      </c>
      <c r="DO72" s="12">
        <f>IF('Données projet'!$A$166&gt;35,DO71+DN72-DW71,IF(A72&lt;'Données projet'!$A$166,$DL$205^A72,IF(A72='Données projet'!$A$166,'Données projet'!$B$166,DO71+DN72-DW71)))</f>
        <v>138.71794871794873</v>
      </c>
      <c r="DP72" s="17">
        <f>DO72*VLOOKUP('Données projet'!$B$14,Paramètres!$A$1:$I$89,3,0)*VLOOKUP('Données projet'!$B$14,Paramètres!$A$1:$I$89,5,0)</f>
        <v>93.052000000000007</v>
      </c>
      <c r="DQ72" s="13">
        <f t="shared" si="97"/>
        <v>25.299859187145266</v>
      </c>
      <c r="DR72" s="20">
        <f t="shared" si="70"/>
        <v>206.12948808427799</v>
      </c>
      <c r="DS72" s="59">
        <f t="shared" si="71"/>
        <v>473.70383881334055</v>
      </c>
      <c r="DT72" s="59">
        <f ca="1">AVERAGE(OFFSET($DS$3,0,0,'Données projet'!$E$14+1,1))-AVERAGE(OFFSET($H$3,0,0,'Données projet'!$E$14+1,1))</f>
        <v>211.42385430331873</v>
      </c>
      <c r="DU72" s="59">
        <f t="shared" si="98"/>
        <v>146.84623106782686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>
        <f>EXP(-LN(2)/35)*EA71+(1-EXP(-LN(2)/35))/(LN(2)/35)*DW72*DX72*VLOOKUP('Données projet'!$B$14,Paramètres!$A$1:$I$89,3,0)*0.475*44/12</f>
        <v>0</v>
      </c>
      <c r="EB72" s="21">
        <f>EXP(-LN(2)/25)*EB71+(1-EXP(-LN(2)/25))/(LN(2)/25)*Calculateur!DW72*Calculateur!DY72*VLOOKUP('Données projet'!$B$14,Paramètres!$A$1:$I$89,3,0)*0.475*44/12</f>
        <v>6.5819572985384065</v>
      </c>
      <c r="EC72" s="21">
        <f>EXP(-LN(2)/2)*EC71+(1-EXP(-LN(2)/2))/(LN(2)/2)*DW72*DZ72*VLOOKUP('Données projet'!$B$14,Paramètres!$A$1:$I$89,3,0)*0.475*44/12</f>
        <v>0.67761690341703218</v>
      </c>
      <c r="ED72" s="22">
        <f t="shared" si="72"/>
        <v>7.2595742019554388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62.974822926107969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2.3076923076923066</v>
      </c>
      <c r="EJ72" s="12">
        <f>IF('Données projet'!$A$192&gt;35,EJ71+EI72-ER71,IF(A72&lt;'Données projet'!$A$192,$EG$205^A72,IF(A72='Données projet'!$A$192,'Données projet'!$B$192,EJ71+EI72-ER71)))</f>
        <v>81.025641025641008</v>
      </c>
      <c r="EK72" s="17">
        <f>EJ72*VLOOKUP('Données projet'!$B$15,Paramètres!$A$1:$I$89,3,0)*VLOOKUP('Données projet'!$B$15,Paramètres!$A$1:$I$89,5,0)</f>
        <v>87.21599999999998</v>
      </c>
      <c r="EL72" s="13">
        <f t="shared" si="99"/>
        <v>23.89256828979055</v>
      </c>
      <c r="EM72" s="20">
        <f t="shared" si="73"/>
        <v>193.51408977138519</v>
      </c>
      <c r="EN72" s="59">
        <f t="shared" si="74"/>
        <v>461.08844050044775</v>
      </c>
      <c r="EO72" s="59">
        <f ca="1">AVERAGE(OFFSET($EN$3,0,0,'Données projet'!$E$15+1,1))-AVERAGE(OFFSET($H$3,0,0,'Données projet'!$E$15+1,1))</f>
        <v>212.00478362779876</v>
      </c>
      <c r="EP72" s="59">
        <f t="shared" si="100"/>
        <v>133.62262474506707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>
        <f>EXP(-LN(2)/35)*EV71+(1-EXP(-LN(2)/35))/(LN(2)/35)*ER72*ES72*VLOOKUP('Données projet'!$B$15,Paramètres!$A$1:$I$89,3,0)*0.475*44/12</f>
        <v>0</v>
      </c>
      <c r="EW72" s="21">
        <f>EXP(-LN(2)/25)*EW71+(1-EXP(-LN(2)/25))/(LN(2)/25)*Calculateur!ER72*Calculateur!ET72*VLOOKUP('Données projet'!$B$15,Paramètres!$A$1:$I$89,3,0)*0.475*44/12</f>
        <v>3.8355334061558097</v>
      </c>
      <c r="EX72" s="21">
        <f>EXP(-LN(2)/2)*EX71+(1-EXP(-LN(2)/2))/(LN(2)/2)*ER72*EU72*VLOOKUP('Données projet'!$B$15,Paramètres!$A$1:$I$89,3,0)*0.475*44/12</f>
        <v>0.49422313632044501</v>
      </c>
      <c r="EY72" s="22">
        <f t="shared" si="75"/>
        <v>4.3297565424762547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62.974822926107969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2.3076923076923066</v>
      </c>
      <c r="FE72" s="12">
        <f>IF('Données projet'!$A$218&gt;35,FE71+FD72-FM71,IF(A72&lt;'Données projet'!$A$218,$FB$205^A72,IF(A72='Données projet'!$A$218,'Données projet'!$B$218,FE71+FD72-FM71)))</f>
        <v>81.025641025641008</v>
      </c>
      <c r="FF72" s="17">
        <f>FE72*VLOOKUP('Données projet'!$B$16,Paramètres!$A$1:$I$89,3,0)*VLOOKUP('Données projet'!$B$16,Paramètres!$A$1:$I$89,5,0)</f>
        <v>78.367999999999995</v>
      </c>
      <c r="FG72" s="13">
        <f t="shared" si="101"/>
        <v>21.737674245188956</v>
      </c>
      <c r="FH72" s="20">
        <f t="shared" si="76"/>
        <v>174.35071597703742</v>
      </c>
      <c r="FI72" s="59">
        <f t="shared" si="77"/>
        <v>441.92506670609998</v>
      </c>
      <c r="FJ72" s="59">
        <f ca="1">AVERAGE(OFFSET($FI$3,0,0,'Données projet'!$E$16+1,1))-AVERAGE(OFFSET($H$3,0,0,'Données projet'!$E$16+1,1))</f>
        <v>196.65742339093146</v>
      </c>
      <c r="FK72" s="59">
        <f t="shared" si="102"/>
        <v>125.41980634506001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>
        <f>EXP(-LN(2)/35)*FQ71+(1-EXP(-LN(2)/35))/(LN(2)/35)*FM72*FN72*VLOOKUP('Données projet'!$B$16,Paramètres!$A$1:$I$89,3,0)*0.475*44/12</f>
        <v>0</v>
      </c>
      <c r="FR72" s="21">
        <f>EXP(-LN(2)/25)*FR71+(1-EXP(-LN(2)/25))/(LN(2)/25)*Calculateur!FM72*Calculateur!FO72*VLOOKUP('Données projet'!$B$16,Paramètres!$A$1:$I$89,3,0)*0.475*44/12</f>
        <v>3.4464213214733364</v>
      </c>
      <c r="FS72" s="21">
        <f>EXP(-LN(2)/2)*FS71+(1-EXP(-LN(2)/2))/(LN(2)/2)*FM72*FP72*VLOOKUP('Données projet'!$B$16,Paramètres!$A$1:$I$89,3,0)*0.475*44/12</f>
        <v>0.44408455727344326</v>
      </c>
      <c r="FT72" s="22">
        <f t="shared" si="78"/>
        <v>3.8905058787467794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62.974822926107969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62.974822926107969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>
      <c r="A73" s="10">
        <f t="shared" si="85"/>
        <v>70</v>
      </c>
      <c r="B73" s="73">
        <f>'Scénario référence'!$B$16*5+'Scénario référence'!$B$17*0+'Scénario référence'!$B$18*5</f>
        <v>4.6999999999999993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3.7346399999999957</v>
      </c>
      <c r="D73" s="11">
        <f t="shared" si="86"/>
        <v>1.4763558710016254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18.612847210428821</v>
      </c>
      <c r="H73" s="67">
        <f t="shared" si="56"/>
        <v>196.8091511419945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63.096694042396983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>
        <f>VLOOKUP(A73,'Données projet'!$A$35:$I$55,2,0)</f>
        <v>490.07</v>
      </c>
      <c r="L73" s="12">
        <f>VLOOKUP(A73,'Données projet'!$A$35:$I$55,9,0)</f>
        <v>11.896999999999997</v>
      </c>
      <c r="M73" s="12">
        <f t="array" ref="M73">INDEX(L:L,MIN(IF(ISNUMBER(L73:L269),ROW(L73:L269),"")))</f>
        <v>11.896999999999997</v>
      </c>
      <c r="N73" s="13">
        <f>IF('Données projet'!$A$36&gt;35,N72+M73-V72,IF(A73&lt;'Données projet'!$A$36,$K$205^A73,IF(A73='Données projet'!$A$36,'Données projet'!$B$36,N72+M73-V72)))</f>
        <v>490.06999999999977</v>
      </c>
      <c r="O73" s="13">
        <f>N73*VLOOKUP('Données projet'!$B$9,Paramètres!$A$1:$I$89,3,0)*VLOOKUP('Données projet'!$B$9,Paramètres!$A$1:$I$89,5,0)</f>
        <v>293.06185999999991</v>
      </c>
      <c r="P73" s="13">
        <f t="shared" si="87"/>
        <v>69.719988019761743</v>
      </c>
      <c r="Q73" s="20">
        <f t="shared" si="54"/>
        <v>631.84505196775149</v>
      </c>
      <c r="R73" s="59">
        <f t="shared" si="55"/>
        <v>899.86626345654054</v>
      </c>
      <c r="S73" s="59">
        <f ca="1">AVERAGE(OFFSET($R$3,0,0,'Données projet'!$E$9+1,1))-AVERAGE(OFFSET($H$3,0,0,'Données projet'!$E$9+1,1))</f>
        <v>366.93249569585623</v>
      </c>
      <c r="T73" s="59">
        <f t="shared" si="88"/>
        <v>272.47262353368501</v>
      </c>
      <c r="U73" s="15">
        <f>IF(ISNA(VLOOKUP(A73,'Données projet'!$A$35:$I$55,3,0)),0,VLOOKUP(A73,'Données projet'!$A$35:$I$55,3,0))</f>
        <v>7</v>
      </c>
      <c r="V73" s="15">
        <f>IF(ISNA(VLOOKUP(A73,'Données projet'!$A$35:$I$55,4,0)),0,VLOOKUP(A73,'Données projet'!$A$35:$I$55,4,0))</f>
        <v>67.88</v>
      </c>
      <c r="W73" s="16">
        <f>IF(ISNA(VLOOKUP(A73,'Données projet'!$A$35:$I$55,5,0)),0%,VLOOKUP(A73,'Données projet'!$A$35:$I$55,5,0)*VLOOKUP('Données projet'!$B$9,Paramètres!$A$1:$I$89,7,0))</f>
        <v>0.27</v>
      </c>
      <c r="X73" s="16">
        <f>IF(ISNA(VLOOKUP(A73,'Données projet'!$A$35:$I$55,6,0)),0%,VLOOKUP(A73,'Données projet'!$A$35:$I$55,6,0)*VLOOKUP('Données projet'!$B$9,Paramètres!$A$1:$I$89,7,0))</f>
        <v>9.0000000000000011E-2</v>
      </c>
      <c r="Y73" s="16">
        <f>IF(ISNA(VLOOKUP(A73,'Données projet'!$A$35:$I$55,7,0)),0%,VLOOKUP(A73,'Données projet'!$A$35:$I$55,7,0))</f>
        <v>0.2</v>
      </c>
      <c r="Z73" s="21">
        <f>EXP(-LN(2)/35)*Z72+(1-EXP(-LN(2)/35))/(LN(2)/35)*V73*W73*VLOOKUP('Données projet'!$B$9,Paramètres!$A$1:$I$89,3,0)*0.475*44/12</f>
        <v>51.056868378126822</v>
      </c>
      <c r="AA73" s="21">
        <f>EXP(-LN(2)/25)*AA72+(1-EXP(-LN(2)/25))/(LN(2)/25)*Calculateur!V73*Calculateur!X73*VLOOKUP('Données projet'!$B$9,Paramètres!$A$1:$I$89,3,0)*0.475*44/12</f>
        <v>19.479438924117112</v>
      </c>
      <c r="AB73" s="21">
        <f>EXP(-LN(2)/2)*AB72+(1-EXP(-LN(2)/2))/(LN(2)/2)*V73*Y73*VLOOKUP('Données projet'!$B$9,Paramètres!$A$1:$I$89,3,0)*0.475*44/12</f>
        <v>9.4972577266937765</v>
      </c>
      <c r="AC73" s="22">
        <f t="shared" si="57"/>
        <v>80.033565028937701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63.096694042396983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16.234999999999999</v>
      </c>
      <c r="AI73" s="13">
        <f>IF('Données projet'!$A$62&gt;35,AI72+AH73-AQ72,IF(A73&lt;'Données projet'!$A$62,$AF$205^A73,IF(A73='Données projet'!$A$62,'Données projet'!$B$62,AI72+AH73-AQ72)))</f>
        <v>455.11499999999955</v>
      </c>
      <c r="AJ73" s="13">
        <f>AI73*VLOOKUP('Données projet'!$B$10,Paramètres!$A$1:$I$89,3,0)*VLOOKUP('Données projet'!$B$10,Paramètres!$A$1:$I$89,5,0)</f>
        <v>212.99381999999977</v>
      </c>
      <c r="AK73" s="13">
        <f t="shared" si="89"/>
        <v>52.589270729145341</v>
      </c>
      <c r="AL73" s="20">
        <f t="shared" si="58"/>
        <v>462.55721635326108</v>
      </c>
      <c r="AM73" s="59">
        <f t="shared" si="59"/>
        <v>730.57842784205013</v>
      </c>
      <c r="AN73" s="59">
        <f ca="1">AVERAGE(OFFSET($AM$3,0,0,'Données projet'!$E$10+1,1))-AVERAGE(OFFSET($H$3,0,0,'Données projet'!$E$10+1,1))</f>
        <v>382.89338473200229</v>
      </c>
      <c r="AO73" s="59">
        <f t="shared" si="90"/>
        <v>360.46248248971744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62.178138309438133</v>
      </c>
      <c r="AV73" s="21">
        <f>EXP(-LN(2)/25)*AV72+(1-EXP(-LN(2)/25))/(LN(2)/25)*Calculateur!AQ73*Calculateur!AS73*VLOOKUP('Données projet'!$B$10,Paramètres!$A$1:$I$89,3,0)*0.475*44/12</f>
        <v>17.819759421028742</v>
      </c>
      <c r="AW73" s="21">
        <f>EXP(-LN(2)/2)*AW72+(1-EXP(-LN(2)/2))/(LN(2)/2)*AQ73*AT73*VLOOKUP('Données projet'!$B$10,Paramètres!$A$1:$I$89,3,0)*0.475*44/12</f>
        <v>0.82354993363412299</v>
      </c>
      <c r="AX73" s="21">
        <f t="shared" si="60"/>
        <v>80.821447664101001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63.096694042396983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>
        <f>VLOOKUP(A73,'Données projet'!$A$87:$I$107,2,0)</f>
        <v>128.84615384615384</v>
      </c>
      <c r="BB73" s="12">
        <f>VLOOKUP(A73,'Données projet'!$A$87:$I$107,9,0)</f>
        <v>2.6923076923076907</v>
      </c>
      <c r="BC73" s="12">
        <f t="array" ref="BC73">INDEX(BB:BB,MIN(IF(ISNUMBER(BB73:BB269),ROW(BB73:BB269),"")))</f>
        <v>2.6923076923076907</v>
      </c>
      <c r="BD73" s="12">
        <f>IF('Données projet'!$A$88&gt;35,BD72+BC73-BL72,IF(A73&lt;'Données projet'!$A$88,$BA$205^A73,IF(A73='Données projet'!$A$88,'Données projet'!$B$88,BD72+BC73-BL72)))</f>
        <v>128.84615384615378</v>
      </c>
      <c r="BE73" s="13">
        <f>BD73*VLOOKUP('Données projet'!$B$11,Paramètres!$A$1:$I$89,3,0)*VLOOKUP('Données projet'!$B$11,Paramètres!$A$1:$I$89,5,0)</f>
        <v>112.55999999999997</v>
      </c>
      <c r="BF73" s="13">
        <f t="shared" si="91"/>
        <v>29.933330570949426</v>
      </c>
      <c r="BG73" s="20">
        <f t="shared" si="61"/>
        <v>248.1758840777369</v>
      </c>
      <c r="BH73" s="59">
        <f t="shared" si="62"/>
        <v>516.19709556652583</v>
      </c>
      <c r="BI73" s="59">
        <f ca="1">AVERAGE(OFFSET($BH$3,0,0,'Données projet'!$E$11+1,1))-AVERAGE(OFFSET($H$3,0,0,'Données projet'!$E$11+1,1))</f>
        <v>225.75484198243581</v>
      </c>
      <c r="BJ73" s="59">
        <f t="shared" si="92"/>
        <v>199.49566488421061</v>
      </c>
      <c r="BK73" s="15">
        <f>IF(ISNA(VLOOKUP(A73,'Données projet'!$A$87:$I$107,3,0)),0,VLOOKUP(A73,'Données projet'!$A$87:$I$107,3,0))</f>
        <v>11</v>
      </c>
      <c r="BL73" s="15">
        <f>IF(ISNA(VLOOKUP(A73,'Données projet'!$A$87:$I$107,4,0)),0,VLOOKUP(A73,'Données projet'!$A$87:$I$107,4,0))</f>
        <v>8.9743589743589745</v>
      </c>
      <c r="BM73" s="16">
        <f>IF(ISNA(VLOOKUP(A73,'Données projet'!$A$87:$I$107,5,0)),0%,VLOOKUP(A73,'Données projet'!$A$87:$I$107,5,0)*VLOOKUP('Données projet'!$B$11,Paramètres!$A$1:$I$89,7,0))</f>
        <v>4.3000000000000003E-2</v>
      </c>
      <c r="BN73" s="16">
        <f>IF(ISNA(VLOOKUP(A73,'Données projet'!$A$87:$I$107,6,0)),0%,VLOOKUP(A73,'Données projet'!$A$87:$I$107,6,0)*VLOOKUP('Données projet'!$B$11,Paramètres!$A$1:$I$89,7,0))</f>
        <v>0.215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0.73432792100649746</v>
      </c>
      <c r="BQ73" s="21">
        <f>EXP(-LN(2)/25)*BQ72+(1-EXP(-LN(2)/25))/(LN(2)/25)*Calculateur!BL73*Calculateur!BN73*VLOOKUP('Données projet'!$B$11,Paramètres!$A$1:$I$89,3,0)*0.475*44/12</f>
        <v>14.029841952698487</v>
      </c>
      <c r="BR73" s="21">
        <f>EXP(-LN(2)/2)*BR72+(1-EXP(-LN(2)/2))/(LN(2)/2)*BL73*BO73*VLOOKUP('Données projet'!$B$11,Paramètres!$A$1:$I$89,3,0)*0.475*44/12</f>
        <v>0</v>
      </c>
      <c r="BS73" s="22">
        <f t="shared" si="63"/>
        <v>14.764169873704985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63.096694042396983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>
        <f>VLOOKUP(A73,'Données projet'!$A$113:$I$133,2,0)</f>
        <v>242</v>
      </c>
      <c r="BW73" s="12">
        <f>VLOOKUP(A73,'Données projet'!$A$113:$I$133,9,0)</f>
        <v>6.8</v>
      </c>
      <c r="BX73" s="12">
        <f t="array" ref="BX73">INDEX(BW:BW,MIN(IF(ISNUMBER(BW73:BW269),ROW(BW73:BW269),"")))</f>
        <v>6.8</v>
      </c>
      <c r="BY73" s="12">
        <f>IF('Données projet'!$A$114&gt;35,BY72+BX73-CG72,IF(A73&lt;'Données projet'!$A$114,$BV$205^A73,IF(A73='Données projet'!$A$114,'Données projet'!$B$114,BY72+BX73-CG72)))</f>
        <v>241.99999999999997</v>
      </c>
      <c r="BZ73" s="13">
        <f>BY73*VLOOKUP('Données projet'!$B$12,Paramètres!$A$1:$I$89,3,0)*VLOOKUP('Données projet'!$B$12,Paramètres!$A$1:$I$89,5,0)</f>
        <v>230.28719999999998</v>
      </c>
      <c r="CA73" s="13">
        <f t="shared" si="93"/>
        <v>56.344776374959956</v>
      </c>
      <c r="CB73" s="20">
        <f t="shared" si="64"/>
        <v>499.2173588530552</v>
      </c>
      <c r="CC73" s="59">
        <f t="shared" si="65"/>
        <v>767.23857034184425</v>
      </c>
      <c r="CD73" s="59">
        <f ca="1">AVERAGE(OFFSET($CC$3,0,0,'Données projet'!$E$12+1,1))-AVERAGE(OFFSET($H$3,0,0,'Données projet'!$E$12+1,1))</f>
        <v>413.9352601863377</v>
      </c>
      <c r="CE73" s="59">
        <f t="shared" si="94"/>
        <v>255.13997349799286</v>
      </c>
      <c r="CF73" s="15">
        <f>IF(ISNA(VLOOKUP(A73,'Données projet'!$A$113:$I$133,3,0)),0,VLOOKUP(A73,'Données projet'!$A$113:$I$133,3,0))</f>
        <v>10</v>
      </c>
      <c r="CG73" s="15">
        <f>IF(ISNA(VLOOKUP(A73,'Données projet'!$A$113:$I$133,4,0)),0,VLOOKUP(A73,'Données projet'!$A$113:$I$133,4,0))</f>
        <v>21</v>
      </c>
      <c r="CH73" s="16">
        <f>IF(ISNA(VLOOKUP(A73,'Données projet'!$A$113:$I$133,5,0)),0%,VLOOKUP(A73,'Données projet'!$A$113:$I$133,5,0)*VLOOKUP('Données projet'!$B$12,Paramètres!$A$1:$I$89,7,0))</f>
        <v>0.1075</v>
      </c>
      <c r="CI73" s="16">
        <f>IF(ISNA(VLOOKUP(A73,'Données projet'!$A$113:$I$133,6,0)),0%,VLOOKUP(A73,'Données projet'!$A$113:$I$133,6,0)*VLOOKUP('Données projet'!$B$12,Paramètres!$A$1:$I$89,7,0))</f>
        <v>0.1075</v>
      </c>
      <c r="CJ73" s="16">
        <f>IF(ISNA(VLOOKUP(A73,'Données projet'!$A$113:$I$133,7,0)),0%,VLOOKUP(A73,'Données projet'!$A$113:$I$133,7,0))</f>
        <v>0.25</v>
      </c>
      <c r="CK73" s="21">
        <f>EXP(-LN(2)/35)*CK72+(1-EXP(-LN(2)/35))/(LN(2)/35)*CG73*CH73*VLOOKUP('Données projet'!$B$12,Paramètres!$A$1:$I$89,3,0)*0.475*44/12</f>
        <v>2.3748123717167258</v>
      </c>
      <c r="CL73" s="21">
        <f>EXP(-LN(2)/25)*CL72+(1-EXP(-LN(2)/25))/(LN(2)/25)*Calculateur!CG73*Calculateur!CI73*VLOOKUP('Données projet'!$B$12,Paramètres!$A$1:$I$89,3,0)*0.475*44/12</f>
        <v>13.284417611294986</v>
      </c>
      <c r="CM73" s="21">
        <f>EXP(-LN(2)/2)*CM72+(1-EXP(-LN(2)/2))/(LN(2)/2)*CG73*CJ73*VLOOKUP('Données projet'!$B$12,Paramètres!$A$1:$I$89,3,0)*0.475*44/12</f>
        <v>5.7259865461574133</v>
      </c>
      <c r="CN73" s="22">
        <f t="shared" si="66"/>
        <v>21.385216529169124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63.096694042396983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>
        <f>VLOOKUP(A73,'Données projet'!$A$139:$I$159,2,0)</f>
        <v>209</v>
      </c>
      <c r="CR73" s="12">
        <f>VLOOKUP(A73,'Données projet'!$A$139:$I$159,9,0)</f>
        <v>3</v>
      </c>
      <c r="CS73" s="12">
        <f t="array" ref="CS73">INDEX(CR:CR,MIN(IF(ISNUMBER(CR73:CR269),ROW(CR73:CR269),"")))</f>
        <v>3</v>
      </c>
      <c r="CT73" s="12">
        <f>IF('Données projet'!$A$140&gt;35,CT72+CS73-DB72,IF(A73&lt;'Données projet'!$A$140,$CQ$205^A73,IF(A73='Données projet'!$A$140,'Données projet'!$B$140,CT72+CS73-DB72)))</f>
        <v>209.00000000000003</v>
      </c>
      <c r="CU73" s="17">
        <f>CT73*VLOOKUP('Données projet'!$B$13,Paramètres!$A$1:$I$89,3,0)*VLOOKUP('Données projet'!$B$13,Paramètres!$A$1:$I$89,5,0)</f>
        <v>182.58240000000004</v>
      </c>
      <c r="CV73" s="13">
        <f t="shared" si="95"/>
        <v>45.896245406460288</v>
      </c>
      <c r="CW73" s="20">
        <f t="shared" si="67"/>
        <v>397.93364074958504</v>
      </c>
      <c r="CX73" s="59">
        <f t="shared" si="68"/>
        <v>665.95485223837409</v>
      </c>
      <c r="CY73" s="59">
        <f ca="1">AVERAGE(OFFSET($CX$3,0,0,'Données projet'!$E$13+1,1))-AVERAGE(OFFSET($H$3,0,0,'Données projet'!$E$13+1,1))</f>
        <v>280.59827778697775</v>
      </c>
      <c r="CZ73" s="59">
        <f t="shared" si="96"/>
        <v>270.86588231964726</v>
      </c>
      <c r="DA73" s="15">
        <f>IF(ISNA(VLOOKUP(A73,'Données projet'!$A$139:$I$159,3,0)),0,VLOOKUP(A73,'Données projet'!$A$139:$I$159,3,0))</f>
        <v>11</v>
      </c>
      <c r="DB73" s="15">
        <f>IF(ISNA(VLOOKUP(A73,'Données projet'!$A$139:$I$159,4,0)),0,VLOOKUP(A73,'Données projet'!$A$139:$I$159,4,0))</f>
        <v>8</v>
      </c>
      <c r="DC73" s="16">
        <f>IF(ISNA(VLOOKUP(A73,'Données projet'!$A$139:$I$159,5,0)),0%,VLOOKUP(A73,'Données projet'!$A$139:$I$159,5,0)*VLOOKUP('Données projet'!$B$13,Paramètres!$A$1:$I$89,7,0))</f>
        <v>0.13250000000000001</v>
      </c>
      <c r="DD73" s="16">
        <f>IF(ISNA(VLOOKUP(A73,'Données projet'!$A$139:$I$159,6,0)),0%,VLOOKUP(A73,'Données projet'!$A$139:$I$159,6,0)*VLOOKUP('Données projet'!$B$13,Paramètres!$A$1:$I$89,7,0))</f>
        <v>0.13250000000000001</v>
      </c>
      <c r="DE73" s="16">
        <f>IF(ISNA(VLOOKUP(A73,'Données projet'!$A$139:$I$159,7,0)),0%,VLOOKUP(A73,'Données projet'!$A$139:$I$159,7,0))</f>
        <v>0.25</v>
      </c>
      <c r="DF73" s="21">
        <f>EXP(-LN(2)/35)*DF72+(1-EXP(-LN(2)/35))/(LN(2)/35)*DB73*DC73*VLOOKUP('Données projet'!$B$13,Paramètres!$A$1:$I$89,3,0)*0.475*44/12</f>
        <v>5.0608504086576875</v>
      </c>
      <c r="DG73" s="21">
        <f>EXP(-LN(2)/25)*DG72+(1-EXP(-LN(2)/25))/(LN(2)/25)*Calculateur!DB73*Calculateur!DD73*VLOOKUP('Données projet'!$B$13,Paramètres!$A$1:$I$89,3,0)*0.475*44/12</f>
        <v>10.300446427300773</v>
      </c>
      <c r="DH73" s="21">
        <f>EXP(-LN(2)/2)*DH72+(1-EXP(-LN(2)/2))/(LN(2)/2)*DB73*DE73*VLOOKUP('Données projet'!$B$13,Paramètres!$A$1:$I$89,3,0)*0.475*44/12</f>
        <v>2.0138469175808202</v>
      </c>
      <c r="DI73" s="22">
        <f t="shared" si="69"/>
        <v>17.37514375353928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63.096694042396983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>
        <f>VLOOKUP(A73,'Données projet'!$A$165:$I$185,2,0)</f>
        <v>142.94871794871796</v>
      </c>
      <c r="DM73" s="12">
        <f>VLOOKUP(A73,'Données projet'!$A$165:$I$185,9,0)</f>
        <v>4.2307692307692291</v>
      </c>
      <c r="DN73" s="12">
        <f t="array" ref="DN73">INDEX(DM:DM,MIN(IF(ISNUMBER(DM73:DM269),ROW(DM73:DM269),"")))</f>
        <v>4.2307692307692291</v>
      </c>
      <c r="DO73" s="12">
        <f>IF('Données projet'!$A$166&gt;35,DO72+DN73-DW72,IF(A73&lt;'Données projet'!$A$166,$DL$205^A73,IF(A73='Données projet'!$A$166,'Données projet'!$B$166,DO72+DN73-DW72)))</f>
        <v>142.94871794871796</v>
      </c>
      <c r="DP73" s="17">
        <f>DO73*VLOOKUP('Données projet'!$B$14,Paramètres!$A$1:$I$89,3,0)*VLOOKUP('Données projet'!$B$14,Paramètres!$A$1:$I$89,5,0)</f>
        <v>95.890000000000015</v>
      </c>
      <c r="DQ73" s="13">
        <f t="shared" si="97"/>
        <v>25.980467953570223</v>
      </c>
      <c r="DR73" s="20">
        <f t="shared" si="70"/>
        <v>212.25773168580147</v>
      </c>
      <c r="DS73" s="59">
        <f t="shared" si="71"/>
        <v>480.27894317459049</v>
      </c>
      <c r="DT73" s="59">
        <f ca="1">AVERAGE(OFFSET($DS$3,0,0,'Données projet'!$E$14+1,1))-AVERAGE(OFFSET($H$3,0,0,'Données projet'!$E$14+1,1))</f>
        <v>211.42385430331873</v>
      </c>
      <c r="DU73" s="59">
        <f t="shared" si="98"/>
        <v>146.84623106782686</v>
      </c>
      <c r="DV73" s="15">
        <f>IF(ISNA(VLOOKUP(A73,'Données projet'!$A$165:$I$185,3,0)),0,VLOOKUP(A73,'Données projet'!$A$165:$I$185,3,0))</f>
        <v>11</v>
      </c>
      <c r="DW73" s="15">
        <f>IF(ISNA(VLOOKUP(A73,'Données projet'!$A$165:$I$185,4,0)),0,VLOOKUP(A73,'Données projet'!$A$165:$I$185,4,0))</f>
        <v>14.102564102564102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0.13250000000000001</v>
      </c>
      <c r="DZ73" s="16">
        <f>IF(ISNA(VLOOKUP(A73,'Données projet'!$A$165:$I$185,7,0)),0%,VLOOKUP(A73,'Données projet'!$A$165:$I$185,7,0))</f>
        <v>0.25</v>
      </c>
      <c r="EA73" s="21">
        <f>EXP(-LN(2)/35)*EA72+(1-EXP(-LN(2)/35))/(LN(2)/35)*DW73*DX73*VLOOKUP('Données projet'!$B$14,Paramètres!$A$1:$I$89,3,0)*0.475*44/12</f>
        <v>0</v>
      </c>
      <c r="EB73" s="21">
        <f>EXP(-LN(2)/25)*EB72+(1-EXP(-LN(2)/25))/(LN(2)/25)*Calculateur!DW73*Calculateur!DY73*VLOOKUP('Données projet'!$B$14,Paramètres!$A$1:$I$89,3,0)*0.475*44/12</f>
        <v>7.7821693380080861</v>
      </c>
      <c r="EC73" s="21">
        <f>EXP(-LN(2)/2)*EC72+(1-EXP(-LN(2)/2))/(LN(2)/2)*DW73*DZ73*VLOOKUP('Données projet'!$B$14,Paramètres!$A$1:$I$89,3,0)*0.475*44/12</f>
        <v>2.7105886604945568</v>
      </c>
      <c r="ED73" s="22">
        <f t="shared" si="72"/>
        <v>10.492757998502643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63.096694042396983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>
        <f>VLOOKUP(A73,'Données projet'!$A$191:$I$211,2,0)</f>
        <v>83.333333333333329</v>
      </c>
      <c r="EH73" s="12">
        <f>VLOOKUP(A73,'Données projet'!$A$191:$I$211,9,0)</f>
        <v>2.3076923076923066</v>
      </c>
      <c r="EI73" s="12">
        <f t="array" ref="EI73">INDEX(EH:EH,MIN(IF(ISNUMBER(EH73:EH269),ROW(EH73:EH269),"")))</f>
        <v>2.3076923076923066</v>
      </c>
      <c r="EJ73" s="12">
        <f>IF('Données projet'!$A$192&gt;35,EJ72+EI73-ER72,IF(A73&lt;'Données projet'!$A$192,$EG$205^A73,IF(A73='Données projet'!$A$192,'Données projet'!$B$192,EJ72+EI73-ER72)))</f>
        <v>83.333333333333314</v>
      </c>
      <c r="EK73" s="17">
        <f>EJ73*VLOOKUP('Données projet'!$B$15,Paramètres!$A$1:$I$89,3,0)*VLOOKUP('Données projet'!$B$15,Paramètres!$A$1:$I$89,5,0)</f>
        <v>89.699999999999974</v>
      </c>
      <c r="EL73" s="13">
        <f t="shared" si="99"/>
        <v>24.492858164013299</v>
      </c>
      <c r="EM73" s="20">
        <f t="shared" si="73"/>
        <v>198.88589463565646</v>
      </c>
      <c r="EN73" s="59">
        <f t="shared" si="74"/>
        <v>466.90710612444548</v>
      </c>
      <c r="EO73" s="59">
        <f ca="1">AVERAGE(OFFSET($EN$3,0,0,'Données projet'!$E$15+1,1))-AVERAGE(OFFSET($H$3,0,0,'Données projet'!$E$15+1,1))</f>
        <v>212.00478362779876</v>
      </c>
      <c r="EP73" s="59">
        <f t="shared" si="100"/>
        <v>133.62262474506707</v>
      </c>
      <c r="EQ73" s="15">
        <f>IF(ISNA(VLOOKUP(A73,'Données projet'!$A$191:$I$211,3,0)),0,VLOOKUP(A73,'Données projet'!$A$191:$I$211,3,0))</f>
        <v>10</v>
      </c>
      <c r="ER73" s="15">
        <f>IF(ISNA(VLOOKUP(A73,'Données projet'!$A$191:$I$211,4,0)),0,VLOOKUP(A73,'Données projet'!$A$191:$I$211,4,0))</f>
        <v>6.4102564102564097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0.1075</v>
      </c>
      <c r="EU73" s="16">
        <f>IF(ISNA(VLOOKUP(A73,'Données projet'!$A$191:$I$211,7,0)),0%,VLOOKUP(A73,'Données projet'!$A$191:$I$211,7,0))</f>
        <v>0.25</v>
      </c>
      <c r="EV73" s="21">
        <f>EXP(-LN(2)/35)*EV72+(1-EXP(-LN(2)/35))/(LN(2)/35)*ER73*ES73*VLOOKUP('Données projet'!$B$15,Paramètres!$A$1:$I$89,3,0)*0.475*44/12</f>
        <v>0</v>
      </c>
      <c r="EW73" s="21">
        <f>EXP(-LN(2)/25)*EW72+(1-EXP(-LN(2)/25))/(LN(2)/25)*Calculateur!ER73*Calculateur!ET73*VLOOKUP('Données projet'!$B$15,Paramètres!$A$1:$I$89,3,0)*0.475*44/12</f>
        <v>4.5474046133343524</v>
      </c>
      <c r="EX73" s="21">
        <f>EXP(-LN(2)/2)*EX72+(1-EXP(-LN(2)/2))/(LN(2)/2)*ER73*EU73*VLOOKUP('Données projet'!$B$15,Paramètres!$A$1:$I$89,3,0)*0.475*44/12</f>
        <v>1.9770524588057645</v>
      </c>
      <c r="EY73" s="22">
        <f t="shared" si="75"/>
        <v>6.5244570721401169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63.096694042396983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>
        <f>VLOOKUP(A73,'Données projet'!$A$217:$I$237,2,0)</f>
        <v>83.333333333333329</v>
      </c>
      <c r="FC73" s="12">
        <f>VLOOKUP(A73,'Données projet'!$A$217:$I$237,9,0)</f>
        <v>2.3076923076923066</v>
      </c>
      <c r="FD73" s="12">
        <f t="array" ref="FD73">INDEX(FC:FC,MIN(IF(ISNUMBER(FC73:FC269),ROW(FC73:FC269),"")))</f>
        <v>2.3076923076923066</v>
      </c>
      <c r="FE73" s="12">
        <f>IF('Données projet'!$A$218&gt;35,FE72+FD73-FM72,IF(A73&lt;'Données projet'!$A$218,$FB$205^A73,IF(A73='Données projet'!$A$218,'Données projet'!$B$218,FE72+FD73-FM72)))</f>
        <v>83.333333333333314</v>
      </c>
      <c r="FF73" s="17">
        <f>FE73*VLOOKUP('Données projet'!$B$16,Paramètres!$A$1:$I$89,3,0)*VLOOKUP('Données projet'!$B$16,Paramètres!$A$1:$I$89,5,0)</f>
        <v>80.599999999999994</v>
      </c>
      <c r="FG73" s="13">
        <f t="shared" si="101"/>
        <v>22.283823389988751</v>
      </c>
      <c r="FH73" s="20">
        <f t="shared" si="76"/>
        <v>179.18932573756373</v>
      </c>
      <c r="FI73" s="59">
        <f t="shared" si="77"/>
        <v>447.2105372263527</v>
      </c>
      <c r="FJ73" s="59">
        <f ca="1">AVERAGE(OFFSET($FI$3,0,0,'Données projet'!$E$16+1,1))-AVERAGE(OFFSET($H$3,0,0,'Données projet'!$E$16+1,1))</f>
        <v>196.65742339093146</v>
      </c>
      <c r="FK73" s="59">
        <f t="shared" si="102"/>
        <v>125.41980634506001</v>
      </c>
      <c r="FL73" s="15">
        <f>IF(ISNA(VLOOKUP(A73,'Données projet'!$A$217:$I$237,3,0)),0,VLOOKUP(A73,'Données projet'!$A$217:$I$237,3,0))</f>
        <v>10</v>
      </c>
      <c r="FM73" s="15">
        <f>IF(ISNA(VLOOKUP(A73,'Données projet'!$A$217:$I$237,4,0)),0,VLOOKUP(A73,'Données projet'!$A$217:$I$237,4,0))</f>
        <v>6.4102564102564097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0.1075</v>
      </c>
      <c r="FP73" s="16">
        <f>IF(ISNA(VLOOKUP(A73,'Données projet'!$A$217:$I$237,7,0)),0%,VLOOKUP(A73,'Données projet'!$A$217:$I$237,7,0))</f>
        <v>0.25</v>
      </c>
      <c r="FQ73" s="21">
        <f>EXP(-LN(2)/35)*FQ72+(1-EXP(-LN(2)/35))/(LN(2)/35)*FM73*FN73*VLOOKUP('Données projet'!$B$16,Paramètres!$A$1:$I$89,3,0)*0.475*44/12</f>
        <v>0</v>
      </c>
      <c r="FR73" s="21">
        <f>EXP(-LN(2)/25)*FR72+(1-EXP(-LN(2)/25))/(LN(2)/25)*Calculateur!FM73*Calculateur!FO73*VLOOKUP('Données projet'!$B$16,Paramètres!$A$1:$I$89,3,0)*0.475*44/12</f>
        <v>4.0860737105323164</v>
      </c>
      <c r="FS73" s="21">
        <f>EXP(-LN(2)/2)*FS72+(1-EXP(-LN(2)/2))/(LN(2)/2)*FM73*FP73*VLOOKUP('Données projet'!$B$16,Paramètres!$A$1:$I$89,3,0)*0.475*44/12</f>
        <v>1.776481919506629</v>
      </c>
      <c r="FT73" s="22">
        <f t="shared" si="78"/>
        <v>5.8625556300389459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63.096694042396983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63.096694042396983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>
      <c r="A74" s="10">
        <f t="shared" si="85"/>
        <v>71</v>
      </c>
      <c r="B74" s="73">
        <f>'Scénario référence'!$B$16*5+'Scénario référence'!$B$17*0+'Scénario référence'!$B$18*5</f>
        <v>4.6999999999999993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3.7879919999999956</v>
      </c>
      <c r="D74" s="11">
        <f t="shared" si="86"/>
        <v>1.4949762876462616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18.64618180340107</v>
      </c>
      <c r="H74" s="67">
        <f t="shared" si="56"/>
        <v>196.9345031009839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63.216450967281375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9.7839999999999971</v>
      </c>
      <c r="N74" s="13">
        <f>IF('Données projet'!$A$36&gt;35,N73+M74-V73,IF(A74&lt;'Données projet'!$A$36,$K$205^A74,IF(A74='Données projet'!$A$36,'Données projet'!$B$36,N73+M74-V73)))</f>
        <v>431.97399999999976</v>
      </c>
      <c r="O74" s="13">
        <f>N74*VLOOKUP('Données projet'!$B$9,Paramètres!$A$1:$I$89,3,0)*VLOOKUP('Données projet'!$B$9,Paramètres!$A$1:$I$89,5,0)</f>
        <v>258.32045199999988</v>
      </c>
      <c r="P74" s="13">
        <f t="shared" si="87"/>
        <v>62.364231271731597</v>
      </c>
      <c r="Q74" s="20">
        <f t="shared" si="54"/>
        <v>558.52582336493231</v>
      </c>
      <c r="R74" s="59">
        <f t="shared" si="55"/>
        <v>826.98614357829729</v>
      </c>
      <c r="S74" s="59">
        <f ca="1">AVERAGE(OFFSET($R$3,0,0,'Données projet'!$E$9+1,1))-AVERAGE(OFFSET($H$3,0,0,'Données projet'!$E$9+1,1))</f>
        <v>366.93249569585623</v>
      </c>
      <c r="T74" s="59">
        <f t="shared" si="88"/>
        <v>272.47262353368501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50.055674330846486</v>
      </c>
      <c r="AA74" s="21">
        <f>EXP(-LN(2)/25)*AA73+(1-EXP(-LN(2)/25))/(LN(2)/25)*Calculateur!V74*Calculateur!X74*VLOOKUP('Données projet'!$B$9,Paramètres!$A$1:$I$89,3,0)*0.475*44/12</f>
        <v>18.946772642357956</v>
      </c>
      <c r="AB74" s="21">
        <f>EXP(-LN(2)/2)*AB73+(1-EXP(-LN(2)/2))/(LN(2)/2)*V74*Y74*VLOOKUP('Données projet'!$B$9,Paramètres!$A$1:$I$89,3,0)*0.475*44/12</f>
        <v>6.7155753412215047</v>
      </c>
      <c r="AC74" s="22">
        <f t="shared" si="57"/>
        <v>75.718022314425951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63.216450967281375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>
        <f>VLOOKUP(A74,'Données projet'!$A$61:$I$81,2,0)</f>
        <v>471.35</v>
      </c>
      <c r="AG74" s="12">
        <f>VLOOKUP(A74,'Données projet'!$A$61:$I$81,9,0)</f>
        <v>16.234999999999999</v>
      </c>
      <c r="AH74" s="12">
        <f t="array" ref="AH74">INDEX(AG:AG,MIN(IF(ISNUMBER(AG74:AG270),ROW(AG74:AG270),"")))</f>
        <v>16.234999999999999</v>
      </c>
      <c r="AI74" s="13">
        <f>IF('Données projet'!$A$62&gt;35,AI73+AH74-AQ73,IF(A74&lt;'Données projet'!$A$62,$AF$205^A74,IF(A74='Données projet'!$A$62,'Données projet'!$B$62,AI73+AH74-AQ73)))</f>
        <v>471.34999999999957</v>
      </c>
      <c r="AJ74" s="13">
        <f>AI74*VLOOKUP('Données projet'!$B$10,Paramètres!$A$1:$I$89,3,0)*VLOOKUP('Données projet'!$B$10,Paramètres!$A$1:$I$89,5,0)</f>
        <v>220.59179999999981</v>
      </c>
      <c r="AK74" s="13">
        <f t="shared" si="89"/>
        <v>54.243490409514202</v>
      </c>
      <c r="AL74" s="20">
        <f t="shared" si="58"/>
        <v>478.67146412990354</v>
      </c>
      <c r="AM74" s="59">
        <f t="shared" si="59"/>
        <v>747.13178434326858</v>
      </c>
      <c r="AN74" s="59">
        <f ca="1">AVERAGE(OFFSET($AM$3,0,0,'Données projet'!$E$10+1,1))-AVERAGE(OFFSET($H$3,0,0,'Données projet'!$E$10+1,1))</f>
        <v>382.89338473200229</v>
      </c>
      <c r="AO74" s="59">
        <f t="shared" si="90"/>
        <v>360.46248248971744</v>
      </c>
      <c r="AP74" s="15">
        <f>IF(ISNA(VLOOKUP(A74,'Données projet'!$A$61:$I$81,3,0)),0,VLOOKUP(A74,'Données projet'!$A$61:$I$81,3,0))</f>
        <v>5</v>
      </c>
      <c r="AQ74" s="15">
        <f>IF(ISNA(VLOOKUP(A74,'Données projet'!$A$61:$I$81,4,0)),0,VLOOKUP(A74,'Données projet'!$A$61:$I$81,4,0))</f>
        <v>91.730000000000018</v>
      </c>
      <c r="AR74" s="16">
        <f>IF(ISNA(VLOOKUP(A74,'Données projet'!$A$61:$I$81,5,0)),0%,VLOOKUP(A74,'Données projet'!$A$61:$I$81,5,0)*VLOOKUP('Données projet'!$B$10,Paramètres!$A$1:$I$89,7,0))</f>
        <v>0.33</v>
      </c>
      <c r="AS74" s="16">
        <f>IF(ISNA(VLOOKUP(A74,'Données projet'!$A$61:$I$81,6,0)),0%,VLOOKUP(A74,'Données projet'!$A$61:$I$81,6,0)*VLOOKUP('Données projet'!$B$10,Paramètres!$A$1:$I$89,7,0))</f>
        <v>0.11000000000000001</v>
      </c>
      <c r="AT74" s="16">
        <f>IF(ISNA(VLOOKUP(A74,'Données projet'!$A$61:$I$81,7,0)),0%,VLOOKUP(A74,'Données projet'!$A$61:$I$81,7,0))</f>
        <v>0.2</v>
      </c>
      <c r="AU74" s="21">
        <f>EXP(-LN(2)/35)*AU73+(1-EXP(-LN(2)/35))/(LN(2)/35)*AQ74*AR74*VLOOKUP('Données projet'!$B$10,Paramètres!$A$1:$I$89,3,0)*0.475*44/12</f>
        <v>79.75201133001876</v>
      </c>
      <c r="AV74" s="21">
        <f>EXP(-LN(2)/25)*AV73+(1-EXP(-LN(2)/25))/(LN(2)/25)*Calculateur!AQ74*Calculateur!AS74*VLOOKUP('Données projet'!$B$10,Paramètres!$A$1:$I$89,3,0)*0.475*44/12</f>
        <v>23.572194696545289</v>
      </c>
      <c r="AW74" s="21">
        <f>EXP(-LN(2)/2)*AW73+(1-EXP(-LN(2)/2))/(LN(2)/2)*AQ74*AT74*VLOOKUP('Données projet'!$B$10,Paramètres!$A$1:$I$89,3,0)*0.475*44/12</f>
        <v>10.303602728555234</v>
      </c>
      <c r="AX74" s="21">
        <f t="shared" si="60"/>
        <v>113.62780875511928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63.216450967281375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2.1794871794871766</v>
      </c>
      <c r="BD74" s="12">
        <f>IF('Données projet'!$A$88&gt;35,BD73+BC74-BL73,IF(A74&lt;'Données projet'!$A$88,$BA$205^A74,IF(A74='Données projet'!$A$88,'Données projet'!$B$88,BD73+BC74-BL73)))</f>
        <v>122.05128205128199</v>
      </c>
      <c r="BE74" s="13">
        <f>BD74*VLOOKUP('Données projet'!$B$11,Paramètres!$A$1:$I$89,3,0)*VLOOKUP('Données projet'!$B$11,Paramètres!$A$1:$I$89,5,0)</f>
        <v>106.62399999999995</v>
      </c>
      <c r="BF74" s="13">
        <f t="shared" si="91"/>
        <v>28.534135371802059</v>
      </c>
      <c r="BG74" s="20">
        <f t="shared" si="61"/>
        <v>235.40041910588846</v>
      </c>
      <c r="BH74" s="59">
        <f t="shared" si="62"/>
        <v>503.86073931925353</v>
      </c>
      <c r="BI74" s="59">
        <f ca="1">AVERAGE(OFFSET($BH$3,0,0,'Données projet'!$E$11+1,1))-AVERAGE(OFFSET($H$3,0,0,'Données projet'!$E$11+1,1))</f>
        <v>225.75484198243581</v>
      </c>
      <c r="BJ74" s="59">
        <f t="shared" si="92"/>
        <v>199.49566488421061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0.71992819837136579</v>
      </c>
      <c r="BQ74" s="21">
        <f>EXP(-LN(2)/25)*BQ73+(1-EXP(-LN(2)/25))/(LN(2)/25)*Calculateur!BL74*Calculateur!BN74*VLOOKUP('Données projet'!$B$11,Paramètres!$A$1:$I$89,3,0)*0.475*44/12</f>
        <v>13.646195186704624</v>
      </c>
      <c r="BR74" s="21">
        <f>EXP(-LN(2)/2)*BR73+(1-EXP(-LN(2)/2))/(LN(2)/2)*BL74*BO74*VLOOKUP('Données projet'!$B$11,Paramètres!$A$1:$I$89,3,0)*0.475*44/12</f>
        <v>0</v>
      </c>
      <c r="BS74" s="22">
        <f t="shared" si="63"/>
        <v>14.366123385075989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63.216450967281375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6.2</v>
      </c>
      <c r="BY74" s="12">
        <f>IF('Données projet'!$A$114&gt;35,BY73+BX74-CG73,IF(A74&lt;'Données projet'!$A$114,$BV$205^A74,IF(A74='Données projet'!$A$114,'Données projet'!$B$114,BY73+BX74-CG73)))</f>
        <v>227.19999999999996</v>
      </c>
      <c r="BZ74" s="13">
        <f>BY74*VLOOKUP('Données projet'!$B$12,Paramètres!$A$1:$I$89,3,0)*VLOOKUP('Données projet'!$B$12,Paramètres!$A$1:$I$89,5,0)</f>
        <v>216.20351999999997</v>
      </c>
      <c r="CA74" s="13">
        <f t="shared" si="93"/>
        <v>53.288905450648613</v>
      </c>
      <c r="CB74" s="20">
        <f t="shared" si="64"/>
        <v>469.36597432654622</v>
      </c>
      <c r="CC74" s="59">
        <f t="shared" si="65"/>
        <v>737.82629453991126</v>
      </c>
      <c r="CD74" s="59">
        <f ca="1">AVERAGE(OFFSET($CC$3,0,0,'Données projet'!$E$12+1,1))-AVERAGE(OFFSET($H$3,0,0,'Données projet'!$E$12+1,1))</f>
        <v>413.9352601863377</v>
      </c>
      <c r="CE74" s="59">
        <f t="shared" si="94"/>
        <v>255.13997349799286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2.3282437495998809</v>
      </c>
      <c r="CL74" s="21">
        <f>EXP(-LN(2)/25)*CL73+(1-EXP(-LN(2)/25))/(LN(2)/25)*Calculateur!CG74*Calculateur!CI74*VLOOKUP('Données projet'!$B$12,Paramètres!$A$1:$I$89,3,0)*0.475*44/12</f>
        <v>12.921154513116964</v>
      </c>
      <c r="CM74" s="21">
        <f>EXP(-LN(2)/2)*CM73+(1-EXP(-LN(2)/2))/(LN(2)/2)*CG74*CJ74*VLOOKUP('Données projet'!$B$12,Paramètres!$A$1:$I$89,3,0)*0.475*44/12</f>
        <v>4.0488839157708449</v>
      </c>
      <c r="CN74" s="22">
        <f t="shared" si="66"/>
        <v>19.298282178487689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63.216450967281375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2.6</v>
      </c>
      <c r="CT74" s="12">
        <f>IF('Données projet'!$A$140&gt;35,CT73+CS74-DB73,IF(A74&lt;'Données projet'!$A$140,$CQ$205^A74,IF(A74='Données projet'!$A$140,'Données projet'!$B$140,CT73+CS74-DB73)))</f>
        <v>203.60000000000002</v>
      </c>
      <c r="CU74" s="17">
        <f>CT74*VLOOKUP('Données projet'!$B$13,Paramètres!$A$1:$I$89,3,0)*VLOOKUP('Données projet'!$B$13,Paramètres!$A$1:$I$89,5,0)</f>
        <v>177.86496000000002</v>
      </c>
      <c r="CV74" s="13">
        <f t="shared" si="95"/>
        <v>44.846849734353761</v>
      </c>
      <c r="CW74" s="20">
        <f t="shared" si="67"/>
        <v>387.88973528733283</v>
      </c>
      <c r="CX74" s="59">
        <f t="shared" si="68"/>
        <v>656.35005550069786</v>
      </c>
      <c r="CY74" s="59">
        <f ca="1">AVERAGE(OFFSET($CX$3,0,0,'Données projet'!$E$13+1,1))-AVERAGE(OFFSET($H$3,0,0,'Données projet'!$E$13+1,1))</f>
        <v>280.59827778697775</v>
      </c>
      <c r="CZ74" s="59">
        <f t="shared" si="96"/>
        <v>270.86588231964726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>
        <f>EXP(-LN(2)/35)*DF73+(1-EXP(-LN(2)/35))/(LN(2)/35)*DB74*DC74*VLOOKUP('Données projet'!$B$13,Paramètres!$A$1:$I$89,3,0)*0.475*44/12</f>
        <v>4.9616102189578619</v>
      </c>
      <c r="DG74" s="21">
        <f>EXP(-LN(2)/25)*DG73+(1-EXP(-LN(2)/25))/(LN(2)/25)*Calculateur!DB74*Calculateur!DD74*VLOOKUP('Données projet'!$B$13,Paramètres!$A$1:$I$89,3,0)*0.475*44/12</f>
        <v>10.018780178069298</v>
      </c>
      <c r="DH74" s="21">
        <f>EXP(-LN(2)/2)*DH73+(1-EXP(-LN(2)/2))/(LN(2)/2)*DB74*DE74*VLOOKUP('Données projet'!$B$13,Paramètres!$A$1:$I$89,3,0)*0.475*44/12</f>
        <v>1.4240048116930244</v>
      </c>
      <c r="DI74" s="22">
        <f t="shared" si="69"/>
        <v>16.404395208720185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63.216450967281375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4.2307692307692264</v>
      </c>
      <c r="DO74" s="12">
        <f>IF('Données projet'!$A$166&gt;35,DO73+DN74-DW73,IF(A74&lt;'Données projet'!$A$166,$DL$205^A74,IF(A74='Données projet'!$A$166,'Données projet'!$B$166,DO73+DN74-DW73)))</f>
        <v>133.07692307692309</v>
      </c>
      <c r="DP74" s="17">
        <f>DO74*VLOOKUP('Données projet'!$B$14,Paramètres!$A$1:$I$89,3,0)*VLOOKUP('Données projet'!$B$14,Paramètres!$A$1:$I$89,5,0)</f>
        <v>89.268000000000015</v>
      </c>
      <c r="DQ74" s="13">
        <f t="shared" si="97"/>
        <v>24.388600399065382</v>
      </c>
      <c r="DR74" s="20">
        <f t="shared" si="70"/>
        <v>197.95191236170558</v>
      </c>
      <c r="DS74" s="59">
        <f t="shared" si="71"/>
        <v>466.41223257507062</v>
      </c>
      <c r="DT74" s="59">
        <f ca="1">AVERAGE(OFFSET($DS$3,0,0,'Données projet'!$E$14+1,1))-AVERAGE(OFFSET($H$3,0,0,'Données projet'!$E$14+1,1))</f>
        <v>211.42385430331873</v>
      </c>
      <c r="DU74" s="59">
        <f t="shared" si="98"/>
        <v>146.84623106782686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>
        <f>EXP(-LN(2)/35)*EA73+(1-EXP(-LN(2)/35))/(LN(2)/35)*DW74*DX74*VLOOKUP('Données projet'!$B$14,Paramètres!$A$1:$I$89,3,0)*0.475*44/12</f>
        <v>0</v>
      </c>
      <c r="EB74" s="21">
        <f>EXP(-LN(2)/25)*EB73+(1-EXP(-LN(2)/25))/(LN(2)/25)*Calculateur!DW74*Calculateur!DY74*VLOOKUP('Données projet'!$B$14,Paramètres!$A$1:$I$89,3,0)*0.475*44/12</f>
        <v>7.5693655082137559</v>
      </c>
      <c r="EC74" s="21">
        <f>EXP(-LN(2)/2)*EC73+(1-EXP(-LN(2)/2))/(LN(2)/2)*DW74*DZ74*VLOOKUP('Données projet'!$B$14,Paramètres!$A$1:$I$89,3,0)*0.475*44/12</f>
        <v>1.9166756228430617</v>
      </c>
      <c r="ED74" s="22">
        <f t="shared" si="72"/>
        <v>9.4860411310568171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63.216450967281375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2.4358974358974366</v>
      </c>
      <c r="EJ74" s="12">
        <f>IF('Données projet'!$A$192&gt;35,EJ73+EI74-ER73,IF(A74&lt;'Données projet'!$A$192,$EG$205^A74,IF(A74='Données projet'!$A$192,'Données projet'!$B$192,EJ73+EI74-ER73)))</f>
        <v>79.358974358974336</v>
      </c>
      <c r="EK74" s="17">
        <f>EJ74*VLOOKUP('Données projet'!$B$15,Paramètres!$A$1:$I$89,3,0)*VLOOKUP('Données projet'!$B$15,Paramètres!$A$1:$I$89,5,0)</f>
        <v>85.421999999999969</v>
      </c>
      <c r="EL74" s="13">
        <f t="shared" si="99"/>
        <v>23.457789407714074</v>
      </c>
      <c r="EM74" s="20">
        <f t="shared" si="73"/>
        <v>189.63229988510196</v>
      </c>
      <c r="EN74" s="59">
        <f t="shared" si="74"/>
        <v>458.09262009846702</v>
      </c>
      <c r="EO74" s="59">
        <f ca="1">AVERAGE(OFFSET($EN$3,0,0,'Données projet'!$E$15+1,1))-AVERAGE(OFFSET($H$3,0,0,'Données projet'!$E$15+1,1))</f>
        <v>212.00478362779876</v>
      </c>
      <c r="EP74" s="59">
        <f t="shared" si="100"/>
        <v>133.62262474506707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>
        <f>EXP(-LN(2)/35)*EV73+(1-EXP(-LN(2)/35))/(LN(2)/35)*ER74*ES74*VLOOKUP('Données projet'!$B$15,Paramètres!$A$1:$I$89,3,0)*0.475*44/12</f>
        <v>0</v>
      </c>
      <c r="EW74" s="21">
        <f>EXP(-LN(2)/25)*EW73+(1-EXP(-LN(2)/25))/(LN(2)/25)*Calculateur!ER74*Calculateur!ET74*VLOOKUP('Données projet'!$B$15,Paramètres!$A$1:$I$89,3,0)*0.475*44/12</f>
        <v>4.4230555950451089</v>
      </c>
      <c r="EX74" s="21">
        <f>EXP(-LN(2)/2)*EX73+(1-EXP(-LN(2)/2))/(LN(2)/2)*ER74*EU74*VLOOKUP('Données projet'!$B$15,Paramètres!$A$1:$I$89,3,0)*0.475*44/12</f>
        <v>1.3979872003830935</v>
      </c>
      <c r="EY74" s="22">
        <f t="shared" si="75"/>
        <v>5.8210427954282027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63.216450967281375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2.4358974358974366</v>
      </c>
      <c r="FE74" s="12">
        <f>IF('Données projet'!$A$218&gt;35,FE73+FD74-FM73,IF(A74&lt;'Données projet'!$A$218,$FB$205^A74,IF(A74='Données projet'!$A$218,'Données projet'!$B$218,FE73+FD74-FM73)))</f>
        <v>79.358974358974336</v>
      </c>
      <c r="FF74" s="17">
        <f>FE74*VLOOKUP('Données projet'!$B$16,Paramètres!$A$1:$I$89,3,0)*VLOOKUP('Données projet'!$B$16,Paramètres!$A$1:$I$89,5,0)</f>
        <v>76.755999999999986</v>
      </c>
      <c r="FG74" s="13">
        <f t="shared" si="101"/>
        <v>21.34210849467463</v>
      </c>
      <c r="FH74" s="20">
        <f t="shared" si="76"/>
        <v>170.85420562822495</v>
      </c>
      <c r="FI74" s="59">
        <f t="shared" si="77"/>
        <v>439.31452584159001</v>
      </c>
      <c r="FJ74" s="59">
        <f ca="1">AVERAGE(OFFSET($FI$3,0,0,'Données projet'!$E$16+1,1))-AVERAGE(OFFSET($H$3,0,0,'Données projet'!$E$16+1,1))</f>
        <v>196.65742339093146</v>
      </c>
      <c r="FK74" s="59">
        <f t="shared" si="102"/>
        <v>125.41980634506001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>
        <f>EXP(-LN(2)/35)*FQ73+(1-EXP(-LN(2)/35))/(LN(2)/35)*FM74*FN74*VLOOKUP('Données projet'!$B$16,Paramètres!$A$1:$I$89,3,0)*0.475*44/12</f>
        <v>0</v>
      </c>
      <c r="FR74" s="21">
        <f>EXP(-LN(2)/25)*FR73+(1-EXP(-LN(2)/25))/(LN(2)/25)*Calculateur!FM74*Calculateur!FO74*VLOOKUP('Données projet'!$B$16,Paramètres!$A$1:$I$89,3,0)*0.475*44/12</f>
        <v>3.9743398100405325</v>
      </c>
      <c r="FS74" s="21">
        <f>EXP(-LN(2)/2)*FS73+(1-EXP(-LN(2)/2))/(LN(2)/2)*FM74*FP74*VLOOKUP('Données projet'!$B$16,Paramètres!$A$1:$I$89,3,0)*0.475*44/12</f>
        <v>1.256162411938432</v>
      </c>
      <c r="FT74" s="22">
        <f t="shared" si="78"/>
        <v>5.2305022219789645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63.216450967281375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63.216450967281375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>
      <c r="A75" s="10">
        <f t="shared" si="85"/>
        <v>72</v>
      </c>
      <c r="B75" s="73">
        <f>'Scénario référence'!$B$16*5+'Scénario référence'!$B$17*0+'Scénario référence'!$B$18*5</f>
        <v>4.6999999999999993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3.8413439999999954</v>
      </c>
      <c r="D75" s="11">
        <f t="shared" si="86"/>
        <v>1.5135662012414726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18.679502268645169</v>
      </c>
      <c r="H75" s="67">
        <f t="shared" si="56"/>
        <v>197.05980193382891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63.334130377255399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9.7839999999999971</v>
      </c>
      <c r="N75" s="13">
        <f>IF('Données projet'!$A$36&gt;35,N74+M75-V74,IF(A75&lt;'Données projet'!$A$36,$K$205^A75,IF(A75='Données projet'!$A$36,'Données projet'!$B$36,N74+M75-V74)))</f>
        <v>441.75799999999975</v>
      </c>
      <c r="O75" s="13">
        <f>N75*VLOOKUP('Données projet'!$B$9,Paramètres!$A$1:$I$89,3,0)*VLOOKUP('Données projet'!$B$9,Paramètres!$A$1:$I$89,5,0)</f>
        <v>264.1712839999999</v>
      </c>
      <c r="P75" s="13">
        <f t="shared" si="87"/>
        <v>63.610701832955151</v>
      </c>
      <c r="Q75" s="20">
        <f t="shared" si="54"/>
        <v>570.88695865906334</v>
      </c>
      <c r="R75" s="59">
        <f t="shared" si="55"/>
        <v>839.77877004233324</v>
      </c>
      <c r="S75" s="59">
        <f ca="1">AVERAGE(OFFSET($R$3,0,0,'Données projet'!$E$9+1,1))-AVERAGE(OFFSET($H$3,0,0,'Données projet'!$E$9+1,1))</f>
        <v>366.93249569585623</v>
      </c>
      <c r="T75" s="59">
        <f t="shared" si="88"/>
        <v>272.47262353368501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49.074113088165248</v>
      </c>
      <c r="AA75" s="21">
        <f>EXP(-LN(2)/25)*AA74+(1-EXP(-LN(2)/25))/(LN(2)/25)*Calculateur!V75*Calculateur!X75*VLOOKUP('Données projet'!$B$9,Paramètres!$A$1:$I$89,3,0)*0.475*44/12</f>
        <v>18.428672148085209</v>
      </c>
      <c r="AB75" s="21">
        <f>EXP(-LN(2)/2)*AB74+(1-EXP(-LN(2)/2))/(LN(2)/2)*V75*Y75*VLOOKUP('Données projet'!$B$9,Paramètres!$A$1:$I$89,3,0)*0.475*44/12</f>
        <v>4.7486288633468892</v>
      </c>
      <c r="AC75" s="22">
        <f t="shared" si="57"/>
        <v>72.251414099597355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63.334130377255399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15.299999999999997</v>
      </c>
      <c r="AI75" s="13">
        <f>IF('Données projet'!$A$62&gt;35,AI74+AH75-AQ74,IF(A75&lt;'Données projet'!$A$62,$AF$205^A75,IF(A75='Données projet'!$A$62,'Données projet'!$B$62,AI74+AH75-AQ74)))</f>
        <v>394.91999999999956</v>
      </c>
      <c r="AJ75" s="13">
        <f>AI75*VLOOKUP('Données projet'!$B$10,Paramètres!$A$1:$I$89,3,0)*VLOOKUP('Données projet'!$B$10,Paramètres!$A$1:$I$89,5,0)</f>
        <v>184.82255999999978</v>
      </c>
      <c r="AK75" s="13">
        <f t="shared" si="89"/>
        <v>46.393460348969036</v>
      </c>
      <c r="AL75" s="20">
        <f t="shared" si="58"/>
        <v>402.70123544112067</v>
      </c>
      <c r="AM75" s="59">
        <f t="shared" si="59"/>
        <v>671.59304682439051</v>
      </c>
      <c r="AN75" s="59">
        <f ca="1">AVERAGE(OFFSET($AM$3,0,0,'Données projet'!$E$10+1,1))-AVERAGE(OFFSET($H$3,0,0,'Données projet'!$E$10+1,1))</f>
        <v>382.89338473200229</v>
      </c>
      <c r="AO75" s="59">
        <f t="shared" si="90"/>
        <v>360.46248248971744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78.18812303176081</v>
      </c>
      <c r="AV75" s="21">
        <f>EXP(-LN(2)/25)*AV74+(1-EXP(-LN(2)/25))/(LN(2)/25)*Calculateur!AQ75*Calculateur!AS75*VLOOKUP('Données projet'!$B$10,Paramètres!$A$1:$I$89,3,0)*0.475*44/12</f>
        <v>22.927611792960413</v>
      </c>
      <c r="AW75" s="21">
        <f>EXP(-LN(2)/2)*AW74+(1-EXP(-LN(2)/2))/(LN(2)/2)*AQ75*AT75*VLOOKUP('Données projet'!$B$10,Paramètres!$A$1:$I$89,3,0)*0.475*44/12</f>
        <v>7.2857473600136204</v>
      </c>
      <c r="AX75" s="21">
        <f t="shared" si="60"/>
        <v>108.40148218473483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63.334130377255399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2.1794871794871766</v>
      </c>
      <c r="BD75" s="12">
        <f>IF('Données projet'!$A$88&gt;35,BD74+BC75-BL74,IF(A75&lt;'Données projet'!$A$88,$BA$205^A75,IF(A75='Données projet'!$A$88,'Données projet'!$B$88,BD74+BC75-BL74)))</f>
        <v>124.23076923076917</v>
      </c>
      <c r="BE75" s="13">
        <f>BD75*VLOOKUP('Données projet'!$B$11,Paramètres!$A$1:$I$89,3,0)*VLOOKUP('Données projet'!$B$11,Paramètres!$A$1:$I$89,5,0)</f>
        <v>108.52799999999996</v>
      </c>
      <c r="BF75" s="13">
        <f t="shared" si="91"/>
        <v>28.983898429855103</v>
      </c>
      <c r="BG75" s="20">
        <f t="shared" si="61"/>
        <v>239.49988976533089</v>
      </c>
      <c r="BH75" s="59">
        <f t="shared" si="62"/>
        <v>508.39170114860076</v>
      </c>
      <c r="BI75" s="59">
        <f ca="1">AVERAGE(OFFSET($BH$3,0,0,'Données projet'!$E$11+1,1))-AVERAGE(OFFSET($H$3,0,0,'Données projet'!$E$11+1,1))</f>
        <v>225.75484198243581</v>
      </c>
      <c r="BJ75" s="59">
        <f t="shared" si="92"/>
        <v>199.49566488421061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0.70581084551414552</v>
      </c>
      <c r="BQ75" s="21">
        <f>EXP(-LN(2)/25)*BQ74+(1-EXP(-LN(2)/25))/(LN(2)/25)*Calculateur!BL75*Calculateur!BN75*VLOOKUP('Données projet'!$B$11,Paramètres!$A$1:$I$89,3,0)*0.475*44/12</f>
        <v>13.273039261701969</v>
      </c>
      <c r="BR75" s="21">
        <f>EXP(-LN(2)/2)*BR74+(1-EXP(-LN(2)/2))/(LN(2)/2)*BL75*BO75*VLOOKUP('Données projet'!$B$11,Paramètres!$A$1:$I$89,3,0)*0.475*44/12</f>
        <v>0</v>
      </c>
      <c r="BS75" s="22">
        <f t="shared" si="63"/>
        <v>13.978850107216115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63.334130377255399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6.2</v>
      </c>
      <c r="BY75" s="12">
        <f>IF('Données projet'!$A$114&gt;35,BY74+BX75-CG74,IF(A75&lt;'Données projet'!$A$114,$BV$205^A75,IF(A75='Données projet'!$A$114,'Données projet'!$B$114,BY74+BX75-CG74)))</f>
        <v>233.39999999999995</v>
      </c>
      <c r="BZ75" s="13">
        <f>BY75*VLOOKUP('Données projet'!$B$12,Paramètres!$A$1:$I$89,3,0)*VLOOKUP('Données projet'!$B$12,Paramètres!$A$1:$I$89,5,0)</f>
        <v>222.10343999999995</v>
      </c>
      <c r="CA75" s="13">
        <f t="shared" si="93"/>
        <v>54.571804516465022</v>
      </c>
      <c r="CB75" s="20">
        <f t="shared" si="64"/>
        <v>481.87605086617651</v>
      </c>
      <c r="CC75" s="59">
        <f t="shared" si="65"/>
        <v>750.76786224944635</v>
      </c>
      <c r="CD75" s="59">
        <f ca="1">AVERAGE(OFFSET($CC$3,0,0,'Données projet'!$E$12+1,1))-AVERAGE(OFFSET($H$3,0,0,'Données projet'!$E$12+1,1))</f>
        <v>413.9352601863377</v>
      </c>
      <c r="CE75" s="59">
        <f t="shared" si="94"/>
        <v>255.13997349799286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2.2825883097586925</v>
      </c>
      <c r="CL75" s="21">
        <f>EXP(-LN(2)/25)*CL74+(1-EXP(-LN(2)/25))/(LN(2)/25)*Calculateur!CG75*Calculateur!CI75*VLOOKUP('Données projet'!$B$12,Paramètres!$A$1:$I$89,3,0)*0.475*44/12</f>
        <v>12.567824863461796</v>
      </c>
      <c r="CM75" s="21">
        <f>EXP(-LN(2)/2)*CM74+(1-EXP(-LN(2)/2))/(LN(2)/2)*CG75*CJ75*VLOOKUP('Données projet'!$B$12,Paramètres!$A$1:$I$89,3,0)*0.475*44/12</f>
        <v>2.8629932730787067</v>
      </c>
      <c r="CN75" s="22">
        <f t="shared" si="66"/>
        <v>17.713406446299196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63.334130377255399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2.6</v>
      </c>
      <c r="CT75" s="12">
        <f>IF('Données projet'!$A$140&gt;35,CT74+CS75-DB74,IF(A75&lt;'Données projet'!$A$140,$CQ$205^A75,IF(A75='Données projet'!$A$140,'Données projet'!$B$140,CT74+CS75-DB74)))</f>
        <v>206.20000000000002</v>
      </c>
      <c r="CU75" s="17">
        <f>CT75*VLOOKUP('Données projet'!$B$13,Paramètres!$A$1:$I$89,3,0)*VLOOKUP('Données projet'!$B$13,Paramètres!$A$1:$I$89,5,0)</f>
        <v>180.13632000000004</v>
      </c>
      <c r="CV75" s="13">
        <f t="shared" si="95"/>
        <v>45.352513518602144</v>
      </c>
      <c r="CW75" s="20">
        <f t="shared" si="67"/>
        <v>392.72638504489879</v>
      </c>
      <c r="CX75" s="59">
        <f t="shared" si="68"/>
        <v>661.61819642816863</v>
      </c>
      <c r="CY75" s="59">
        <f ca="1">AVERAGE(OFFSET($CX$3,0,0,'Données projet'!$E$13+1,1))-AVERAGE(OFFSET($H$3,0,0,'Données projet'!$E$13+1,1))</f>
        <v>280.59827778697775</v>
      </c>
      <c r="CZ75" s="59">
        <f t="shared" si="96"/>
        <v>270.86588231964726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>
        <f>EXP(-LN(2)/35)*DF74+(1-EXP(-LN(2)/35))/(LN(2)/35)*DB75*DC75*VLOOKUP('Données projet'!$B$13,Paramètres!$A$1:$I$89,3,0)*0.475*44/12</f>
        <v>4.8643160688475113</v>
      </c>
      <c r="DG75" s="21">
        <f>EXP(-LN(2)/25)*DG74+(1-EXP(-LN(2)/25))/(LN(2)/25)*Calculateur!DB75*Calculateur!DD75*VLOOKUP('Données projet'!$B$13,Paramètres!$A$1:$I$89,3,0)*0.475*44/12</f>
        <v>9.7448161072352413</v>
      </c>
      <c r="DH75" s="21">
        <f>EXP(-LN(2)/2)*DH74+(1-EXP(-LN(2)/2))/(LN(2)/2)*DB75*DE75*VLOOKUP('Données projet'!$B$13,Paramètres!$A$1:$I$89,3,0)*0.475*44/12</f>
        <v>1.0069234587904103</v>
      </c>
      <c r="DI75" s="22">
        <f t="shared" si="69"/>
        <v>15.616055634873163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63.334130377255399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4.2307692307692264</v>
      </c>
      <c r="DO75" s="12">
        <f>IF('Données projet'!$A$166&gt;35,DO74+DN75-DW74,IF(A75&lt;'Données projet'!$A$166,$DL$205^A75,IF(A75='Données projet'!$A$166,'Données projet'!$B$166,DO74+DN75-DW74)))</f>
        <v>137.30769230769232</v>
      </c>
      <c r="DP75" s="17">
        <f>DO75*VLOOKUP('Données projet'!$B$14,Paramètres!$A$1:$I$89,3,0)*VLOOKUP('Données projet'!$B$14,Paramètres!$A$1:$I$89,5,0)</f>
        <v>92.106000000000009</v>
      </c>
      <c r="DQ75" s="13">
        <f t="shared" si="97"/>
        <v>25.072455710179614</v>
      </c>
      <c r="DR75" s="20">
        <f t="shared" si="70"/>
        <v>204.08581036189616</v>
      </c>
      <c r="DS75" s="59">
        <f t="shared" si="71"/>
        <v>472.977621745166</v>
      </c>
      <c r="DT75" s="59">
        <f ca="1">AVERAGE(OFFSET($DS$3,0,0,'Données projet'!$E$14+1,1))-AVERAGE(OFFSET($H$3,0,0,'Données projet'!$E$14+1,1))</f>
        <v>211.42385430331873</v>
      </c>
      <c r="DU75" s="59">
        <f t="shared" si="98"/>
        <v>146.84623106782686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>
        <f>EXP(-LN(2)/35)*EA74+(1-EXP(-LN(2)/35))/(LN(2)/35)*DW75*DX75*VLOOKUP('Données projet'!$B$14,Paramètres!$A$1:$I$89,3,0)*0.475*44/12</f>
        <v>0</v>
      </c>
      <c r="EB75" s="21">
        <f>EXP(-LN(2)/25)*EB74+(1-EXP(-LN(2)/25))/(LN(2)/25)*Calculateur!DW75*Calculateur!DY75*VLOOKUP('Données projet'!$B$14,Paramètres!$A$1:$I$89,3,0)*0.475*44/12</f>
        <v>7.3623808103360187</v>
      </c>
      <c r="EC75" s="21">
        <f>EXP(-LN(2)/2)*EC74+(1-EXP(-LN(2)/2))/(LN(2)/2)*DW75*DZ75*VLOOKUP('Données projet'!$B$14,Paramètres!$A$1:$I$89,3,0)*0.475*44/12</f>
        <v>1.3552943302472786</v>
      </c>
      <c r="ED75" s="22">
        <f t="shared" si="72"/>
        <v>8.7176751405832977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63.334130377255399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2.4358974358974366</v>
      </c>
      <c r="EJ75" s="12">
        <f>IF('Données projet'!$A$192&gt;35,EJ74+EI75-ER74,IF(A75&lt;'Données projet'!$A$192,$EG$205^A75,IF(A75='Données projet'!$A$192,'Données projet'!$B$192,EJ74+EI75-ER74)))</f>
        <v>81.794871794871767</v>
      </c>
      <c r="EK75" s="17">
        <f>EJ75*VLOOKUP('Données projet'!$B$15,Paramètres!$A$1:$I$89,3,0)*VLOOKUP('Données projet'!$B$15,Paramètres!$A$1:$I$89,5,0)</f>
        <v>88.043999999999969</v>
      </c>
      <c r="EL75" s="13">
        <f t="shared" si="99"/>
        <v>24.092883317529644</v>
      </c>
      <c r="EM75" s="20">
        <f t="shared" si="73"/>
        <v>195.30507177803074</v>
      </c>
      <c r="EN75" s="59">
        <f t="shared" si="74"/>
        <v>464.19688316130055</v>
      </c>
      <c r="EO75" s="59">
        <f ca="1">AVERAGE(OFFSET($EN$3,0,0,'Données projet'!$E$15+1,1))-AVERAGE(OFFSET($H$3,0,0,'Données projet'!$E$15+1,1))</f>
        <v>212.00478362779876</v>
      </c>
      <c r="EP75" s="59">
        <f t="shared" si="100"/>
        <v>133.62262474506707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>
        <f>EXP(-LN(2)/35)*EV74+(1-EXP(-LN(2)/35))/(LN(2)/35)*ER75*ES75*VLOOKUP('Données projet'!$B$15,Paramètres!$A$1:$I$89,3,0)*0.475*44/12</f>
        <v>0</v>
      </c>
      <c r="EW75" s="21">
        <f>EXP(-LN(2)/25)*EW74+(1-EXP(-LN(2)/25))/(LN(2)/25)*Calculateur!ER75*Calculateur!ET75*VLOOKUP('Données projet'!$B$15,Paramètres!$A$1:$I$89,3,0)*0.475*44/12</f>
        <v>4.3021069072002156</v>
      </c>
      <c r="EX75" s="21">
        <f>EXP(-LN(2)/2)*EX74+(1-EXP(-LN(2)/2))/(LN(2)/2)*ER75*EU75*VLOOKUP('Données projet'!$B$15,Paramètres!$A$1:$I$89,3,0)*0.475*44/12</f>
        <v>0.98852622940288237</v>
      </c>
      <c r="EY75" s="22">
        <f t="shared" si="75"/>
        <v>5.2906331366030983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63.334130377255399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2.4358974358974366</v>
      </c>
      <c r="FE75" s="12">
        <f>IF('Données projet'!$A$218&gt;35,FE74+FD75-FM74,IF(A75&lt;'Données projet'!$A$218,$FB$205^A75,IF(A75='Données projet'!$A$218,'Données projet'!$B$218,FE74+FD75-FM74)))</f>
        <v>81.794871794871767</v>
      </c>
      <c r="FF75" s="17">
        <f>FE75*VLOOKUP('Données projet'!$B$16,Paramètres!$A$1:$I$89,3,0)*VLOOKUP('Données projet'!$B$16,Paramètres!$A$1:$I$89,5,0)</f>
        <v>79.111999999999966</v>
      </c>
      <c r="FG75" s="13">
        <f t="shared" si="101"/>
        <v>21.919922665140906</v>
      </c>
      <c r="FH75" s="20">
        <f t="shared" si="76"/>
        <v>175.96393197512032</v>
      </c>
      <c r="FI75" s="59">
        <f t="shared" si="77"/>
        <v>444.85574335839016</v>
      </c>
      <c r="FJ75" s="59">
        <f ca="1">AVERAGE(OFFSET($FI$3,0,0,'Données projet'!$E$16+1,1))-AVERAGE(OFFSET($H$3,0,0,'Données projet'!$E$16+1,1))</f>
        <v>196.65742339093146</v>
      </c>
      <c r="FK75" s="59">
        <f t="shared" si="102"/>
        <v>125.41980634506001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>
        <f>EXP(-LN(2)/35)*FQ74+(1-EXP(-LN(2)/35))/(LN(2)/35)*FM75*FN75*VLOOKUP('Données projet'!$B$16,Paramètres!$A$1:$I$89,3,0)*0.475*44/12</f>
        <v>0</v>
      </c>
      <c r="FR75" s="21">
        <f>EXP(-LN(2)/25)*FR74+(1-EXP(-LN(2)/25))/(LN(2)/25)*Calculateur!FM75*Calculateur!FO75*VLOOKUP('Données projet'!$B$16,Paramètres!$A$1:$I$89,3,0)*0.475*44/12</f>
        <v>3.8656612789335272</v>
      </c>
      <c r="FS75" s="21">
        <f>EXP(-LN(2)/2)*FS74+(1-EXP(-LN(2)/2))/(LN(2)/2)*FM75*FP75*VLOOKUP('Données projet'!$B$16,Paramètres!$A$1:$I$89,3,0)*0.475*44/12</f>
        <v>0.88824095975331474</v>
      </c>
      <c r="FT75" s="22">
        <f t="shared" si="78"/>
        <v>4.7539022386868419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63.334130377255399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63.334130377255399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>
      <c r="A76" s="10">
        <f t="shared" si="85"/>
        <v>73</v>
      </c>
      <c r="B76" s="73">
        <f>'Scénario référence'!$B$16*5+'Scénario référence'!$B$17*0+'Scénario référence'!$B$18*5</f>
        <v>4.6999999999999993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3.8946959999999953</v>
      </c>
      <c r="D76" s="11">
        <f t="shared" si="86"/>
        <v>1.5321260844024562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18.712808825056573</v>
      </c>
      <c r="H76" s="67">
        <f t="shared" si="56"/>
        <v>197.18504846366761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63.44976831255812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9.7839999999999971</v>
      </c>
      <c r="N76" s="13">
        <f>IF('Données projet'!$A$36&gt;35,N75+M76-V75,IF(A76&lt;'Données projet'!$A$36,$K$205^A76,IF(A76='Données projet'!$A$36,'Données projet'!$B$36,N75+M76-V75)))</f>
        <v>451.54199999999975</v>
      </c>
      <c r="O76" s="13">
        <f>N76*VLOOKUP('Données projet'!$B$9,Paramètres!$A$1:$I$89,3,0)*VLOOKUP('Données projet'!$B$9,Paramètres!$A$1:$I$89,5,0)</f>
        <v>270.02211599999987</v>
      </c>
      <c r="P76" s="13">
        <f t="shared" si="87"/>
        <v>64.853962838834434</v>
      </c>
      <c r="Q76" s="20">
        <f t="shared" si="54"/>
        <v>583.24250397763637</v>
      </c>
      <c r="R76" s="59">
        <f t="shared" si="55"/>
        <v>852.55832112368284</v>
      </c>
      <c r="S76" s="59">
        <f ca="1">AVERAGE(OFFSET($R$3,0,0,'Données projet'!$E$9+1,1))-AVERAGE(OFFSET($H$3,0,0,'Données projet'!$E$9+1,1))</f>
        <v>366.93249569585623</v>
      </c>
      <c r="T76" s="59">
        <f t="shared" si="88"/>
        <v>272.47262353368501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48.111799662759744</v>
      </c>
      <c r="AA76" s="21">
        <f>EXP(-LN(2)/25)*AA75+(1-EXP(-LN(2)/25))/(LN(2)/25)*Calculateur!V76*Calculateur!X76*VLOOKUP('Données projet'!$B$9,Paramètres!$A$1:$I$89,3,0)*0.475*44/12</f>
        <v>17.92473913907407</v>
      </c>
      <c r="AB76" s="21">
        <f>EXP(-LN(2)/2)*AB75+(1-EXP(-LN(2)/2))/(LN(2)/2)*V76*Y76*VLOOKUP('Données projet'!$B$9,Paramètres!$A$1:$I$89,3,0)*0.475*44/12</f>
        <v>3.3577876706107528</v>
      </c>
      <c r="AC76" s="22">
        <f t="shared" si="57"/>
        <v>69.394326472444561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63.44976831255812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15.299999999999997</v>
      </c>
      <c r="AI76" s="13">
        <f>IF('Données projet'!$A$62&gt;35,AI75+AH76-AQ75,IF(A76&lt;'Données projet'!$A$62,$AF$205^A76,IF(A76='Données projet'!$A$62,'Données projet'!$B$62,AI75+AH76-AQ75)))</f>
        <v>410.21999999999957</v>
      </c>
      <c r="AJ76" s="13">
        <f>AI76*VLOOKUP('Données projet'!$B$10,Paramètres!$A$1:$I$89,3,0)*VLOOKUP('Données projet'!$B$10,Paramètres!$A$1:$I$89,5,0)</f>
        <v>191.98295999999979</v>
      </c>
      <c r="AK76" s="13">
        <f t="shared" si="89"/>
        <v>47.978091889278183</v>
      </c>
      <c r="AL76" s="20">
        <f t="shared" si="58"/>
        <v>417.93216537382574</v>
      </c>
      <c r="AM76" s="59">
        <f t="shared" si="59"/>
        <v>687.24798251987215</v>
      </c>
      <c r="AN76" s="59">
        <f ca="1">AVERAGE(OFFSET($AM$3,0,0,'Données projet'!$E$10+1,1))-AVERAGE(OFFSET($H$3,0,0,'Données projet'!$E$10+1,1))</f>
        <v>382.89338473200229</v>
      </c>
      <c r="AO76" s="59">
        <f t="shared" si="90"/>
        <v>360.46248248971744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76.654901629154025</v>
      </c>
      <c r="AV76" s="21">
        <f>EXP(-LN(2)/25)*AV75+(1-EXP(-LN(2)/25))/(LN(2)/25)*Calculateur!AQ76*Calculateur!AS76*VLOOKUP('Données projet'!$B$10,Paramètres!$A$1:$I$89,3,0)*0.475*44/12</f>
        <v>22.300655042771208</v>
      </c>
      <c r="AW76" s="21">
        <f>EXP(-LN(2)/2)*AW75+(1-EXP(-LN(2)/2))/(LN(2)/2)*AQ76*AT76*VLOOKUP('Données projet'!$B$10,Paramètres!$A$1:$I$89,3,0)*0.475*44/12</f>
        <v>5.1518013642776177</v>
      </c>
      <c r="AX76" s="21">
        <f t="shared" si="60"/>
        <v>104.10735803620285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63.44976831255812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2.1794871794871766</v>
      </c>
      <c r="BD76" s="12">
        <f>IF('Données projet'!$A$88&gt;35,BD75+BC76-BL75,IF(A76&lt;'Données projet'!$A$88,$BA$205^A76,IF(A76='Données projet'!$A$88,'Données projet'!$B$88,BD75+BC76-BL75)))</f>
        <v>126.41025641025635</v>
      </c>
      <c r="BE76" s="13">
        <f>BD76*VLOOKUP('Données projet'!$B$11,Paramètres!$A$1:$I$89,3,0)*VLOOKUP('Données projet'!$B$11,Paramètres!$A$1:$I$89,5,0)</f>
        <v>110.43199999999996</v>
      </c>
      <c r="BF76" s="13">
        <f t="shared" si="91"/>
        <v>29.432743911799658</v>
      </c>
      <c r="BG76" s="20">
        <f t="shared" si="61"/>
        <v>243.59776231305099</v>
      </c>
      <c r="BH76" s="59">
        <f t="shared" si="62"/>
        <v>512.91357945909738</v>
      </c>
      <c r="BI76" s="59">
        <f ca="1">AVERAGE(OFFSET($BH$3,0,0,'Données projet'!$E$11+1,1))-AVERAGE(OFFSET($H$3,0,0,'Données projet'!$E$11+1,1))</f>
        <v>225.75484198243581</v>
      </c>
      <c r="BJ76" s="59">
        <f t="shared" si="92"/>
        <v>199.49566488421061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0.69197032533572034</v>
      </c>
      <c r="BQ76" s="21">
        <f>EXP(-LN(2)/25)*BQ75+(1-EXP(-LN(2)/25))/(LN(2)/25)*Calculateur!BL76*Calculateur!BN76*VLOOKUP('Données projet'!$B$11,Paramètres!$A$1:$I$89,3,0)*0.475*44/12</f>
        <v>12.910087305091929</v>
      </c>
      <c r="BR76" s="21">
        <f>EXP(-LN(2)/2)*BR75+(1-EXP(-LN(2)/2))/(LN(2)/2)*BL76*BO76*VLOOKUP('Données projet'!$B$11,Paramètres!$A$1:$I$89,3,0)*0.475*44/12</f>
        <v>0</v>
      </c>
      <c r="BS76" s="22">
        <f t="shared" si="63"/>
        <v>13.60205763042765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63.44976831255812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6.2</v>
      </c>
      <c r="BY76" s="12">
        <f>IF('Données projet'!$A$114&gt;35,BY75+BX76-CG75,IF(A76&lt;'Données projet'!$A$114,$BV$205^A76,IF(A76='Données projet'!$A$114,'Données projet'!$B$114,BY75+BX76-CG75)))</f>
        <v>239.59999999999994</v>
      </c>
      <c r="BZ76" s="13">
        <f>BY76*VLOOKUP('Données projet'!$B$12,Paramètres!$A$1:$I$89,3,0)*VLOOKUP('Données projet'!$B$12,Paramètres!$A$1:$I$89,5,0)</f>
        <v>228.00335999999993</v>
      </c>
      <c r="CA76" s="13">
        <f t="shared" si="93"/>
        <v>55.850742452867522</v>
      </c>
      <c r="CB76" s="20">
        <f t="shared" si="64"/>
        <v>494.37922843874412</v>
      </c>
      <c r="CC76" s="59">
        <f t="shared" si="65"/>
        <v>763.69504558479048</v>
      </c>
      <c r="CD76" s="59">
        <f ca="1">AVERAGE(OFFSET($CC$3,0,0,'Données projet'!$E$12+1,1))-AVERAGE(OFFSET($H$3,0,0,'Données projet'!$E$12+1,1))</f>
        <v>413.9352601863377</v>
      </c>
      <c r="CE76" s="59">
        <f t="shared" si="94"/>
        <v>255.13997349799286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2.2378281452457212</v>
      </c>
      <c r="CL76" s="21">
        <f>EXP(-LN(2)/25)*CL75+(1-EXP(-LN(2)/25))/(LN(2)/25)*Calculateur!CG76*Calculateur!CI76*VLOOKUP('Données projet'!$B$12,Paramètres!$A$1:$I$89,3,0)*0.475*44/12</f>
        <v>12.224157031657247</v>
      </c>
      <c r="CM76" s="21">
        <f>EXP(-LN(2)/2)*CM75+(1-EXP(-LN(2)/2))/(LN(2)/2)*CG76*CJ76*VLOOKUP('Données projet'!$B$12,Paramètres!$A$1:$I$89,3,0)*0.475*44/12</f>
        <v>2.0244419578854225</v>
      </c>
      <c r="CN76" s="22">
        <f t="shared" si="66"/>
        <v>16.486427134788393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63.44976831255812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2.6</v>
      </c>
      <c r="CT76" s="12">
        <f>IF('Données projet'!$A$140&gt;35,CT75+CS76-DB75,IF(A76&lt;'Données projet'!$A$140,$CQ$205^A76,IF(A76='Données projet'!$A$140,'Données projet'!$B$140,CT75+CS76-DB75)))</f>
        <v>208.8</v>
      </c>
      <c r="CU76" s="17">
        <f>CT76*VLOOKUP('Données projet'!$B$13,Paramètres!$A$1:$I$89,3,0)*VLOOKUP('Données projet'!$B$13,Paramètres!$A$1:$I$89,5,0)</f>
        <v>182.40768000000003</v>
      </c>
      <c r="CV76" s="13">
        <f t="shared" si="95"/>
        <v>45.857435663065921</v>
      </c>
      <c r="CW76" s="20">
        <f t="shared" si="67"/>
        <v>397.56174311317318</v>
      </c>
      <c r="CX76" s="59">
        <f t="shared" si="68"/>
        <v>666.87756025921954</v>
      </c>
      <c r="CY76" s="59">
        <f ca="1">AVERAGE(OFFSET($CX$3,0,0,'Données projet'!$E$13+1,1))-AVERAGE(OFFSET($H$3,0,0,'Données projet'!$E$13+1,1))</f>
        <v>280.59827778697775</v>
      </c>
      <c r="CZ76" s="59">
        <f t="shared" si="96"/>
        <v>270.86588231964726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>
        <f>EXP(-LN(2)/35)*DF75+(1-EXP(-LN(2)/35))/(LN(2)/35)*DB76*DC76*VLOOKUP('Données projet'!$B$13,Paramètres!$A$1:$I$89,3,0)*0.475*44/12</f>
        <v>4.7689297976772522</v>
      </c>
      <c r="DG76" s="21">
        <f>EXP(-LN(2)/25)*DG75+(1-EXP(-LN(2)/25))/(LN(2)/25)*Calculateur!DB76*Calculateur!DD76*VLOOKUP('Données projet'!$B$13,Paramètres!$A$1:$I$89,3,0)*0.475*44/12</f>
        <v>9.4783435983252868</v>
      </c>
      <c r="DH76" s="21">
        <f>EXP(-LN(2)/2)*DH75+(1-EXP(-LN(2)/2))/(LN(2)/2)*DB76*DE76*VLOOKUP('Données projet'!$B$13,Paramètres!$A$1:$I$89,3,0)*0.475*44/12</f>
        <v>0.71200240584651231</v>
      </c>
      <c r="DI76" s="22">
        <f t="shared" si="69"/>
        <v>14.959275801849051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63.44976831255812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4.2307692307692264</v>
      </c>
      <c r="DO76" s="12">
        <f>IF('Données projet'!$A$166&gt;35,DO75+DN76-DW75,IF(A76&lt;'Données projet'!$A$166,$DL$205^A76,IF(A76='Données projet'!$A$166,'Données projet'!$B$166,DO75+DN76-DW75)))</f>
        <v>141.53846153846155</v>
      </c>
      <c r="DP76" s="17">
        <f>DO76*VLOOKUP('Données projet'!$B$14,Paramètres!$A$1:$I$89,3,0)*VLOOKUP('Données projet'!$B$14,Paramètres!$A$1:$I$89,5,0)</f>
        <v>94.944000000000003</v>
      </c>
      <c r="DQ76" s="13">
        <f t="shared" si="97"/>
        <v>25.753862320581135</v>
      </c>
      <c r="DR76" s="20">
        <f t="shared" si="70"/>
        <v>210.21544354167881</v>
      </c>
      <c r="DS76" s="59">
        <f t="shared" si="71"/>
        <v>479.53126068772519</v>
      </c>
      <c r="DT76" s="59">
        <f ca="1">AVERAGE(OFFSET($DS$3,0,0,'Données projet'!$E$14+1,1))-AVERAGE(OFFSET($H$3,0,0,'Données projet'!$E$14+1,1))</f>
        <v>211.42385430331873</v>
      </c>
      <c r="DU76" s="59">
        <f t="shared" si="98"/>
        <v>146.84623106782686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>
        <f>EXP(-LN(2)/35)*EA75+(1-EXP(-LN(2)/35))/(LN(2)/35)*DW76*DX76*VLOOKUP('Données projet'!$B$14,Paramètres!$A$1:$I$89,3,0)*0.475*44/12</f>
        <v>0</v>
      </c>
      <c r="EB76" s="21">
        <f>EXP(-LN(2)/25)*EB75+(1-EXP(-LN(2)/25))/(LN(2)/25)*Calculateur!DW76*Calculateur!DY76*VLOOKUP('Données projet'!$B$14,Paramètres!$A$1:$I$89,3,0)*0.475*44/12</f>
        <v>7.1610561199066005</v>
      </c>
      <c r="EC76" s="21">
        <f>EXP(-LN(2)/2)*EC75+(1-EXP(-LN(2)/2))/(LN(2)/2)*DW76*DZ76*VLOOKUP('Données projet'!$B$14,Paramètres!$A$1:$I$89,3,0)*0.475*44/12</f>
        <v>0.95833781142153096</v>
      </c>
      <c r="ED76" s="22">
        <f t="shared" si="72"/>
        <v>8.1193939313281316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63.44976831255812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2.4358974358974366</v>
      </c>
      <c r="EJ76" s="12">
        <f>IF('Données projet'!$A$192&gt;35,EJ75+EI76-ER75,IF(A76&lt;'Données projet'!$A$192,$EG$205^A76,IF(A76='Données projet'!$A$192,'Données projet'!$B$192,EJ75+EI76-ER75)))</f>
        <v>84.230769230769198</v>
      </c>
      <c r="EK76" s="17">
        <f>EJ76*VLOOKUP('Données projet'!$B$15,Paramètres!$A$1:$I$89,3,0)*VLOOKUP('Données projet'!$B$15,Paramètres!$A$1:$I$89,5,0)</f>
        <v>90.665999999999954</v>
      </c>
      <c r="EL76" s="13">
        <f t="shared" si="99"/>
        <v>24.725779169236624</v>
      </c>
      <c r="EM76" s="20">
        <f t="shared" si="73"/>
        <v>200.97401538642035</v>
      </c>
      <c r="EN76" s="59">
        <f t="shared" si="74"/>
        <v>470.28983253246679</v>
      </c>
      <c r="EO76" s="59">
        <f ca="1">AVERAGE(OFFSET($EN$3,0,0,'Données projet'!$E$15+1,1))-AVERAGE(OFFSET($H$3,0,0,'Données projet'!$E$15+1,1))</f>
        <v>212.00478362779876</v>
      </c>
      <c r="EP76" s="59">
        <f t="shared" si="100"/>
        <v>133.62262474506707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>
        <f>EXP(-LN(2)/35)*EV75+(1-EXP(-LN(2)/35))/(LN(2)/35)*ER76*ES76*VLOOKUP('Données projet'!$B$15,Paramètres!$A$1:$I$89,3,0)*0.475*44/12</f>
        <v>0</v>
      </c>
      <c r="EW76" s="21">
        <f>EXP(-LN(2)/25)*EW75+(1-EXP(-LN(2)/25))/(LN(2)/25)*Calculateur!ER76*Calculateur!ET76*VLOOKUP('Données projet'!$B$15,Paramètres!$A$1:$I$89,3,0)*0.475*44/12</f>
        <v>4.1844655675848559</v>
      </c>
      <c r="EX76" s="21">
        <f>EXP(-LN(2)/2)*EX75+(1-EXP(-LN(2)/2))/(LN(2)/2)*ER76*EU76*VLOOKUP('Données projet'!$B$15,Paramètres!$A$1:$I$89,3,0)*0.475*44/12</f>
        <v>0.69899360019154688</v>
      </c>
      <c r="EY76" s="22">
        <f t="shared" si="75"/>
        <v>4.8834591677764028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63.44976831255812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2.4358974358974366</v>
      </c>
      <c r="FE76" s="12">
        <f>IF('Données projet'!$A$218&gt;35,FE75+FD76-FM75,IF(A76&lt;'Données projet'!$A$218,$FB$205^A76,IF(A76='Données projet'!$A$218,'Données projet'!$B$218,FE75+FD76-FM75)))</f>
        <v>84.230769230769198</v>
      </c>
      <c r="FF76" s="17">
        <f>FE76*VLOOKUP('Données projet'!$B$16,Paramètres!$A$1:$I$89,3,0)*VLOOKUP('Données projet'!$B$16,Paramètres!$A$1:$I$89,5,0)</f>
        <v>81.467999999999975</v>
      </c>
      <c r="FG76" s="13">
        <f t="shared" si="101"/>
        <v>22.495737022503945</v>
      </c>
      <c r="FH76" s="20">
        <f t="shared" si="76"/>
        <v>181.07017531419433</v>
      </c>
      <c r="FI76" s="59">
        <f t="shared" si="77"/>
        <v>450.38599246024074</v>
      </c>
      <c r="FJ76" s="59">
        <f ca="1">AVERAGE(OFFSET($FI$3,0,0,'Données projet'!$E$16+1,1))-AVERAGE(OFFSET($H$3,0,0,'Données projet'!$E$16+1,1))</f>
        <v>196.65742339093146</v>
      </c>
      <c r="FK76" s="59">
        <f t="shared" si="102"/>
        <v>125.41980634506001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>
        <f>EXP(-LN(2)/35)*FQ75+(1-EXP(-LN(2)/35))/(LN(2)/35)*FM76*FN76*VLOOKUP('Données projet'!$B$16,Paramètres!$A$1:$I$89,3,0)*0.475*44/12</f>
        <v>0</v>
      </c>
      <c r="FR76" s="21">
        <f>EXP(-LN(2)/25)*FR75+(1-EXP(-LN(2)/25))/(LN(2)/25)*Calculateur!FM76*Calculateur!FO76*VLOOKUP('Données projet'!$B$16,Paramètres!$A$1:$I$89,3,0)*0.475*44/12</f>
        <v>3.7599545679747983</v>
      </c>
      <c r="FS76" s="21">
        <f>EXP(-LN(2)/2)*FS75+(1-EXP(-LN(2)/2))/(LN(2)/2)*FM76*FP76*VLOOKUP('Données projet'!$B$16,Paramètres!$A$1:$I$89,3,0)*0.475*44/12</f>
        <v>0.62808120596921613</v>
      </c>
      <c r="FT76" s="22">
        <f t="shared" si="78"/>
        <v>4.3880357739440141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63.44976831255812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63.44976831255812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>
      <c r="A77" s="10">
        <f t="shared" si="85"/>
        <v>74</v>
      </c>
      <c r="B77" s="73">
        <f>'Scénario référence'!$B$16*5+'Scénario référence'!$B$17*0+'Scénario référence'!$B$18*5</f>
        <v>4.6999999999999993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3.9480479999999951</v>
      </c>
      <c r="D77" s="11">
        <f t="shared" si="86"/>
        <v>1.5506563960520963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18.746101685189039</v>
      </c>
      <c r="H77" s="67">
        <f t="shared" si="56"/>
        <v>197.31024348979074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63.563400188211027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9.7839999999999971</v>
      </c>
      <c r="N77" s="13">
        <f>IF('Données projet'!$A$36&gt;35,N76+M77-V76,IF(A77&lt;'Données projet'!$A$36,$K$205^A77,IF(A77='Données projet'!$A$36,'Données projet'!$B$36,N76+M77-V76)))</f>
        <v>461.32599999999974</v>
      </c>
      <c r="O77" s="13">
        <f>N77*VLOOKUP('Données projet'!$B$9,Paramètres!$A$1:$I$89,3,0)*VLOOKUP('Données projet'!$B$9,Paramètres!$A$1:$I$89,5,0)</f>
        <v>275.87294799999984</v>
      </c>
      <c r="P77" s="13">
        <f t="shared" si="87"/>
        <v>66.094091843346078</v>
      </c>
      <c r="Q77" s="20">
        <f t="shared" si="54"/>
        <v>595.59259439382743</v>
      </c>
      <c r="R77" s="59">
        <f t="shared" si="55"/>
        <v>865.32506175060121</v>
      </c>
      <c r="S77" s="59">
        <f ca="1">AVERAGE(OFFSET($R$3,0,0,'Données projet'!$E$9+1,1))-AVERAGE(OFFSET($H$3,0,0,'Données projet'!$E$9+1,1))</f>
        <v>366.93249569585623</v>
      </c>
      <c r="T77" s="59">
        <f t="shared" si="88"/>
        <v>272.47262353368501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47.168356616673215</v>
      </c>
      <c r="AA77" s="21">
        <f>EXP(-LN(2)/25)*AA76+(1-EXP(-LN(2)/25))/(LN(2)/25)*Calculateur!V77*Calculateur!X77*VLOOKUP('Données projet'!$B$9,Paramètres!$A$1:$I$89,3,0)*0.475*44/12</f>
        <v>17.434586204695027</v>
      </c>
      <c r="AB77" s="21">
        <f>EXP(-LN(2)/2)*AB76+(1-EXP(-LN(2)/2))/(LN(2)/2)*V77*Y77*VLOOKUP('Données projet'!$B$9,Paramètres!$A$1:$I$89,3,0)*0.475*44/12</f>
        <v>2.374314431673445</v>
      </c>
      <c r="AC77" s="22">
        <f t="shared" si="57"/>
        <v>66.977257253041685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63.563400188211027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15.299999999999997</v>
      </c>
      <c r="AI77" s="13">
        <f>IF('Données projet'!$A$62&gt;35,AI76+AH77-AQ76,IF(A77&lt;'Données projet'!$A$62,$AF$205^A77,IF(A77='Données projet'!$A$62,'Données projet'!$B$62,AI76+AH77-AQ76)))</f>
        <v>425.51999999999958</v>
      </c>
      <c r="AJ77" s="13">
        <f>AI77*VLOOKUP('Données projet'!$B$10,Paramètres!$A$1:$I$89,3,0)*VLOOKUP('Données projet'!$B$10,Paramètres!$A$1:$I$89,5,0)</f>
        <v>199.1433599999998</v>
      </c>
      <c r="AK77" s="13">
        <f t="shared" si="89"/>
        <v>49.555857175564874</v>
      </c>
      <c r="AL77" s="20">
        <f t="shared" si="58"/>
        <v>433.15113658077513</v>
      </c>
      <c r="AM77" s="59">
        <f t="shared" si="59"/>
        <v>702.88360393754897</v>
      </c>
      <c r="AN77" s="59">
        <f ca="1">AVERAGE(OFFSET($AM$3,0,0,'Données projet'!$E$10+1,1))-AVERAGE(OFFSET($H$3,0,0,'Données projet'!$E$10+1,1))</f>
        <v>382.89338473200229</v>
      </c>
      <c r="AO77" s="59">
        <f t="shared" si="90"/>
        <v>360.46248248971744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75.151745763079646</v>
      </c>
      <c r="AV77" s="21">
        <f>EXP(-LN(2)/25)*AV76+(1-EXP(-LN(2)/25))/(LN(2)/25)*Calculateur!AQ77*Calculateur!AS77*VLOOKUP('Données projet'!$B$10,Paramètres!$A$1:$I$89,3,0)*0.475*44/12</f>
        <v>21.690842457886149</v>
      </c>
      <c r="AW77" s="21">
        <f>EXP(-LN(2)/2)*AW76+(1-EXP(-LN(2)/2))/(LN(2)/2)*AQ77*AT77*VLOOKUP('Données projet'!$B$10,Paramètres!$A$1:$I$89,3,0)*0.475*44/12</f>
        <v>3.6428736800068107</v>
      </c>
      <c r="AX77" s="21">
        <f t="shared" si="60"/>
        <v>100.48546190097261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63.563400188211027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2.1794871794871766</v>
      </c>
      <c r="BD77" s="12">
        <f>IF('Données projet'!$A$88&gt;35,BD76+BC77-BL76,IF(A77&lt;'Données projet'!$A$88,$BA$205^A77,IF(A77='Données projet'!$A$88,'Données projet'!$B$88,BD76+BC77-BL76)))</f>
        <v>128.58974358974353</v>
      </c>
      <c r="BE77" s="13">
        <f>BD77*VLOOKUP('Données projet'!$B$11,Paramètres!$A$1:$I$89,3,0)*VLOOKUP('Données projet'!$B$11,Paramètres!$A$1:$I$89,5,0)</f>
        <v>112.33599999999997</v>
      </c>
      <c r="BF77" s="13">
        <f t="shared" si="91"/>
        <v>29.880689463445172</v>
      </c>
      <c r="BG77" s="20">
        <f t="shared" si="61"/>
        <v>247.69406748216693</v>
      </c>
      <c r="BH77" s="59">
        <f t="shared" si="62"/>
        <v>517.42653483894071</v>
      </c>
      <c r="BI77" s="59">
        <f ca="1">AVERAGE(OFFSET($BH$3,0,0,'Données projet'!$E$11+1,1))-AVERAGE(OFFSET($H$3,0,0,'Données projet'!$E$11+1,1))</f>
        <v>225.75484198243581</v>
      </c>
      <c r="BJ77" s="59">
        <f t="shared" si="92"/>
        <v>199.49566488421061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0.67840120931611037</v>
      </c>
      <c r="BQ77" s="21">
        <f>EXP(-LN(2)/25)*BQ76+(1-EXP(-LN(2)/25))/(LN(2)/25)*Calculateur!BL77*Calculateur!BN77*VLOOKUP('Données projet'!$B$11,Paramètres!$A$1:$I$89,3,0)*0.475*44/12</f>
        <v>12.557060288822205</v>
      </c>
      <c r="BR77" s="21">
        <f>EXP(-LN(2)/2)*BR76+(1-EXP(-LN(2)/2))/(LN(2)/2)*BL77*BO77*VLOOKUP('Données projet'!$B$11,Paramètres!$A$1:$I$89,3,0)*0.475*44/12</f>
        <v>0</v>
      </c>
      <c r="BS77" s="22">
        <f t="shared" si="63"/>
        <v>13.235461498138315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63.563400188211027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6.2</v>
      </c>
      <c r="BY77" s="12">
        <f>IF('Données projet'!$A$114&gt;35,BY76+BX77-CG76,IF(A77&lt;'Données projet'!$A$114,$BV$205^A77,IF(A77='Données projet'!$A$114,'Données projet'!$B$114,BY76+BX77-CG76)))</f>
        <v>245.79999999999993</v>
      </c>
      <c r="BZ77" s="13">
        <f>BY77*VLOOKUP('Données projet'!$B$12,Paramètres!$A$1:$I$89,3,0)*VLOOKUP('Données projet'!$B$12,Paramètres!$A$1:$I$89,5,0)</f>
        <v>233.90327999999994</v>
      </c>
      <c r="CA77" s="13">
        <f t="shared" si="93"/>
        <v>57.125833544518095</v>
      </c>
      <c r="CB77" s="20">
        <f t="shared" si="64"/>
        <v>506.87570609003552</v>
      </c>
      <c r="CC77" s="59">
        <f t="shared" si="65"/>
        <v>776.60817344680936</v>
      </c>
      <c r="CD77" s="59">
        <f ca="1">AVERAGE(OFFSET($CC$3,0,0,'Données projet'!$E$12+1,1))-AVERAGE(OFFSET($H$3,0,0,'Données projet'!$E$12+1,1))</f>
        <v>413.9352601863377</v>
      </c>
      <c r="CE77" s="59">
        <f t="shared" si="94"/>
        <v>255.13997349799286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2.1939457002578444</v>
      </c>
      <c r="CL77" s="21">
        <f>EXP(-LN(2)/25)*CL76+(1-EXP(-LN(2)/25))/(LN(2)/25)*Calculateur!CG77*Calculateur!CI77*VLOOKUP('Données projet'!$B$12,Paramètres!$A$1:$I$89,3,0)*0.475*44/12</f>
        <v>11.889886814786101</v>
      </c>
      <c r="CM77" s="21">
        <f>EXP(-LN(2)/2)*CM76+(1-EXP(-LN(2)/2))/(LN(2)/2)*CG77*CJ77*VLOOKUP('Données projet'!$B$12,Paramètres!$A$1:$I$89,3,0)*0.475*44/12</f>
        <v>1.4314966365393533</v>
      </c>
      <c r="CN77" s="22">
        <f t="shared" si="66"/>
        <v>15.515329151583298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63.563400188211027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2.6</v>
      </c>
      <c r="CT77" s="12">
        <f>IF('Données projet'!$A$140&gt;35,CT76+CS77-DB76,IF(A77&lt;'Données projet'!$A$140,$CQ$205^A77,IF(A77='Données projet'!$A$140,'Données projet'!$B$140,CT76+CS77-DB76)))</f>
        <v>211.4</v>
      </c>
      <c r="CU77" s="17">
        <f>CT77*VLOOKUP('Données projet'!$B$13,Paramètres!$A$1:$I$89,3,0)*VLOOKUP('Données projet'!$B$13,Paramètres!$A$1:$I$89,5,0)</f>
        <v>184.67904000000004</v>
      </c>
      <c r="CV77" s="13">
        <f t="shared" si="95"/>
        <v>46.361626470742223</v>
      </c>
      <c r="CW77" s="20">
        <f t="shared" si="67"/>
        <v>402.39582743654279</v>
      </c>
      <c r="CX77" s="59">
        <f t="shared" si="68"/>
        <v>672.12829479331663</v>
      </c>
      <c r="CY77" s="59">
        <f ca="1">AVERAGE(OFFSET($CX$3,0,0,'Données projet'!$E$13+1,1))-AVERAGE(OFFSET($H$3,0,0,'Données projet'!$E$13+1,1))</f>
        <v>280.59827778697775</v>
      </c>
      <c r="CZ77" s="59">
        <f t="shared" si="96"/>
        <v>270.86588231964726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>
        <f>EXP(-LN(2)/35)*DF76+(1-EXP(-LN(2)/35))/(LN(2)/35)*DB77*DC77*VLOOKUP('Données projet'!$B$13,Paramètres!$A$1:$I$89,3,0)*0.475*44/12</f>
        <v>4.6754139931047618</v>
      </c>
      <c r="DG77" s="21">
        <f>EXP(-LN(2)/25)*DG76+(1-EXP(-LN(2)/25))/(LN(2)/25)*Calculateur!DB77*Calculateur!DD77*VLOOKUP('Données projet'!$B$13,Paramètres!$A$1:$I$89,3,0)*0.475*44/12</f>
        <v>9.219157794184655</v>
      </c>
      <c r="DH77" s="21">
        <f>EXP(-LN(2)/2)*DH76+(1-EXP(-LN(2)/2))/(LN(2)/2)*DB77*DE77*VLOOKUP('Données projet'!$B$13,Paramètres!$A$1:$I$89,3,0)*0.475*44/12</f>
        <v>0.50346172939520517</v>
      </c>
      <c r="DI77" s="22">
        <f t="shared" si="69"/>
        <v>14.398033516684622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63.563400188211027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4.2307692307692264</v>
      </c>
      <c r="DO77" s="12">
        <f>IF('Données projet'!$A$166&gt;35,DO76+DN77-DW76,IF(A77&lt;'Données projet'!$A$166,$DL$205^A77,IF(A77='Données projet'!$A$166,'Données projet'!$B$166,DO76+DN77-DW76)))</f>
        <v>145.76923076923077</v>
      </c>
      <c r="DP77" s="17">
        <f>DO77*VLOOKUP('Données projet'!$B$14,Paramètres!$A$1:$I$89,3,0)*VLOOKUP('Données projet'!$B$14,Paramètres!$A$1:$I$89,5,0)</f>
        <v>97.781999999999996</v>
      </c>
      <c r="DQ77" s="13">
        <f t="shared" si="97"/>
        <v>26.43290182765698</v>
      </c>
      <c r="DR77" s="20">
        <f t="shared" si="70"/>
        <v>216.34095401650256</v>
      </c>
      <c r="DS77" s="59">
        <f t="shared" si="71"/>
        <v>486.07342137327635</v>
      </c>
      <c r="DT77" s="59">
        <f ca="1">AVERAGE(OFFSET($DS$3,0,0,'Données projet'!$E$14+1,1))-AVERAGE(OFFSET($H$3,0,0,'Données projet'!$E$14+1,1))</f>
        <v>211.42385430331873</v>
      </c>
      <c r="DU77" s="59">
        <f t="shared" si="98"/>
        <v>146.84623106782686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>
        <f>EXP(-LN(2)/35)*EA76+(1-EXP(-LN(2)/35))/(LN(2)/35)*DW77*DX77*VLOOKUP('Données projet'!$B$14,Paramètres!$A$1:$I$89,3,0)*0.475*44/12</f>
        <v>0</v>
      </c>
      <c r="EB77" s="21">
        <f>EXP(-LN(2)/25)*EB76+(1-EXP(-LN(2)/25))/(LN(2)/25)*Calculateur!DW77*Calculateur!DY77*VLOOKUP('Données projet'!$B$14,Paramètres!$A$1:$I$89,3,0)*0.475*44/12</f>
        <v>6.9652366637241796</v>
      </c>
      <c r="EC77" s="21">
        <f>EXP(-LN(2)/2)*EC76+(1-EXP(-LN(2)/2))/(LN(2)/2)*DW77*DZ77*VLOOKUP('Données projet'!$B$14,Paramètres!$A$1:$I$89,3,0)*0.475*44/12</f>
        <v>0.67764716512363943</v>
      </c>
      <c r="ED77" s="22">
        <f t="shared" si="72"/>
        <v>7.6428838288478191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63.563400188211027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2.4358974358974366</v>
      </c>
      <c r="EJ77" s="12">
        <f>IF('Données projet'!$A$192&gt;35,EJ76+EI77-ER76,IF(A77&lt;'Données projet'!$A$192,$EG$205^A77,IF(A77='Données projet'!$A$192,'Données projet'!$B$192,EJ76+EI77-ER76)))</f>
        <v>86.666666666666629</v>
      </c>
      <c r="EK77" s="17">
        <f>EJ77*VLOOKUP('Données projet'!$B$15,Paramètres!$A$1:$I$89,3,0)*VLOOKUP('Données projet'!$B$15,Paramètres!$A$1:$I$89,5,0)</f>
        <v>93.287999999999954</v>
      </c>
      <c r="EL77" s="13">
        <f t="shared" si="99"/>
        <v>25.356547829040977</v>
      </c>
      <c r="EM77" s="20">
        <f t="shared" si="73"/>
        <v>206.63925413557965</v>
      </c>
      <c r="EN77" s="59">
        <f t="shared" si="74"/>
        <v>476.37172149235346</v>
      </c>
      <c r="EO77" s="59">
        <f ca="1">AVERAGE(OFFSET($EN$3,0,0,'Données projet'!$E$15+1,1))-AVERAGE(OFFSET($H$3,0,0,'Données projet'!$E$15+1,1))</f>
        <v>212.00478362779876</v>
      </c>
      <c r="EP77" s="59">
        <f t="shared" si="100"/>
        <v>133.62262474506707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>
        <f>EXP(-LN(2)/35)*EV76+(1-EXP(-LN(2)/35))/(LN(2)/35)*ER77*ES77*VLOOKUP('Données projet'!$B$15,Paramètres!$A$1:$I$89,3,0)*0.475*44/12</f>
        <v>0</v>
      </c>
      <c r="EW77" s="21">
        <f>EXP(-LN(2)/25)*EW76+(1-EXP(-LN(2)/25))/(LN(2)/25)*Calculateur!ER77*Calculateur!ET77*VLOOKUP('Données projet'!$B$15,Paramètres!$A$1:$I$89,3,0)*0.475*44/12</f>
        <v>4.0700411365877676</v>
      </c>
      <c r="EX77" s="21">
        <f>EXP(-LN(2)/2)*EX76+(1-EXP(-LN(2)/2))/(LN(2)/2)*ER77*EU77*VLOOKUP('Données projet'!$B$15,Paramètres!$A$1:$I$89,3,0)*0.475*44/12</f>
        <v>0.49426311470144124</v>
      </c>
      <c r="EY77" s="22">
        <f t="shared" si="75"/>
        <v>4.5643042512892089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63.563400188211027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2.4358974358974366</v>
      </c>
      <c r="FE77" s="12">
        <f>IF('Données projet'!$A$218&gt;35,FE76+FD77-FM76,IF(A77&lt;'Données projet'!$A$218,$FB$205^A77,IF(A77='Données projet'!$A$218,'Données projet'!$B$218,FE76+FD77-FM76)))</f>
        <v>86.666666666666629</v>
      </c>
      <c r="FF77" s="17">
        <f>FE77*VLOOKUP('Données projet'!$B$16,Paramètres!$A$1:$I$89,3,0)*VLOOKUP('Données projet'!$B$16,Paramètres!$A$1:$I$89,5,0)</f>
        <v>83.82399999999997</v>
      </c>
      <c r="FG77" s="13">
        <f t="shared" si="101"/>
        <v>23.069616041477374</v>
      </c>
      <c r="FH77" s="20">
        <f t="shared" si="76"/>
        <v>186.17304793890639</v>
      </c>
      <c r="FI77" s="59">
        <f t="shared" si="77"/>
        <v>455.90551529568017</v>
      </c>
      <c r="FJ77" s="59">
        <f ca="1">AVERAGE(OFFSET($FI$3,0,0,'Données projet'!$E$16+1,1))-AVERAGE(OFFSET($H$3,0,0,'Données projet'!$E$16+1,1))</f>
        <v>196.65742339093146</v>
      </c>
      <c r="FK77" s="59">
        <f t="shared" si="102"/>
        <v>125.41980634506001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>
        <f>EXP(-LN(2)/35)*FQ76+(1-EXP(-LN(2)/35))/(LN(2)/35)*FM77*FN77*VLOOKUP('Données projet'!$B$16,Paramètres!$A$1:$I$89,3,0)*0.475*44/12</f>
        <v>0</v>
      </c>
      <c r="FR77" s="21">
        <f>EXP(-LN(2)/25)*FR76+(1-EXP(-LN(2)/25))/(LN(2)/25)*Calculateur!FM77*Calculateur!FO77*VLOOKUP('Données projet'!$B$16,Paramètres!$A$1:$I$89,3,0)*0.475*44/12</f>
        <v>3.6571384125861104</v>
      </c>
      <c r="FS77" s="21">
        <f>EXP(-LN(2)/2)*FS76+(1-EXP(-LN(2)/2))/(LN(2)/2)*FM77*FP77*VLOOKUP('Données projet'!$B$16,Paramètres!$A$1:$I$89,3,0)*0.475*44/12</f>
        <v>0.44412047987665743</v>
      </c>
      <c r="FT77" s="22">
        <f t="shared" si="78"/>
        <v>4.1012588924627682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63.563400188211027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63.563400188211027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>
      <c r="A78" s="10">
        <f t="shared" si="85"/>
        <v>75</v>
      </c>
      <c r="B78" s="73">
        <f>'Scénario référence'!$B$16*5+'Scénario référence'!$B$17*0+'Scénario référence'!$B$18*5</f>
        <v>4.6999999999999993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4.001399999999995</v>
      </c>
      <c r="D78" s="11">
        <f t="shared" si="86"/>
        <v>1.5691575819972103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18.779381055521512</v>
      </c>
      <c r="H78" s="67">
        <f t="shared" si="56"/>
        <v>197.43538778864516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63.675060804864181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9.7839999999999971</v>
      </c>
      <c r="N78" s="13">
        <f>IF('Données projet'!$A$36&gt;35,N77+M78-V77,IF(A78&lt;'Données projet'!$A$36,$K$205^A78,IF(A78='Données projet'!$A$36,'Données projet'!$B$36,N77+M78-V77)))</f>
        <v>471.10999999999973</v>
      </c>
      <c r="O78" s="13">
        <f>N78*VLOOKUP('Données projet'!$B$9,Paramètres!$A$1:$I$89,3,0)*VLOOKUP('Données projet'!$B$9,Paramètres!$A$1:$I$89,5,0)</f>
        <v>281.72377999999986</v>
      </c>
      <c r="P78" s="13">
        <f t="shared" si="87"/>
        <v>67.331162922926637</v>
      </c>
      <c r="Q78" s="20">
        <f t="shared" si="54"/>
        <v>607.93735892409688</v>
      </c>
      <c r="R78" s="59">
        <f t="shared" si="55"/>
        <v>878.0792485419322</v>
      </c>
      <c r="S78" s="59">
        <f ca="1">AVERAGE(OFFSET($R$3,0,0,'Données projet'!$E$9+1,1))-AVERAGE(OFFSET($H$3,0,0,'Données projet'!$E$9+1,1))</f>
        <v>366.93249569585623</v>
      </c>
      <c r="T78" s="59">
        <f t="shared" si="88"/>
        <v>272.47262353368501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46.243413913277003</v>
      </c>
      <c r="AA78" s="21">
        <f>EXP(-LN(2)/25)*AA77+(1-EXP(-LN(2)/25))/(LN(2)/25)*Calculateur!V78*Calculateur!X78*VLOOKUP('Données projet'!$B$9,Paramètres!$A$1:$I$89,3,0)*0.475*44/12</f>
        <v>16.957836528082598</v>
      </c>
      <c r="AB78" s="21">
        <f>EXP(-LN(2)/2)*AB77+(1-EXP(-LN(2)/2))/(LN(2)/2)*V78*Y78*VLOOKUP('Données projet'!$B$9,Paramètres!$A$1:$I$89,3,0)*0.475*44/12</f>
        <v>1.6788938353053768</v>
      </c>
      <c r="AC78" s="22">
        <f t="shared" si="57"/>
        <v>64.880144276664979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63.675060804864181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15.299999999999997</v>
      </c>
      <c r="AI78" s="13">
        <f>IF('Données projet'!$A$62&gt;35,AI77+AH78-AQ77,IF(A78&lt;'Données projet'!$A$62,$AF$205^A78,IF(A78='Données projet'!$A$62,'Données projet'!$B$62,AI77+AH78-AQ77)))</f>
        <v>440.8199999999996</v>
      </c>
      <c r="AJ78" s="13">
        <f>AI78*VLOOKUP('Données projet'!$B$10,Paramètres!$A$1:$I$89,3,0)*VLOOKUP('Données projet'!$B$10,Paramètres!$A$1:$I$89,5,0)</f>
        <v>206.30375999999981</v>
      </c>
      <c r="AK78" s="13">
        <f t="shared" si="89"/>
        <v>51.127031372708522</v>
      </c>
      <c r="AL78" s="20">
        <f t="shared" si="58"/>
        <v>448.35862830746697</v>
      </c>
      <c r="AM78" s="59">
        <f t="shared" si="59"/>
        <v>718.50051792530235</v>
      </c>
      <c r="AN78" s="59">
        <f ca="1">AVERAGE(OFFSET($AM$3,0,0,'Données projet'!$E$10+1,1))-AVERAGE(OFFSET($H$3,0,0,'Données projet'!$E$10+1,1))</f>
        <v>382.89338473200229</v>
      </c>
      <c r="AO78" s="59">
        <f t="shared" si="90"/>
        <v>360.46248248971744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73.678065866704443</v>
      </c>
      <c r="AV78" s="21">
        <f>EXP(-LN(2)/25)*AV77+(1-EXP(-LN(2)/25))/(LN(2)/25)*Calculateur!AQ78*Calculateur!AS78*VLOOKUP('Données projet'!$B$10,Paramètres!$A$1:$I$89,3,0)*0.475*44/12</f>
        <v>21.09770523020342</v>
      </c>
      <c r="AW78" s="21">
        <f>EXP(-LN(2)/2)*AW77+(1-EXP(-LN(2)/2))/(LN(2)/2)*AQ78*AT78*VLOOKUP('Données projet'!$B$10,Paramètres!$A$1:$I$89,3,0)*0.475*44/12</f>
        <v>2.5759006821388093</v>
      </c>
      <c r="AX78" s="21">
        <f t="shared" si="60"/>
        <v>97.351671779046669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63.675060804864181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>
        <f>VLOOKUP(A78,'Données projet'!$A$87:$I$107,2,0)</f>
        <v>130.76923076923075</v>
      </c>
      <c r="BB78" s="12">
        <f>VLOOKUP(A78,'Données projet'!$A$87:$I$107,9,0)</f>
        <v>2.1794871794871766</v>
      </c>
      <c r="BC78" s="12">
        <f t="array" ref="BC78">INDEX(BB:BB,MIN(IF(ISNUMBER(BB78:BB274),ROW(BB78:BB274),"")))</f>
        <v>2.1794871794871766</v>
      </c>
      <c r="BD78" s="12">
        <f>IF('Données projet'!$A$88&gt;35,BD77+BC78-BL77,IF(A78&lt;'Données projet'!$A$88,$BA$205^A78,IF(A78='Données projet'!$A$88,'Données projet'!$B$88,BD77+BC78-BL77)))</f>
        <v>130.76923076923072</v>
      </c>
      <c r="BE78" s="13">
        <f>BD78*VLOOKUP('Données projet'!$B$11,Paramètres!$A$1:$I$89,3,0)*VLOOKUP('Données projet'!$B$11,Paramètres!$A$1:$I$89,5,0)</f>
        <v>114.23999999999998</v>
      </c>
      <c r="BF78" s="13">
        <f t="shared" si="91"/>
        <v>30.327752098158388</v>
      </c>
      <c r="BG78" s="20">
        <f t="shared" si="61"/>
        <v>251.78883490429246</v>
      </c>
      <c r="BH78" s="59">
        <f t="shared" si="62"/>
        <v>521.93072452212778</v>
      </c>
      <c r="BI78" s="59">
        <f ca="1">AVERAGE(OFFSET($BH$3,0,0,'Données projet'!$E$11+1,1))-AVERAGE(OFFSET($H$3,0,0,'Données projet'!$E$11+1,1))</f>
        <v>225.75484198243581</v>
      </c>
      <c r="BJ78" s="59">
        <f t="shared" si="92"/>
        <v>199.49566488421061</v>
      </c>
      <c r="BK78" s="15">
        <f>IF(ISNA(VLOOKUP(A78,'Données projet'!$A$87:$I$107,3,0)),0,VLOOKUP(A78,'Données projet'!$A$87:$I$107,3,0))</f>
        <v>12</v>
      </c>
      <c r="BL78" s="15">
        <f>IF(ISNA(VLOOKUP(A78,'Données projet'!$A$87:$I$107,4,0)),0,VLOOKUP(A78,'Données projet'!$A$87:$I$107,4,0))</f>
        <v>7.6923076923076916</v>
      </c>
      <c r="BM78" s="16">
        <f>IF(ISNA(VLOOKUP(A78,'Données projet'!$A$87:$I$107,5,0)),0%,VLOOKUP(A78,'Données projet'!$A$87:$I$107,5,0)*VLOOKUP('Données projet'!$B$11,Paramètres!$A$1:$I$89,7,0))</f>
        <v>4.3000000000000003E-2</v>
      </c>
      <c r="BN78" s="16">
        <f>IF(ISNA(VLOOKUP(A78,'Données projet'!$A$87:$I$107,6,0)),0%,VLOOKUP(A78,'Données projet'!$A$87:$I$107,6,0)*VLOOKUP('Données projet'!$B$11,Paramètres!$A$1:$I$89,7,0))</f>
        <v>0.215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0.98453489625514257</v>
      </c>
      <c r="BQ78" s="21">
        <f>EXP(-LN(2)/25)*BQ77+(1-EXP(-LN(2)/25))/(LN(2)/25)*Calculateur!BL78*Calculateur!BN78*VLOOKUP('Données projet'!$B$11,Paramètres!$A$1:$I$89,3,0)*0.475*44/12</f>
        <v>13.804581698801481</v>
      </c>
      <c r="BR78" s="21">
        <f>EXP(-LN(2)/2)*BR77+(1-EXP(-LN(2)/2))/(LN(2)/2)*BL78*BO78*VLOOKUP('Données projet'!$B$11,Paramètres!$A$1:$I$89,3,0)*0.475*44/12</f>
        <v>0</v>
      </c>
      <c r="BS78" s="22">
        <f t="shared" si="63"/>
        <v>14.789116595056624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63.675060804864181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>
        <f>VLOOKUP(A78,'Données projet'!$A$113:$I$133,2,0)</f>
        <v>252</v>
      </c>
      <c r="BW78" s="12">
        <f>VLOOKUP(A78,'Données projet'!$A$113:$I$133,9,0)</f>
        <v>6.2</v>
      </c>
      <c r="BX78" s="12">
        <f t="array" ref="BX78">INDEX(BW:BW,MIN(IF(ISNUMBER(BW78:BW274),ROW(BW78:BW274),"")))</f>
        <v>6.2</v>
      </c>
      <c r="BY78" s="12">
        <f>IF('Données projet'!$A$114&gt;35,BY77+BX78-CG77,IF(A78&lt;'Données projet'!$A$114,$BV$205^A78,IF(A78='Données projet'!$A$114,'Données projet'!$B$114,BY77+BX78-CG77)))</f>
        <v>251.99999999999991</v>
      </c>
      <c r="BZ78" s="13">
        <f>BY78*VLOOKUP('Données projet'!$B$12,Paramètres!$A$1:$I$89,3,0)*VLOOKUP('Données projet'!$B$12,Paramètres!$A$1:$I$89,5,0)</f>
        <v>239.80319999999992</v>
      </c>
      <c r="CA78" s="13">
        <f t="shared" si="93"/>
        <v>58.397185982155214</v>
      </c>
      <c r="CB78" s="20">
        <f t="shared" si="64"/>
        <v>519.36567225225349</v>
      </c>
      <c r="CC78" s="59">
        <f t="shared" si="65"/>
        <v>789.50756187008892</v>
      </c>
      <c r="CD78" s="59">
        <f ca="1">AVERAGE(OFFSET($CC$3,0,0,'Données projet'!$E$12+1,1))-AVERAGE(OFFSET($H$3,0,0,'Données projet'!$E$12+1,1))</f>
        <v>413.9352601863377</v>
      </c>
      <c r="CE78" s="59">
        <f t="shared" si="94"/>
        <v>255.13997349799286</v>
      </c>
      <c r="CF78" s="15">
        <f>IF(ISNA(VLOOKUP(A78,'Données projet'!$A$113:$I$133,3,0)),0,VLOOKUP(A78,'Données projet'!$A$113:$I$133,3,0))</f>
        <v>11</v>
      </c>
      <c r="CG78" s="15">
        <f>IF(ISNA(VLOOKUP(A78,'Données projet'!$A$113:$I$133,4,0)),0,VLOOKUP(A78,'Données projet'!$A$113:$I$133,4,0))</f>
        <v>21</v>
      </c>
      <c r="CH78" s="16">
        <f>IF(ISNA(VLOOKUP(A78,'Données projet'!$A$113:$I$133,5,0)),0%,VLOOKUP(A78,'Données projet'!$A$113:$I$133,5,0)*VLOOKUP('Données projet'!$B$12,Paramètres!$A$1:$I$89,7,0))</f>
        <v>0.1075</v>
      </c>
      <c r="CI78" s="16">
        <f>IF(ISNA(VLOOKUP(A78,'Données projet'!$A$113:$I$133,6,0)),0%,VLOOKUP(A78,'Données projet'!$A$113:$I$133,6,0)*VLOOKUP('Données projet'!$B$12,Paramètres!$A$1:$I$89,7,0))</f>
        <v>0.1075</v>
      </c>
      <c r="CJ78" s="16">
        <f>IF(ISNA(VLOOKUP(A78,'Données projet'!$A$113:$I$133,7,0)),0%,VLOOKUP(A78,'Données projet'!$A$113:$I$133,7,0))</f>
        <v>0.25</v>
      </c>
      <c r="CK78" s="21">
        <f>EXP(-LN(2)/35)*CK77+(1-EXP(-LN(2)/35))/(LN(2)/35)*CG78*CH78*VLOOKUP('Données projet'!$B$12,Paramètres!$A$1:$I$89,3,0)*0.475*44/12</f>
        <v>4.5257361349672571</v>
      </c>
      <c r="CL78" s="21">
        <f>EXP(-LN(2)/25)*CL77+(1-EXP(-LN(2)/25))/(LN(2)/25)*Calculateur!CG78*Calculateur!CI78*VLOOKUP('Données projet'!$B$12,Paramètres!$A$1:$I$89,3,0)*0.475*44/12</f>
        <v>13.930219065108625</v>
      </c>
      <c r="CM78" s="21">
        <f>EXP(-LN(2)/2)*CM77+(1-EXP(-LN(2)/2))/(LN(2)/2)*CG78*CJ78*VLOOKUP('Données projet'!$B$12,Paramètres!$A$1:$I$89,3,0)*0.475*44/12</f>
        <v>5.7259870916197704</v>
      </c>
      <c r="CN78" s="22">
        <f t="shared" si="66"/>
        <v>24.181942291695655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63.675060804864181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>
        <f>VLOOKUP(A78,'Données projet'!$A$139:$I$159,2,0)</f>
        <v>214</v>
      </c>
      <c r="CR78" s="12">
        <f>VLOOKUP(A78,'Données projet'!$A$139:$I$159,9,0)</f>
        <v>2.6</v>
      </c>
      <c r="CS78" s="12">
        <f t="array" ref="CS78">INDEX(CR:CR,MIN(IF(ISNUMBER(CR78:CR274),ROW(CR78:CR274),"")))</f>
        <v>2.6</v>
      </c>
      <c r="CT78" s="12">
        <f>IF('Données projet'!$A$140&gt;35,CT77+CS78-DB77,IF(A78&lt;'Données projet'!$A$140,$CQ$205^A78,IF(A78='Données projet'!$A$140,'Données projet'!$B$140,CT77+CS78-DB77)))</f>
        <v>214</v>
      </c>
      <c r="CU78" s="17">
        <f>CT78*VLOOKUP('Données projet'!$B$13,Paramètres!$A$1:$I$89,3,0)*VLOOKUP('Données projet'!$B$13,Paramètres!$A$1:$I$89,5,0)</f>
        <v>186.95040000000003</v>
      </c>
      <c r="CV78" s="13">
        <f t="shared" si="95"/>
        <v>46.865095976617653</v>
      </c>
      <c r="CW78" s="20">
        <f t="shared" si="67"/>
        <v>407.22865549260911</v>
      </c>
      <c r="CX78" s="59">
        <f t="shared" si="68"/>
        <v>677.37054511044448</v>
      </c>
      <c r="CY78" s="59">
        <f ca="1">AVERAGE(OFFSET($CX$3,0,0,'Données projet'!$E$13+1,1))-AVERAGE(OFFSET($H$3,0,0,'Données projet'!$E$13+1,1))</f>
        <v>280.59827778697775</v>
      </c>
      <c r="CZ78" s="59">
        <f t="shared" si="96"/>
        <v>270.86588231964726</v>
      </c>
      <c r="DA78" s="15">
        <f>IF(ISNA(VLOOKUP(A78,'Données projet'!$A$139:$I$159,3,0)),0,VLOOKUP(A78,'Données projet'!$A$139:$I$159,3,0))</f>
        <v>12</v>
      </c>
      <c r="DB78" s="15">
        <f>IF(ISNA(VLOOKUP(A78,'Données projet'!$A$139:$I$159,4,0)),0,VLOOKUP(A78,'Données projet'!$A$139:$I$159,4,0))</f>
        <v>7</v>
      </c>
      <c r="DC78" s="16">
        <f>IF(ISNA(VLOOKUP(A78,'Données projet'!$A$139:$I$159,5,0)),0%,VLOOKUP(A78,'Données projet'!$A$139:$I$159,5,0)*VLOOKUP('Données projet'!$B$13,Paramètres!$A$1:$I$89,7,0))</f>
        <v>0.13250000000000001</v>
      </c>
      <c r="DD78" s="16">
        <f>IF(ISNA(VLOOKUP(A78,'Données projet'!$A$139:$I$159,6,0)),0%,VLOOKUP(A78,'Données projet'!$A$139:$I$159,6,0)*VLOOKUP('Données projet'!$B$13,Paramètres!$A$1:$I$89,7,0))</f>
        <v>0.13250000000000001</v>
      </c>
      <c r="DE78" s="16">
        <f>IF(ISNA(VLOOKUP(A78,'Données projet'!$A$139:$I$159,7,0)),0%,VLOOKUP(A78,'Données projet'!$A$139:$I$159,7,0))</f>
        <v>0.25</v>
      </c>
      <c r="DF78" s="21">
        <f>EXP(-LN(2)/35)*DF77+(1-EXP(-LN(2)/35))/(LN(2)/35)*DB78*DC78*VLOOKUP('Données projet'!$B$13,Paramètres!$A$1:$I$89,3,0)*0.475*44/12</f>
        <v>5.4794548280228152</v>
      </c>
      <c r="DG78" s="21">
        <f>EXP(-LN(2)/25)*DG77+(1-EXP(-LN(2)/25))/(LN(2)/25)*Calculateur!DB78*Calculateur!DD78*VLOOKUP('Données projet'!$B$13,Paramètres!$A$1:$I$89,3,0)*0.475*44/12</f>
        <v>9.8592554889262054</v>
      </c>
      <c r="DH78" s="21">
        <f>EXP(-LN(2)/2)*DH77+(1-EXP(-LN(2)/2))/(LN(2)/2)*DB78*DE78*VLOOKUP('Données projet'!$B$13,Paramètres!$A$1:$I$89,3,0)*0.475*44/12</f>
        <v>1.7984651499719739</v>
      </c>
      <c r="DI78" s="22">
        <f t="shared" si="69"/>
        <v>17.137175466920993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63.675060804864181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>
        <f>VLOOKUP(A78,'Données projet'!$A$165:$I$185,2,0)</f>
        <v>150</v>
      </c>
      <c r="DM78" s="12">
        <f>VLOOKUP(A78,'Données projet'!$A$165:$I$185,9,0)</f>
        <v>4.2307692307692264</v>
      </c>
      <c r="DN78" s="12">
        <f t="array" ref="DN78">INDEX(DM:DM,MIN(IF(ISNUMBER(DM78:DM274),ROW(DM78:DM274),"")))</f>
        <v>4.2307692307692264</v>
      </c>
      <c r="DO78" s="12">
        <f>IF('Données projet'!$A$166&gt;35,DO77+DN78-DW77,IF(A78&lt;'Données projet'!$A$166,$DL$205^A78,IF(A78='Données projet'!$A$166,'Données projet'!$B$166,DO77+DN78-DW77)))</f>
        <v>150</v>
      </c>
      <c r="DP78" s="17">
        <f>DO78*VLOOKUP('Données projet'!$B$14,Paramètres!$A$1:$I$89,3,0)*VLOOKUP('Données projet'!$B$14,Paramètres!$A$1:$I$89,5,0)</f>
        <v>100.62</v>
      </c>
      <c r="DQ78" s="13">
        <f t="shared" si="97"/>
        <v>27.10965082293415</v>
      </c>
      <c r="DR78" s="20">
        <f t="shared" si="70"/>
        <v>222.46247518327698</v>
      </c>
      <c r="DS78" s="59">
        <f t="shared" si="71"/>
        <v>492.60436480111235</v>
      </c>
      <c r="DT78" s="59">
        <f ca="1">AVERAGE(OFFSET($DS$3,0,0,'Données projet'!$E$14+1,1))-AVERAGE(OFFSET($H$3,0,0,'Données projet'!$E$14+1,1))</f>
        <v>211.42385430331873</v>
      </c>
      <c r="DU78" s="59">
        <f t="shared" si="98"/>
        <v>146.84623106782686</v>
      </c>
      <c r="DV78" s="15">
        <f>IF(ISNA(VLOOKUP(A78,'Données projet'!$A$165:$I$185,3,0)),0,VLOOKUP(A78,'Données projet'!$A$165:$I$185,3,0))</f>
        <v>12</v>
      </c>
      <c r="DW78" s="15">
        <f>IF(ISNA(VLOOKUP(A78,'Données projet'!$A$165:$I$185,4,0)),0,VLOOKUP(A78,'Données projet'!$A$165:$I$185,4,0))</f>
        <v>14.102564102564102</v>
      </c>
      <c r="DX78" s="16">
        <f>IF(ISNA(VLOOKUP(A78,'Données projet'!$A$165:$I$185,5,0)),0%,VLOOKUP(A78,'Données projet'!$A$165:$I$185,5,0)*VLOOKUP('Données projet'!$B$14,Paramètres!$A$1:$I$89,7,0))</f>
        <v>0.13250000000000001</v>
      </c>
      <c r="DY78" s="16">
        <f>IF(ISNA(VLOOKUP(A78,'Données projet'!$A$165:$I$185,6,0)),0%,VLOOKUP(A78,'Données projet'!$A$165:$I$185,6,0)*VLOOKUP('Données projet'!$B$14,Paramètres!$A$1:$I$89,7,0))</f>
        <v>0.13250000000000001</v>
      </c>
      <c r="DZ78" s="16">
        <f>IF(ISNA(VLOOKUP(A78,'Données projet'!$A$165:$I$185,7,0)),0%,VLOOKUP(A78,'Données projet'!$A$165:$I$185,7,0))</f>
        <v>0.25</v>
      </c>
      <c r="EA78" s="21">
        <f>EXP(-LN(2)/35)*EA77+(1-EXP(-LN(2)/35))/(LN(2)/35)*DW78*DX78*VLOOKUP('Données projet'!$B$14,Paramètres!$A$1:$I$89,3,0)*0.475*44/12</f>
        <v>1.3856518472255763</v>
      </c>
      <c r="EB78" s="21">
        <f>EXP(-LN(2)/25)*EB77+(1-EXP(-LN(2)/25))/(LN(2)/25)*Calculateur!DW78*Calculateur!DY78*VLOOKUP('Données projet'!$B$14,Paramètres!$A$1:$I$89,3,0)*0.475*44/12</f>
        <v>8.154967908797067</v>
      </c>
      <c r="EC78" s="21">
        <f>EXP(-LN(2)/2)*EC77+(1-EXP(-LN(2)/2))/(LN(2)/2)*DW78*DZ78*VLOOKUP('Données projet'!$B$14,Paramètres!$A$1:$I$89,3,0)*0.475*44/12</f>
        <v>2.710610058752509</v>
      </c>
      <c r="ED78" s="22">
        <f t="shared" si="72"/>
        <v>12.251229814775153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63.675060804864181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>
        <f>VLOOKUP(A78,'Données projet'!$A$191:$I$211,2,0)</f>
        <v>89.102564102564102</v>
      </c>
      <c r="EH78" s="12">
        <f>VLOOKUP(A78,'Données projet'!$A$191:$I$211,9,0)</f>
        <v>2.4358974358974366</v>
      </c>
      <c r="EI78" s="12">
        <f t="array" ref="EI78">INDEX(EH:EH,MIN(IF(ISNUMBER(EH78:EH274),ROW(EH78:EH274),"")))</f>
        <v>2.4358974358974366</v>
      </c>
      <c r="EJ78" s="12">
        <f>IF('Données projet'!$A$192&gt;35,EJ77+EI78-ER77,IF(A78&lt;'Données projet'!$A$192,$EG$205^A78,IF(A78='Données projet'!$A$192,'Données projet'!$B$192,EJ77+EI78-ER77)))</f>
        <v>89.10256410256406</v>
      </c>
      <c r="EK78" s="17">
        <f>EJ78*VLOOKUP('Données projet'!$B$15,Paramètres!$A$1:$I$89,3,0)*VLOOKUP('Données projet'!$B$15,Paramètres!$A$1:$I$89,5,0)</f>
        <v>95.909999999999954</v>
      </c>
      <c r="EL78" s="13">
        <f t="shared" si="99"/>
        <v>25.985255952911206</v>
      </c>
      <c r="EM78" s="20">
        <f t="shared" si="73"/>
        <v>212.30090411798696</v>
      </c>
      <c r="EN78" s="59">
        <f t="shared" si="74"/>
        <v>482.44279373582231</v>
      </c>
      <c r="EO78" s="59">
        <f ca="1">AVERAGE(OFFSET($EN$3,0,0,'Données projet'!$E$15+1,1))-AVERAGE(OFFSET($H$3,0,0,'Données projet'!$E$15+1,1))</f>
        <v>212.00478362779876</v>
      </c>
      <c r="EP78" s="59">
        <f t="shared" si="100"/>
        <v>133.62262474506707</v>
      </c>
      <c r="EQ78" s="15">
        <f>IF(ISNA(VLOOKUP(A78,'Données projet'!$A$191:$I$211,3,0)),0,VLOOKUP(A78,'Données projet'!$A$191:$I$211,3,0))</f>
        <v>11</v>
      </c>
      <c r="ER78" s="15">
        <f>IF(ISNA(VLOOKUP(A78,'Données projet'!$A$191:$I$211,4,0)),0,VLOOKUP(A78,'Données projet'!$A$191:$I$211,4,0))</f>
        <v>6.4102564102564097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0.1075</v>
      </c>
      <c r="EU78" s="16">
        <f>IF(ISNA(VLOOKUP(A78,'Données projet'!$A$191:$I$211,7,0)),0%,VLOOKUP(A78,'Données projet'!$A$191:$I$211,7,0))</f>
        <v>0.25</v>
      </c>
      <c r="EV78" s="21">
        <f>EXP(-LN(2)/35)*EV77+(1-EXP(-LN(2)/35))/(LN(2)/35)*ER78*ES78*VLOOKUP('Données projet'!$B$15,Paramètres!$A$1:$I$89,3,0)*0.475*44/12</f>
        <v>0</v>
      </c>
      <c r="EW78" s="21">
        <f>EXP(-LN(2)/25)*EW77+(1-EXP(-LN(2)/25))/(LN(2)/25)*Calculateur!ER78*Calculateur!ET78*VLOOKUP('Données projet'!$B$15,Paramètres!$A$1:$I$89,3,0)*0.475*44/12</f>
        <v>4.7754997175454221</v>
      </c>
      <c r="EX78" s="21">
        <f>EXP(-LN(2)/2)*EX77+(1-EXP(-LN(2)/2))/(LN(2)/2)*ER78*EU78*VLOOKUP('Données projet'!$B$15,Paramètres!$A$1:$I$89,3,0)*0.475*44/12</f>
        <v>1.9770807277900677</v>
      </c>
      <c r="EY78" s="22">
        <f t="shared" si="75"/>
        <v>6.7525804453354894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63.675060804864181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>
        <f>VLOOKUP(A78,'Données projet'!$A$217:$I$237,2,0)</f>
        <v>89.102564102564102</v>
      </c>
      <c r="FC78" s="12">
        <f>VLOOKUP(A78,'Données projet'!$A$217:$I$237,9,0)</f>
        <v>2.4358974358974366</v>
      </c>
      <c r="FD78" s="12">
        <f t="array" ref="FD78">INDEX(FC:FC,MIN(IF(ISNUMBER(FC78:FC274),ROW(FC78:FC274),"")))</f>
        <v>2.4358974358974366</v>
      </c>
      <c r="FE78" s="12">
        <f>IF('Données projet'!$A$218&gt;35,FE77+FD78-FM77,IF(A78&lt;'Données projet'!$A$218,$FB$205^A78,IF(A78='Données projet'!$A$218,'Données projet'!$B$218,FE77+FD78-FM77)))</f>
        <v>89.10256410256406</v>
      </c>
      <c r="FF78" s="17">
        <f>FE78*VLOOKUP('Données projet'!$B$16,Paramètres!$A$1:$I$89,3,0)*VLOOKUP('Données projet'!$B$16,Paramètres!$A$1:$I$89,5,0)</f>
        <v>86.179999999999964</v>
      </c>
      <c r="FG78" s="13">
        <f t="shared" si="101"/>
        <v>23.641620366262963</v>
      </c>
      <c r="FH78" s="20">
        <f t="shared" si="76"/>
        <v>191.27265547124125</v>
      </c>
      <c r="FI78" s="59">
        <f t="shared" si="77"/>
        <v>461.41454508907663</v>
      </c>
      <c r="FJ78" s="59">
        <f ca="1">AVERAGE(OFFSET($FI$3,0,0,'Données projet'!$E$16+1,1))-AVERAGE(OFFSET($H$3,0,0,'Données projet'!$E$16+1,1))</f>
        <v>196.65742339093146</v>
      </c>
      <c r="FK78" s="59">
        <f t="shared" si="102"/>
        <v>125.41980634506001</v>
      </c>
      <c r="FL78" s="15">
        <f>IF(ISNA(VLOOKUP(A78,'Données projet'!$A$217:$I$237,3,0)),0,VLOOKUP(A78,'Données projet'!$A$217:$I$237,3,0))</f>
        <v>11</v>
      </c>
      <c r="FM78" s="15">
        <f>IF(ISNA(VLOOKUP(A78,'Données projet'!$A$217:$I$237,4,0)),0,VLOOKUP(A78,'Données projet'!$A$217:$I$237,4,0))</f>
        <v>6.4102564102564097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0.1075</v>
      </c>
      <c r="FP78" s="16">
        <f>IF(ISNA(VLOOKUP(A78,'Données projet'!$A$217:$I$237,7,0)),0%,VLOOKUP(A78,'Données projet'!$A$217:$I$237,7,0))</f>
        <v>0.25</v>
      </c>
      <c r="FQ78" s="21">
        <f>EXP(-LN(2)/35)*FQ77+(1-EXP(-LN(2)/35))/(LN(2)/35)*FM78*FN78*VLOOKUP('Données projet'!$B$16,Paramètres!$A$1:$I$89,3,0)*0.475*44/12</f>
        <v>0</v>
      </c>
      <c r="FR78" s="21">
        <f>EXP(-LN(2)/25)*FR77+(1-EXP(-LN(2)/25))/(LN(2)/25)*Calculateur!FM78*Calculateur!FO78*VLOOKUP('Données projet'!$B$16,Paramètres!$A$1:$I$89,3,0)*0.475*44/12</f>
        <v>4.2910287317074811</v>
      </c>
      <c r="FS78" s="21">
        <f>EXP(-LN(2)/2)*FS77+(1-EXP(-LN(2)/2))/(LN(2)/2)*FM78*FP78*VLOOKUP('Données projet'!$B$16,Paramètres!$A$1:$I$89,3,0)*0.475*44/12</f>
        <v>1.7765073206229596</v>
      </c>
      <c r="FT78" s="22">
        <f t="shared" si="78"/>
        <v>6.0675360523304409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63.675060804864181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63.675060804864181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>
      <c r="A79" s="10">
        <f t="shared" si="85"/>
        <v>76</v>
      </c>
      <c r="B79" s="73">
        <f>'Scénario référence'!$B$16*5+'Scénario référence'!$B$17*0+'Scénario référence'!$B$18*5</f>
        <v>4.6999999999999993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4.0547519999999952</v>
      </c>
      <c r="D79" s="11">
        <f t="shared" si="86"/>
        <v>1.5876300754731885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18.812647136710385</v>
      </c>
      <c r="H79" s="67">
        <f t="shared" si="56"/>
        <v>197.56048211478247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63.784784359454129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9.7839999999999971</v>
      </c>
      <c r="N79" s="13">
        <f>IF('Données projet'!$A$36&gt;35,N78+M79-V78,IF(A79&lt;'Données projet'!$A$36,$K$205^A79,IF(A79='Données projet'!$A$36,'Données projet'!$B$36,N78+M79-V78)))</f>
        <v>480.89399999999972</v>
      </c>
      <c r="O79" s="13">
        <f>N79*VLOOKUP('Données projet'!$B$9,Paramètres!$A$1:$I$89,3,0)*VLOOKUP('Données projet'!$B$9,Paramètres!$A$1:$I$89,5,0)</f>
        <v>287.57461199999989</v>
      </c>
      <c r="P79" s="13">
        <f t="shared" si="87"/>
        <v>68.565246901335968</v>
      </c>
      <c r="Q79" s="20">
        <f t="shared" si="54"/>
        <v>620.27692091982669</v>
      </c>
      <c r="R79" s="59">
        <f t="shared" si="55"/>
        <v>890.82113023782517</v>
      </c>
      <c r="S79" s="59">
        <f ca="1">AVERAGE(OFFSET($R$3,0,0,'Données projet'!$E$9+1,1))-AVERAGE(OFFSET($H$3,0,0,'Données projet'!$E$9+1,1))</f>
        <v>366.93249569585623</v>
      </c>
      <c r="T79" s="59">
        <f t="shared" si="88"/>
        <v>272.47262353368501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45.336608772135044</v>
      </c>
      <c r="AA79" s="21">
        <f>EXP(-LN(2)/25)*AA78+(1-EXP(-LN(2)/25))/(LN(2)/25)*Calculateur!V79*Calculateur!X79*VLOOKUP('Données projet'!$B$9,Paramètres!$A$1:$I$89,3,0)*0.475*44/12</f>
        <v>16.494123596448315</v>
      </c>
      <c r="AB79" s="21">
        <f>EXP(-LN(2)/2)*AB78+(1-EXP(-LN(2)/2))/(LN(2)/2)*V79*Y79*VLOOKUP('Données projet'!$B$9,Paramètres!$A$1:$I$89,3,0)*0.475*44/12</f>
        <v>1.1871572158367227</v>
      </c>
      <c r="AC79" s="22">
        <f t="shared" si="57"/>
        <v>63.017889584420075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63.784784359454129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15.299999999999997</v>
      </c>
      <c r="AI79" s="13">
        <f>IF('Données projet'!$A$62&gt;35,AI78+AH79-AQ78,IF(A79&lt;'Données projet'!$A$62,$AF$205^A79,IF(A79='Données projet'!$A$62,'Données projet'!$B$62,AI78+AH79-AQ78)))</f>
        <v>456.11999999999961</v>
      </c>
      <c r="AJ79" s="13">
        <f>AI79*VLOOKUP('Données projet'!$B$10,Paramètres!$A$1:$I$89,3,0)*VLOOKUP('Données projet'!$B$10,Paramètres!$A$1:$I$89,5,0)</f>
        <v>213.46415999999979</v>
      </c>
      <c r="AK79" s="13">
        <f t="shared" si="89"/>
        <v>52.691869461482199</v>
      </c>
      <c r="AL79" s="20">
        <f t="shared" si="58"/>
        <v>463.55508464541441</v>
      </c>
      <c r="AM79" s="59">
        <f t="shared" si="59"/>
        <v>734.09929396341295</v>
      </c>
      <c r="AN79" s="59">
        <f ca="1">AVERAGE(OFFSET($AM$3,0,0,'Données projet'!$E$10+1,1))-AVERAGE(OFFSET($H$3,0,0,'Données projet'!$E$10+1,1))</f>
        <v>382.89338473200229</v>
      </c>
      <c r="AO79" s="59">
        <f t="shared" si="90"/>
        <v>360.46248248971744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72.233283934241172</v>
      </c>
      <c r="AV79" s="21">
        <f>EXP(-LN(2)/25)*AV78+(1-EXP(-LN(2)/25))/(LN(2)/25)*Calculateur!AQ79*Calculateur!AS79*VLOOKUP('Données projet'!$B$10,Paramètres!$A$1:$I$89,3,0)*0.475*44/12</f>
        <v>20.520787371203408</v>
      </c>
      <c r="AW79" s="21">
        <f>EXP(-LN(2)/2)*AW78+(1-EXP(-LN(2)/2))/(LN(2)/2)*AQ79*AT79*VLOOKUP('Données projet'!$B$10,Paramètres!$A$1:$I$89,3,0)*0.475*44/12</f>
        <v>1.8214368400034056</v>
      </c>
      <c r="AX79" s="21">
        <f t="shared" si="60"/>
        <v>94.575508145447984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63.784784359454129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2.0512820512820582</v>
      </c>
      <c r="BD79" s="12">
        <f>IF('Données projet'!$A$88&gt;35,BD78+BC79-BL78,IF(A79&lt;'Données projet'!$A$88,$BA$205^A79,IF(A79='Données projet'!$A$88,'Données projet'!$B$88,BD78+BC79-BL78)))</f>
        <v>125.12820512820507</v>
      </c>
      <c r="BE79" s="13">
        <f>BD79*VLOOKUP('Données projet'!$B$11,Paramètres!$A$1:$I$89,3,0)*VLOOKUP('Données projet'!$B$11,Paramètres!$A$1:$I$89,5,0)</f>
        <v>109.31199999999997</v>
      </c>
      <c r="BF79" s="13">
        <f t="shared" si="91"/>
        <v>29.168827262472519</v>
      </c>
      <c r="BG79" s="20">
        <f t="shared" si="61"/>
        <v>241.18744081547288</v>
      </c>
      <c r="BH79" s="59">
        <f t="shared" si="62"/>
        <v>511.73165013347142</v>
      </c>
      <c r="BI79" s="59">
        <f ca="1">AVERAGE(OFFSET($BH$3,0,0,'Données projet'!$E$11+1,1))-AVERAGE(OFFSET($H$3,0,0,'Données projet'!$E$11+1,1))</f>
        <v>225.75484198243581</v>
      </c>
      <c r="BJ79" s="59">
        <f t="shared" si="92"/>
        <v>199.49566488421061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0.96522876744657082</v>
      </c>
      <c r="BQ79" s="21">
        <f>EXP(-LN(2)/25)*BQ78+(1-EXP(-LN(2)/25))/(LN(2)/25)*Calculateur!BL79*Calculateur!BN79*VLOOKUP('Données projet'!$B$11,Paramètres!$A$1:$I$89,3,0)*0.475*44/12</f>
        <v>13.427094686296353</v>
      </c>
      <c r="BR79" s="21">
        <f>EXP(-LN(2)/2)*BR78+(1-EXP(-LN(2)/2))/(LN(2)/2)*BL79*BO79*VLOOKUP('Données projet'!$B$11,Paramètres!$A$1:$I$89,3,0)*0.475*44/12</f>
        <v>0</v>
      </c>
      <c r="BS79" s="22">
        <f t="shared" si="63"/>
        <v>14.392323453742923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63.784784359454129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6</v>
      </c>
      <c r="BY79" s="12">
        <f>IF('Données projet'!$A$114&gt;35,BY78+BX79-CG78,IF(A79&lt;'Données projet'!$A$114,$BV$205^A79,IF(A79='Données projet'!$A$114,'Données projet'!$B$114,BY78+BX79-CG78)))</f>
        <v>236.99999999999989</v>
      </c>
      <c r="BZ79" s="13">
        <f>BY79*VLOOKUP('Données projet'!$B$12,Paramètres!$A$1:$I$89,3,0)*VLOOKUP('Données projet'!$B$12,Paramètres!$A$1:$I$89,5,0)</f>
        <v>225.52919999999992</v>
      </c>
      <c r="CA79" s="13">
        <f t="shared" si="93"/>
        <v>55.314888425951921</v>
      </c>
      <c r="CB79" s="20">
        <f t="shared" si="64"/>
        <v>489.13678734186618</v>
      </c>
      <c r="CC79" s="59">
        <f t="shared" si="65"/>
        <v>759.68099665986472</v>
      </c>
      <c r="CD79" s="59">
        <f ca="1">AVERAGE(OFFSET($CC$3,0,0,'Données projet'!$E$12+1,1))-AVERAGE(OFFSET($H$3,0,0,'Données projet'!$E$12+1,1))</f>
        <v>413.9352601863377</v>
      </c>
      <c r="CE79" s="59">
        <f t="shared" si="94"/>
        <v>255.13997349799286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4.436989209787022</v>
      </c>
      <c r="CL79" s="21">
        <f>EXP(-LN(2)/25)*CL78+(1-EXP(-LN(2)/25))/(LN(2)/25)*Calculateur!CG79*Calculateur!CI79*VLOOKUP('Données projet'!$B$12,Paramètres!$A$1:$I$89,3,0)*0.475*44/12</f>
        <v>13.549296492214847</v>
      </c>
      <c r="CM79" s="21">
        <f>EXP(-LN(2)/2)*CM78+(1-EXP(-LN(2)/2))/(LN(2)/2)*CG79*CJ79*VLOOKUP('Données projet'!$B$12,Paramètres!$A$1:$I$89,3,0)*0.475*44/12</f>
        <v>4.0488843014709772</v>
      </c>
      <c r="CN79" s="22">
        <f t="shared" si="66"/>
        <v>22.035170003472846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63.784784359454129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2.4</v>
      </c>
      <c r="CT79" s="12">
        <f>IF('Données projet'!$A$140&gt;35,CT78+CS79-DB78,IF(A79&lt;'Données projet'!$A$140,$CQ$205^A79,IF(A79='Données projet'!$A$140,'Données projet'!$B$140,CT78+CS79-DB78)))</f>
        <v>209.4</v>
      </c>
      <c r="CU79" s="17">
        <f>CT79*VLOOKUP('Données projet'!$B$13,Paramètres!$A$1:$I$89,3,0)*VLOOKUP('Données projet'!$B$13,Paramètres!$A$1:$I$89,5,0)</f>
        <v>182.93184000000002</v>
      </c>
      <c r="CV79" s="13">
        <f t="shared" si="95"/>
        <v>45.973851929814685</v>
      </c>
      <c r="CW79" s="20">
        <f t="shared" si="67"/>
        <v>398.67741344442726</v>
      </c>
      <c r="CX79" s="59">
        <f t="shared" si="68"/>
        <v>669.2216227624258</v>
      </c>
      <c r="CY79" s="59">
        <f ca="1">AVERAGE(OFFSET($CX$3,0,0,'Données projet'!$E$13+1,1))-AVERAGE(OFFSET($H$3,0,0,'Données projet'!$E$13+1,1))</f>
        <v>280.59827778697775</v>
      </c>
      <c r="CZ79" s="59">
        <f t="shared" si="96"/>
        <v>270.86588231964726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>
        <f>EXP(-LN(2)/35)*DF78+(1-EXP(-LN(2)/35))/(LN(2)/35)*DB79*DC79*VLOOKUP('Données projet'!$B$13,Paramètres!$A$1:$I$89,3,0)*0.475*44/12</f>
        <v>5.3720060609827245</v>
      </c>
      <c r="DG79" s="21">
        <f>EXP(-LN(2)/25)*DG78+(1-EXP(-LN(2)/25))/(LN(2)/25)*Calculateur!DB79*Calculateur!DD79*VLOOKUP('Données projet'!$B$13,Paramètres!$A$1:$I$89,3,0)*0.475*44/12</f>
        <v>9.5896536291058059</v>
      </c>
      <c r="DH79" s="21">
        <f>EXP(-LN(2)/2)*DH78+(1-EXP(-LN(2)/2))/(LN(2)/2)*DB79*DE79*VLOOKUP('Données projet'!$B$13,Paramètres!$A$1:$I$89,3,0)*0.475*44/12</f>
        <v>1.2717069032728641</v>
      </c>
      <c r="DI79" s="22">
        <f t="shared" si="69"/>
        <v>16.233366593361396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63.784784359454129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3.9743589743589665</v>
      </c>
      <c r="DO79" s="12">
        <f>IF('Données projet'!$A$166&gt;35,DO78+DN79-DW78,IF(A79&lt;'Données projet'!$A$166,$DL$205^A79,IF(A79='Données projet'!$A$166,'Données projet'!$B$166,DO78+DN79-DW78)))</f>
        <v>139.87179487179486</v>
      </c>
      <c r="DP79" s="17">
        <f>DO79*VLOOKUP('Données projet'!$B$14,Paramètres!$A$1:$I$89,3,0)*VLOOKUP('Données projet'!$B$14,Paramètres!$A$1:$I$89,5,0)</f>
        <v>93.825999999999993</v>
      </c>
      <c r="DQ79" s="13">
        <f t="shared" si="97"/>
        <v>25.485716397269222</v>
      </c>
      <c r="DR79" s="20">
        <f t="shared" si="70"/>
        <v>207.80123939191051</v>
      </c>
      <c r="DS79" s="59">
        <f t="shared" si="71"/>
        <v>478.34544870990908</v>
      </c>
      <c r="DT79" s="59">
        <f ca="1">AVERAGE(OFFSET($DS$3,0,0,'Données projet'!$E$14+1,1))-AVERAGE(OFFSET($H$3,0,0,'Données projet'!$E$14+1,1))</f>
        <v>211.42385430331873</v>
      </c>
      <c r="DU79" s="59">
        <f t="shared" si="98"/>
        <v>146.84623106782686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>
        <f>EXP(-LN(2)/35)*EA78+(1-EXP(-LN(2)/35))/(LN(2)/35)*DW79*DX79*VLOOKUP('Données projet'!$B$14,Paramètres!$A$1:$I$89,3,0)*0.475*44/12</f>
        <v>1.3584800596656565</v>
      </c>
      <c r="EB79" s="21">
        <f>EXP(-LN(2)/25)*EB78+(1-EXP(-LN(2)/25))/(LN(2)/25)*Calculateur!DW79*Calculateur!DY79*VLOOKUP('Données projet'!$B$14,Paramètres!$A$1:$I$89,3,0)*0.475*44/12</f>
        <v>7.931969882479887</v>
      </c>
      <c r="EC79" s="21">
        <f>EXP(-LN(2)/2)*EC78+(1-EXP(-LN(2)/2))/(LN(2)/2)*DW79*DZ79*VLOOKUP('Données projet'!$B$14,Paramètres!$A$1:$I$89,3,0)*0.475*44/12</f>
        <v>1.9166907536963653</v>
      </c>
      <c r="ED79" s="22">
        <f t="shared" si="72"/>
        <v>11.207140695841908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63.784784359454129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2.1794871794871797</v>
      </c>
      <c r="EJ79" s="12">
        <f>IF('Données projet'!$A$192&gt;35,EJ78+EI79-ER78,IF(A79&lt;'Données projet'!$A$192,$EG$205^A79,IF(A79='Données projet'!$A$192,'Données projet'!$B$192,EJ78+EI79-ER78)))</f>
        <v>84.871794871794833</v>
      </c>
      <c r="EK79" s="17">
        <f>EJ79*VLOOKUP('Données projet'!$B$15,Paramètres!$A$1:$I$89,3,0)*VLOOKUP('Données projet'!$B$15,Paramètres!$A$1:$I$89,5,0)</f>
        <v>91.355999999999952</v>
      </c>
      <c r="EL79" s="13">
        <f t="shared" si="99"/>
        <v>24.891974366611418</v>
      </c>
      <c r="EM79" s="20">
        <f t="shared" si="73"/>
        <v>202.46522202184815</v>
      </c>
      <c r="EN79" s="59">
        <f t="shared" si="74"/>
        <v>473.00943133984669</v>
      </c>
      <c r="EO79" s="59">
        <f ca="1">AVERAGE(OFFSET($EN$3,0,0,'Données projet'!$E$15+1,1))-AVERAGE(OFFSET($H$3,0,0,'Données projet'!$E$15+1,1))</f>
        <v>212.00478362779876</v>
      </c>
      <c r="EP79" s="59">
        <f t="shared" si="100"/>
        <v>133.62262474506707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>
        <f>EXP(-LN(2)/35)*EV78+(1-EXP(-LN(2)/35))/(LN(2)/35)*ER79*ES79*VLOOKUP('Données projet'!$B$15,Paramètres!$A$1:$I$89,3,0)*0.475*44/12</f>
        <v>0</v>
      </c>
      <c r="EW79" s="21">
        <f>EXP(-LN(2)/25)*EW78+(1-EXP(-LN(2)/25))/(LN(2)/25)*Calculateur!ER79*Calculateur!ET79*VLOOKUP('Données projet'!$B$15,Paramètres!$A$1:$I$89,3,0)*0.475*44/12</f>
        <v>4.6449134266365268</v>
      </c>
      <c r="EX79" s="21">
        <f>EXP(-LN(2)/2)*EX78+(1-EXP(-LN(2)/2))/(LN(2)/2)*ER79*EU79*VLOOKUP('Données projet'!$B$15,Paramètres!$A$1:$I$89,3,0)*0.475*44/12</f>
        <v>1.3980071895735917</v>
      </c>
      <c r="EY79" s="22">
        <f t="shared" si="75"/>
        <v>6.0429206162101181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63.784784359454129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2.1794871794871797</v>
      </c>
      <c r="FE79" s="12">
        <f>IF('Données projet'!$A$218&gt;35,FE78+FD79-FM78,IF(A79&lt;'Données projet'!$A$218,$FB$205^A79,IF(A79='Données projet'!$A$218,'Données projet'!$B$218,FE78+FD79-FM78)))</f>
        <v>84.871794871794833</v>
      </c>
      <c r="FF79" s="17">
        <f>FE79*VLOOKUP('Données projet'!$B$16,Paramètres!$A$1:$I$89,3,0)*VLOOKUP('Données projet'!$B$16,Paramètres!$A$1:$I$89,5,0)</f>
        <v>82.087999999999965</v>
      </c>
      <c r="FG79" s="13">
        <f t="shared" si="101"/>
        <v>22.646942912880803</v>
      </c>
      <c r="FH79" s="20">
        <f t="shared" si="76"/>
        <v>182.41335890660068</v>
      </c>
      <c r="FI79" s="59">
        <f t="shared" si="77"/>
        <v>452.95756822459919</v>
      </c>
      <c r="FJ79" s="59">
        <f ca="1">AVERAGE(OFFSET($FI$3,0,0,'Données projet'!$E$16+1,1))-AVERAGE(OFFSET($H$3,0,0,'Données projet'!$E$16+1,1))</f>
        <v>196.65742339093146</v>
      </c>
      <c r="FK79" s="59">
        <f t="shared" si="102"/>
        <v>125.41980634506001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>
        <f>EXP(-LN(2)/35)*FQ78+(1-EXP(-LN(2)/35))/(LN(2)/35)*FM79*FN79*VLOOKUP('Données projet'!$B$16,Paramètres!$A$1:$I$89,3,0)*0.475*44/12</f>
        <v>0</v>
      </c>
      <c r="FR79" s="21">
        <f>EXP(-LN(2)/25)*FR78+(1-EXP(-LN(2)/25))/(LN(2)/25)*Calculateur!FM79*Calculateur!FO79*VLOOKUP('Données projet'!$B$16,Paramètres!$A$1:$I$89,3,0)*0.475*44/12</f>
        <v>4.1736903253835465</v>
      </c>
      <c r="FS79" s="21">
        <f>EXP(-LN(2)/2)*FS78+(1-EXP(-LN(2)/2))/(LN(2)/2)*FM79*FP79*VLOOKUP('Données projet'!$B$16,Paramètres!$A$1:$I$89,3,0)*0.475*44/12</f>
        <v>1.2561803732400389</v>
      </c>
      <c r="FT79" s="22">
        <f t="shared" si="78"/>
        <v>5.429870698623585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63.784784359454129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63.784784359454129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>
      <c r="A80" s="10">
        <f t="shared" si="85"/>
        <v>77</v>
      </c>
      <c r="B80" s="73">
        <f>'Scénario référence'!$B$16*5+'Scénario référence'!$B$17*0+'Scénario référence'!$B$18*5</f>
        <v>4.6999999999999993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4.1081039999999955</v>
      </c>
      <c r="D80" s="11">
        <f t="shared" si="86"/>
        <v>1.6060742976591533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18.845900123828095</v>
      </c>
      <c r="H80" s="67">
        <f t="shared" si="56"/>
        <v>197.68552720175637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63.89260445567708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9.7839999999999971</v>
      </c>
      <c r="N80" s="13">
        <f>IF('Données projet'!$A$36&gt;35,N79+M80-V79,IF(A80&lt;'Données projet'!$A$36,$K$205^A80,IF(A80='Données projet'!$A$36,'Données projet'!$B$36,N79+M80-V79)))</f>
        <v>490.67799999999971</v>
      </c>
      <c r="O80" s="13">
        <f>N80*VLOOKUP('Données projet'!$B$9,Paramètres!$A$1:$I$89,3,0)*VLOOKUP('Données projet'!$B$9,Paramètres!$A$1:$I$89,5,0)</f>
        <v>293.42544399999986</v>
      </c>
      <c r="P80" s="13">
        <f t="shared" si="87"/>
        <v>69.796411555705205</v>
      </c>
      <c r="Q80" s="20">
        <f t="shared" si="54"/>
        <v>632.61139842618638</v>
      </c>
      <c r="R80" s="59">
        <f t="shared" si="55"/>
        <v>903.55094809700245</v>
      </c>
      <c r="S80" s="59">
        <f ca="1">AVERAGE(OFFSET($R$3,0,0,'Données projet'!$E$9+1,1))-AVERAGE(OFFSET($H$3,0,0,'Données projet'!$E$9+1,1))</f>
        <v>366.93249569585623</v>
      </c>
      <c r="T80" s="59">
        <f t="shared" si="88"/>
        <v>272.47262353368501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44.447585526714356</v>
      </c>
      <c r="AA80" s="21">
        <f>EXP(-LN(2)/25)*AA79+(1-EXP(-LN(2)/25))/(LN(2)/25)*Calculateur!V80*Calculateur!X80*VLOOKUP('Données projet'!$B$9,Paramètres!$A$1:$I$89,3,0)*0.475*44/12</f>
        <v>16.043090919315173</v>
      </c>
      <c r="AB80" s="21">
        <f>EXP(-LN(2)/2)*AB79+(1-EXP(-LN(2)/2))/(LN(2)/2)*V80*Y80*VLOOKUP('Données projet'!$B$9,Paramètres!$A$1:$I$89,3,0)*0.475*44/12</f>
        <v>0.83944691765268853</v>
      </c>
      <c r="AC80" s="22">
        <f t="shared" si="57"/>
        <v>61.330123363682212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63.89260445567708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15.299999999999997</v>
      </c>
      <c r="AI80" s="13">
        <f>IF('Données projet'!$A$62&gt;35,AI79+AH80-AQ79,IF(A80&lt;'Données projet'!$A$62,$AF$205^A80,IF(A80='Données projet'!$A$62,'Données projet'!$B$62,AI79+AH80-AQ79)))</f>
        <v>471.41999999999962</v>
      </c>
      <c r="AJ80" s="13">
        <f>AI80*VLOOKUP('Données projet'!$B$10,Paramètres!$A$1:$I$89,3,0)*VLOOKUP('Données projet'!$B$10,Paramètres!$A$1:$I$89,5,0)</f>
        <v>220.6245599999998</v>
      </c>
      <c r="AK80" s="13">
        <f t="shared" si="89"/>
        <v>54.25060834601932</v>
      </c>
      <c r="AL80" s="20">
        <f t="shared" si="58"/>
        <v>478.74091820264994</v>
      </c>
      <c r="AM80" s="59">
        <f t="shared" si="59"/>
        <v>749.68046787346589</v>
      </c>
      <c r="AN80" s="59">
        <f ca="1">AVERAGE(OFFSET($AM$3,0,0,'Données projet'!$E$10+1,1))-AVERAGE(OFFSET($H$3,0,0,'Données projet'!$E$10+1,1))</f>
        <v>382.89338473200229</v>
      </c>
      <c r="AO80" s="59">
        <f t="shared" si="90"/>
        <v>360.46248248971744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70.816833294243537</v>
      </c>
      <c r="AV80" s="21">
        <f>EXP(-LN(2)/25)*AV79+(1-EXP(-LN(2)/25))/(LN(2)/25)*Calculateur!AQ80*Calculateur!AS80*VLOOKUP('Données projet'!$B$10,Paramètres!$A$1:$I$89,3,0)*0.475*44/12</f>
        <v>19.959645361396543</v>
      </c>
      <c r="AW80" s="21">
        <f>EXP(-LN(2)/2)*AW79+(1-EXP(-LN(2)/2))/(LN(2)/2)*AQ80*AT80*VLOOKUP('Données projet'!$B$10,Paramètres!$A$1:$I$89,3,0)*0.475*44/12</f>
        <v>1.2879503410694046</v>
      </c>
      <c r="AX80" s="21">
        <f t="shared" si="60"/>
        <v>92.064428996709481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63.89260445567708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2.0512820512820582</v>
      </c>
      <c r="BD80" s="12">
        <f>IF('Données projet'!$A$88&gt;35,BD79+BC80-BL79,IF(A80&lt;'Données projet'!$A$88,$BA$205^A80,IF(A80='Données projet'!$A$88,'Données projet'!$B$88,BD79+BC80-BL79)))</f>
        <v>127.17948717948713</v>
      </c>
      <c r="BE80" s="13">
        <f>BD80*VLOOKUP('Données projet'!$B$11,Paramètres!$A$1:$I$89,3,0)*VLOOKUP('Données projet'!$B$11,Paramètres!$A$1:$I$89,5,0)</f>
        <v>111.10399999999997</v>
      </c>
      <c r="BF80" s="13">
        <f t="shared" si="91"/>
        <v>29.590944212805727</v>
      </c>
      <c r="BG80" s="20">
        <f t="shared" si="61"/>
        <v>245.04369450396993</v>
      </c>
      <c r="BH80" s="59">
        <f t="shared" si="62"/>
        <v>515.98324417478591</v>
      </c>
      <c r="BI80" s="59">
        <f ca="1">AVERAGE(OFFSET($BH$3,0,0,'Données projet'!$E$11+1,1))-AVERAGE(OFFSET($H$3,0,0,'Données projet'!$E$11+1,1))</f>
        <v>225.75484198243581</v>
      </c>
      <c r="BJ80" s="59">
        <f t="shared" si="92"/>
        <v>199.49566488421061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0.94630122004835926</v>
      </c>
      <c r="BQ80" s="21">
        <f>EXP(-LN(2)/25)*BQ79+(1-EXP(-LN(2)/25))/(LN(2)/25)*Calculateur!BL80*Calculateur!BN80*VLOOKUP('Données projet'!$B$11,Paramètres!$A$1:$I$89,3,0)*0.475*44/12</f>
        <v>13.059930075999358</v>
      </c>
      <c r="BR80" s="21">
        <f>EXP(-LN(2)/2)*BR79+(1-EXP(-LN(2)/2))/(LN(2)/2)*BL80*BO80*VLOOKUP('Données projet'!$B$11,Paramètres!$A$1:$I$89,3,0)*0.475*44/12</f>
        <v>0</v>
      </c>
      <c r="BS80" s="22">
        <f t="shared" si="63"/>
        <v>14.006231296047718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63.89260445567708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6</v>
      </c>
      <c r="BY80" s="12">
        <f>IF('Données projet'!$A$114&gt;35,BY79+BX80-CG79,IF(A80&lt;'Données projet'!$A$114,$BV$205^A80,IF(A80='Données projet'!$A$114,'Données projet'!$B$114,BY79+BX80-CG79)))</f>
        <v>242.99999999999989</v>
      </c>
      <c r="BZ80" s="13">
        <f>BY80*VLOOKUP('Données projet'!$B$12,Paramètres!$A$1:$I$89,3,0)*VLOOKUP('Données projet'!$B$12,Paramètres!$A$1:$I$89,5,0)</f>
        <v>231.23879999999991</v>
      </c>
      <c r="CA80" s="13">
        <f t="shared" si="93"/>
        <v>56.55045525673966</v>
      </c>
      <c r="CB80" s="20">
        <f t="shared" si="64"/>
        <v>501.23295290548805</v>
      </c>
      <c r="CC80" s="59">
        <f t="shared" si="65"/>
        <v>772.17250257630405</v>
      </c>
      <c r="CD80" s="59">
        <f ca="1">AVERAGE(OFFSET($CC$3,0,0,'Données projet'!$E$12+1,1))-AVERAGE(OFFSET($H$3,0,0,'Données projet'!$E$12+1,1))</f>
        <v>413.9352601863377</v>
      </c>
      <c r="CE80" s="59">
        <f t="shared" si="94"/>
        <v>255.13997349799286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4.3499825576792919</v>
      </c>
      <c r="CL80" s="21">
        <f>EXP(-LN(2)/25)*CL79+(1-EXP(-LN(2)/25))/(LN(2)/25)*Calculateur!CG80*Calculateur!CI80*VLOOKUP('Données projet'!$B$12,Paramètres!$A$1:$I$89,3,0)*0.475*44/12</f>
        <v>13.178790267108697</v>
      </c>
      <c r="CM80" s="21">
        <f>EXP(-LN(2)/2)*CM79+(1-EXP(-LN(2)/2))/(LN(2)/2)*CG80*CJ80*VLOOKUP('Données projet'!$B$12,Paramètres!$A$1:$I$89,3,0)*0.475*44/12</f>
        <v>2.8629935458098856</v>
      </c>
      <c r="CN80" s="22">
        <f t="shared" si="66"/>
        <v>20.391766370597875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63.89260445567708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2.4</v>
      </c>
      <c r="CT80" s="12">
        <f>IF('Données projet'!$A$140&gt;35,CT79+CS80-DB79,IF(A80&lt;'Données projet'!$A$140,$CQ$205^A80,IF(A80='Données projet'!$A$140,'Données projet'!$B$140,CT79+CS80-DB79)))</f>
        <v>211.8</v>
      </c>
      <c r="CU80" s="17">
        <f>CT80*VLOOKUP('Données projet'!$B$13,Paramètres!$A$1:$I$89,3,0)*VLOOKUP('Données projet'!$B$13,Paramètres!$A$1:$I$89,5,0)</f>
        <v>185.02848000000003</v>
      </c>
      <c r="CV80" s="13">
        <f t="shared" si="95"/>
        <v>46.43913001874585</v>
      </c>
      <c r="CW80" s="20">
        <f t="shared" si="67"/>
        <v>403.13942078264904</v>
      </c>
      <c r="CX80" s="59">
        <f t="shared" si="68"/>
        <v>674.07897045346499</v>
      </c>
      <c r="CY80" s="59">
        <f ca="1">AVERAGE(OFFSET($CX$3,0,0,'Données projet'!$E$13+1,1))-AVERAGE(OFFSET($H$3,0,0,'Données projet'!$E$13+1,1))</f>
        <v>280.59827778697775</v>
      </c>
      <c r="CZ80" s="59">
        <f t="shared" si="96"/>
        <v>270.86588231964726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>
        <f>EXP(-LN(2)/35)*DF79+(1-EXP(-LN(2)/35))/(LN(2)/35)*DB80*DC80*VLOOKUP('Données projet'!$B$13,Paramètres!$A$1:$I$89,3,0)*0.475*44/12</f>
        <v>5.2666642987270134</v>
      </c>
      <c r="DG80" s="21">
        <f>EXP(-LN(2)/25)*DG79+(1-EXP(-LN(2)/25))/(LN(2)/25)*Calculateur!DB80*Calculateur!DD80*VLOOKUP('Données projet'!$B$13,Paramètres!$A$1:$I$89,3,0)*0.475*44/12</f>
        <v>9.3274240463199405</v>
      </c>
      <c r="DH80" s="21">
        <f>EXP(-LN(2)/2)*DH79+(1-EXP(-LN(2)/2))/(LN(2)/2)*DB80*DE80*VLOOKUP('Données projet'!$B$13,Paramètres!$A$1:$I$89,3,0)*0.475*44/12</f>
        <v>0.89923257498598708</v>
      </c>
      <c r="DI80" s="22">
        <f t="shared" si="69"/>
        <v>15.493320920032941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63.89260445567708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3.9743589743589665</v>
      </c>
      <c r="DO80" s="12">
        <f>IF('Données projet'!$A$166&gt;35,DO79+DN80-DW79,IF(A80&lt;'Données projet'!$A$166,$DL$205^A80,IF(A80='Données projet'!$A$166,'Données projet'!$B$166,DO79+DN80-DW79)))</f>
        <v>143.84615384615384</v>
      </c>
      <c r="DP80" s="17">
        <f>DO80*VLOOKUP('Données projet'!$B$14,Paramètres!$A$1:$I$89,3,0)*VLOOKUP('Données projet'!$B$14,Paramètres!$A$1:$I$89,5,0)</f>
        <v>96.49199999999999</v>
      </c>
      <c r="DQ80" s="13">
        <f t="shared" si="97"/>
        <v>26.12453594675571</v>
      </c>
      <c r="DR80" s="20">
        <f t="shared" si="70"/>
        <v>213.5571334405995</v>
      </c>
      <c r="DS80" s="59">
        <f t="shared" si="71"/>
        <v>484.49668311141551</v>
      </c>
      <c r="DT80" s="59">
        <f ca="1">AVERAGE(OFFSET($DS$3,0,0,'Données projet'!$E$14+1,1))-AVERAGE(OFFSET($H$3,0,0,'Données projet'!$E$14+1,1))</f>
        <v>211.42385430331873</v>
      </c>
      <c r="DU80" s="59">
        <f t="shared" si="98"/>
        <v>146.84623106782686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>
        <f>EXP(-LN(2)/35)*EA79+(1-EXP(-LN(2)/35))/(LN(2)/35)*DW80*DX80*VLOOKUP('Données projet'!$B$14,Paramètres!$A$1:$I$89,3,0)*0.475*44/12</f>
        <v>1.3318410942866328</v>
      </c>
      <c r="EB80" s="21">
        <f>EXP(-LN(2)/25)*EB79+(1-EXP(-LN(2)/25))/(LN(2)/25)*Calculateur!DW80*Calculateur!DY80*VLOOKUP('Données projet'!$B$14,Paramètres!$A$1:$I$89,3,0)*0.475*44/12</f>
        <v>7.7150697489193067</v>
      </c>
      <c r="EC80" s="21">
        <f>EXP(-LN(2)/2)*EC79+(1-EXP(-LN(2)/2))/(LN(2)/2)*DW80*DZ80*VLOOKUP('Données projet'!$B$14,Paramètres!$A$1:$I$89,3,0)*0.475*44/12</f>
        <v>1.3553050293762547</v>
      </c>
      <c r="ED80" s="22">
        <f t="shared" si="72"/>
        <v>10.402215872582193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63.89260445567708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2.1794871794871797</v>
      </c>
      <c r="EJ80" s="12">
        <f>IF('Données projet'!$A$192&gt;35,EJ79+EI80-ER79,IF(A80&lt;'Données projet'!$A$192,$EG$205^A80,IF(A80='Données projet'!$A$192,'Données projet'!$B$192,EJ79+EI80-ER79)))</f>
        <v>87.051282051282016</v>
      </c>
      <c r="EK80" s="17">
        <f>EJ80*VLOOKUP('Données projet'!$B$15,Paramètres!$A$1:$I$89,3,0)*VLOOKUP('Données projet'!$B$15,Paramètres!$A$1:$I$89,5,0)</f>
        <v>93.701999999999956</v>
      </c>
      <c r="EL80" s="13">
        <f t="shared" si="99"/>
        <v>25.455952866012435</v>
      </c>
      <c r="EM80" s="20">
        <f t="shared" si="73"/>
        <v>207.53343457497158</v>
      </c>
      <c r="EN80" s="59">
        <f t="shared" si="74"/>
        <v>478.47298424578759</v>
      </c>
      <c r="EO80" s="59">
        <f ca="1">AVERAGE(OFFSET($EN$3,0,0,'Données projet'!$E$15+1,1))-AVERAGE(OFFSET($H$3,0,0,'Données projet'!$E$15+1,1))</f>
        <v>212.00478362779876</v>
      </c>
      <c r="EP80" s="59">
        <f t="shared" si="100"/>
        <v>133.62262474506707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>
        <f>EXP(-LN(2)/35)*EV79+(1-EXP(-LN(2)/35))/(LN(2)/35)*ER80*ES80*VLOOKUP('Données projet'!$B$15,Paramètres!$A$1:$I$89,3,0)*0.475*44/12</f>
        <v>0</v>
      </c>
      <c r="EW80" s="21">
        <f>EXP(-LN(2)/25)*EW79+(1-EXP(-LN(2)/25))/(LN(2)/25)*Calculateur!ER80*Calculateur!ET80*VLOOKUP('Données projet'!$B$15,Paramètres!$A$1:$I$89,3,0)*0.475*44/12</f>
        <v>4.51789802471977</v>
      </c>
      <c r="EX80" s="21">
        <f>EXP(-LN(2)/2)*EX79+(1-EXP(-LN(2)/2))/(LN(2)/2)*ER80*EU80*VLOOKUP('Données projet'!$B$15,Paramètres!$A$1:$I$89,3,0)*0.475*44/12</f>
        <v>0.98854036389503408</v>
      </c>
      <c r="EY80" s="22">
        <f t="shared" si="75"/>
        <v>5.5064383886148036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63.89260445567708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2.1794871794871797</v>
      </c>
      <c r="FE80" s="12">
        <f>IF('Données projet'!$A$218&gt;35,FE79+FD80-FM79,IF(A80&lt;'Données projet'!$A$218,$FB$205^A80,IF(A80='Données projet'!$A$218,'Données projet'!$B$218,FE79+FD80-FM79)))</f>
        <v>87.051282051282016</v>
      </c>
      <c r="FF80" s="17">
        <f>FE80*VLOOKUP('Données projet'!$B$16,Paramètres!$A$1:$I$89,3,0)*VLOOKUP('Données projet'!$B$16,Paramètres!$A$1:$I$89,5,0)</f>
        <v>84.19599999999997</v>
      </c>
      <c r="FG80" s="13">
        <f t="shared" si="101"/>
        <v>23.160055641180868</v>
      </c>
      <c r="FH80" s="20">
        <f t="shared" si="76"/>
        <v>186.97846357505659</v>
      </c>
      <c r="FI80" s="59">
        <f t="shared" si="77"/>
        <v>457.9180132458726</v>
      </c>
      <c r="FJ80" s="59">
        <f ca="1">AVERAGE(OFFSET($FI$3,0,0,'Données projet'!$E$16+1,1))-AVERAGE(OFFSET($H$3,0,0,'Données projet'!$E$16+1,1))</f>
        <v>196.65742339093146</v>
      </c>
      <c r="FK80" s="59">
        <f t="shared" si="102"/>
        <v>125.41980634506001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>
        <f>EXP(-LN(2)/35)*FQ79+(1-EXP(-LN(2)/35))/(LN(2)/35)*FM80*FN80*VLOOKUP('Données projet'!$B$16,Paramètres!$A$1:$I$89,3,0)*0.475*44/12</f>
        <v>0</v>
      </c>
      <c r="FR80" s="21">
        <f>EXP(-LN(2)/25)*FR79+(1-EXP(-LN(2)/25))/(LN(2)/25)*Calculateur!FM80*Calculateur!FO80*VLOOKUP('Données projet'!$B$16,Paramètres!$A$1:$I$89,3,0)*0.475*44/12</f>
        <v>4.0595605439510987</v>
      </c>
      <c r="FS80" s="21">
        <f>EXP(-LN(2)/2)*FS79+(1-EXP(-LN(2)/2))/(LN(2)/2)*FM80*FP80*VLOOKUP('Données projet'!$B$16,Paramètres!$A$1:$I$89,3,0)*0.475*44/12</f>
        <v>0.8882536603114799</v>
      </c>
      <c r="FT80" s="22">
        <f t="shared" si="78"/>
        <v>4.9478142042625786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63.89260445567708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63.89260445567708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>
      <c r="A81" s="10">
        <f t="shared" si="85"/>
        <v>78</v>
      </c>
      <c r="B81" s="73">
        <f>'Scénario référence'!$B$16*5+'Scénario référence'!$B$17*0+'Scénario référence'!$B$18*5</f>
        <v>4.6999999999999993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4.1614559999999958</v>
      </c>
      <c r="D81" s="11">
        <f t="shared" si="86"/>
        <v>1.6244906581655953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18.879140206588975</v>
      </c>
      <c r="H81" s="67">
        <f t="shared" si="56"/>
        <v>197.81052376297174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63.998554114280175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9.7839999999999971</v>
      </c>
      <c r="N81" s="13">
        <f>IF('Données projet'!$A$36&gt;35,N80+M81-V80,IF(A81&lt;'Données projet'!$A$36,$K$205^A81,IF(A81='Données projet'!$A$36,'Données projet'!$B$36,N80+M81-V80)))</f>
        <v>500.4619999999997</v>
      </c>
      <c r="O81" s="13">
        <f>N81*VLOOKUP('Données projet'!$B$9,Paramètres!$A$1:$I$89,3,0)*VLOOKUP('Données projet'!$B$9,Paramètres!$A$1:$I$89,5,0)</f>
        <v>299.27627599999983</v>
      </c>
      <c r="P81" s="13">
        <f t="shared" si="87"/>
        <v>71.024721805685132</v>
      </c>
      <c r="Q81" s="20">
        <f t="shared" si="54"/>
        <v>644.94090451156796</v>
      </c>
      <c r="R81" s="59">
        <f t="shared" si="55"/>
        <v>916.26893626392871</v>
      </c>
      <c r="S81" s="59">
        <f ca="1">AVERAGE(OFFSET($R$3,0,0,'Données projet'!$E$9+1,1))-AVERAGE(OFFSET($H$3,0,0,'Données projet'!$E$9+1,1))</f>
        <v>366.93249569585623</v>
      </c>
      <c r="T81" s="59">
        <f t="shared" si="88"/>
        <v>272.47262353368501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43.57599548488573</v>
      </c>
      <c r="AA81" s="21">
        <f>EXP(-LN(2)/25)*AA80+(1-EXP(-LN(2)/25))/(LN(2)/25)*Calculateur!V81*Calculateur!X81*VLOOKUP('Données projet'!$B$9,Paramètres!$A$1:$I$89,3,0)*0.475*44/12</f>
        <v>15.604391754457016</v>
      </c>
      <c r="AB81" s="21">
        <f>EXP(-LN(2)/2)*AB80+(1-EXP(-LN(2)/2))/(LN(2)/2)*V81*Y81*VLOOKUP('Données projet'!$B$9,Paramètres!$A$1:$I$89,3,0)*0.475*44/12</f>
        <v>0.59357860791836148</v>
      </c>
      <c r="AC81" s="22">
        <f t="shared" si="57"/>
        <v>59.77396584726111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63.998554114280175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15.299999999999997</v>
      </c>
      <c r="AI81" s="13">
        <f>IF('Données projet'!$A$62&gt;35,AI80+AH81-AQ80,IF(A81&lt;'Données projet'!$A$62,$AF$205^A81,IF(A81='Données projet'!$A$62,'Données projet'!$B$62,AI80+AH81-AQ80)))</f>
        <v>486.71999999999963</v>
      </c>
      <c r="AJ81" s="13">
        <f>AI81*VLOOKUP('Données projet'!$B$10,Paramètres!$A$1:$I$89,3,0)*VLOOKUP('Données projet'!$B$10,Paramètres!$A$1:$I$89,5,0)</f>
        <v>227.78495999999981</v>
      </c>
      <c r="AK81" s="13">
        <f t="shared" si="89"/>
        <v>55.803468680001693</v>
      </c>
      <c r="AL81" s="20">
        <f t="shared" si="58"/>
        <v>493.91651328433608</v>
      </c>
      <c r="AM81" s="59">
        <f t="shared" si="59"/>
        <v>765.24454503669676</v>
      </c>
      <c r="AN81" s="59">
        <f ca="1">AVERAGE(OFFSET($AM$3,0,0,'Données projet'!$E$10+1,1))-AVERAGE(OFFSET($H$3,0,0,'Données projet'!$E$10+1,1))</f>
        <v>382.89338473200229</v>
      </c>
      <c r="AO81" s="59">
        <f t="shared" si="90"/>
        <v>360.46248248971744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69.42815838734667</v>
      </c>
      <c r="AV81" s="21">
        <f>EXP(-LN(2)/25)*AV80+(1-EXP(-LN(2)/25))/(LN(2)/25)*Calculateur!AQ81*Calculateur!AS81*VLOOKUP('Données projet'!$B$10,Paramètres!$A$1:$I$89,3,0)*0.475*44/12</f>
        <v>19.413847809357023</v>
      </c>
      <c r="AW81" s="21">
        <f>EXP(-LN(2)/2)*AW80+(1-EXP(-LN(2)/2))/(LN(2)/2)*AQ81*AT81*VLOOKUP('Données projet'!$B$10,Paramètres!$A$1:$I$89,3,0)*0.475*44/12</f>
        <v>0.91071842000170278</v>
      </c>
      <c r="AX81" s="21">
        <f t="shared" si="60"/>
        <v>89.752724616705393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63.998554114280175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2.0512820512820582</v>
      </c>
      <c r="BD81" s="12">
        <f>IF('Données projet'!$A$88&gt;35,BD80+BC81-BL80,IF(A81&lt;'Données projet'!$A$88,$BA$205^A81,IF(A81='Données projet'!$A$88,'Données projet'!$B$88,BD80+BC81-BL80)))</f>
        <v>129.23076923076917</v>
      </c>
      <c r="BE81" s="13">
        <f>BD81*VLOOKUP('Données projet'!$B$11,Paramètres!$A$1:$I$89,3,0)*VLOOKUP('Données projet'!$B$11,Paramètres!$A$1:$I$89,5,0)</f>
        <v>112.89599999999996</v>
      </c>
      <c r="BF81" s="13">
        <f t="shared" si="91"/>
        <v>30.012269379763534</v>
      </c>
      <c r="BG81" s="20">
        <f t="shared" si="61"/>
        <v>248.89856916975472</v>
      </c>
      <c r="BH81" s="59">
        <f t="shared" si="62"/>
        <v>520.22660092211538</v>
      </c>
      <c r="BI81" s="59">
        <f ca="1">AVERAGE(OFFSET($BH$3,0,0,'Données projet'!$E$11+1,1))-AVERAGE(OFFSET($H$3,0,0,'Données projet'!$E$11+1,1))</f>
        <v>225.75484198243581</v>
      </c>
      <c r="BJ81" s="59">
        <f t="shared" si="92"/>
        <v>199.49566488421061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0.92774483030996269</v>
      </c>
      <c r="BQ81" s="21">
        <f>EXP(-LN(2)/25)*BQ80+(1-EXP(-LN(2)/25))/(LN(2)/25)*Calculateur!BL81*Calculateur!BN81*VLOOKUP('Données projet'!$B$11,Paramètres!$A$1:$I$89,3,0)*0.475*44/12</f>
        <v>12.702805601279282</v>
      </c>
      <c r="BR81" s="21">
        <f>EXP(-LN(2)/2)*BR80+(1-EXP(-LN(2)/2))/(LN(2)/2)*BL81*BO81*VLOOKUP('Données projet'!$B$11,Paramètres!$A$1:$I$89,3,0)*0.475*44/12</f>
        <v>0</v>
      </c>
      <c r="BS81" s="22">
        <f t="shared" si="63"/>
        <v>13.630550431589246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63.998554114280175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6</v>
      </c>
      <c r="BY81" s="12">
        <f>IF('Données projet'!$A$114&gt;35,BY80+BX81-CG80,IF(A81&lt;'Données projet'!$A$114,$BV$205^A81,IF(A81='Données projet'!$A$114,'Données projet'!$B$114,BY80+BX81-CG80)))</f>
        <v>248.99999999999989</v>
      </c>
      <c r="BZ81" s="13">
        <f>BY81*VLOOKUP('Données projet'!$B$12,Paramètres!$A$1:$I$89,3,0)*VLOOKUP('Données projet'!$B$12,Paramètres!$A$1:$I$89,5,0)</f>
        <v>236.94839999999991</v>
      </c>
      <c r="CA81" s="13">
        <f t="shared" si="93"/>
        <v>57.782475694292401</v>
      </c>
      <c r="CB81" s="20">
        <f t="shared" si="64"/>
        <v>513.32294183422573</v>
      </c>
      <c r="CC81" s="59">
        <f t="shared" si="65"/>
        <v>784.65097358658636</v>
      </c>
      <c r="CD81" s="59">
        <f ca="1">AVERAGE(OFFSET($CC$3,0,0,'Données projet'!$E$12+1,1))-AVERAGE(OFFSET($H$3,0,0,'Données projet'!$E$12+1,1))</f>
        <v>413.9352601863377</v>
      </c>
      <c r="CE81" s="59">
        <f t="shared" si="94"/>
        <v>255.13997349799286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4.2646820529505769</v>
      </c>
      <c r="CL81" s="21">
        <f>EXP(-LN(2)/25)*CL80+(1-EXP(-LN(2)/25))/(LN(2)/25)*Calculateur!CG81*Calculateur!CI81*VLOOKUP('Données projet'!$B$12,Paramètres!$A$1:$I$89,3,0)*0.475*44/12</f>
        <v>12.81841555421215</v>
      </c>
      <c r="CM81" s="21">
        <f>EXP(-LN(2)/2)*CM80+(1-EXP(-LN(2)/2))/(LN(2)/2)*CG81*CJ81*VLOOKUP('Données projet'!$B$12,Paramètres!$A$1:$I$89,3,0)*0.475*44/12</f>
        <v>2.0244421507354886</v>
      </c>
      <c r="CN81" s="22">
        <f t="shared" si="66"/>
        <v>19.107539757898216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63.998554114280175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2.4</v>
      </c>
      <c r="CT81" s="12">
        <f>IF('Données projet'!$A$140&gt;35,CT80+CS81-DB80,IF(A81&lt;'Données projet'!$A$140,$CQ$205^A81,IF(A81='Données projet'!$A$140,'Données projet'!$B$140,CT80+CS81-DB80)))</f>
        <v>214.20000000000002</v>
      </c>
      <c r="CU81" s="17">
        <f>CT81*VLOOKUP('Données projet'!$B$13,Paramètres!$A$1:$I$89,3,0)*VLOOKUP('Données projet'!$B$13,Paramètres!$A$1:$I$89,5,0)</f>
        <v>187.12512000000004</v>
      </c>
      <c r="CV81" s="13">
        <f t="shared" si="95"/>
        <v>46.903794805770545</v>
      </c>
      <c r="CW81" s="20">
        <f t="shared" si="67"/>
        <v>407.60035995338376</v>
      </c>
      <c r="CX81" s="59">
        <f t="shared" si="68"/>
        <v>678.92839170574439</v>
      </c>
      <c r="CY81" s="59">
        <f ca="1">AVERAGE(OFFSET($CX$3,0,0,'Données projet'!$E$13+1,1))-AVERAGE(OFFSET($H$3,0,0,'Données projet'!$E$13+1,1))</f>
        <v>280.59827778697775</v>
      </c>
      <c r="CZ81" s="59">
        <f t="shared" si="96"/>
        <v>270.86588231964726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>
        <f>EXP(-LN(2)/35)*DF80+(1-EXP(-LN(2)/35))/(LN(2)/35)*DB81*DC81*VLOOKUP('Données projet'!$B$13,Paramètres!$A$1:$I$89,3,0)*0.475*44/12</f>
        <v>5.1633882241770062</v>
      </c>
      <c r="DG81" s="21">
        <f>EXP(-LN(2)/25)*DG80+(1-EXP(-LN(2)/25))/(LN(2)/25)*Calculateur!DB81*Calculateur!DD81*VLOOKUP('Données projet'!$B$13,Paramètres!$A$1:$I$89,3,0)*0.475*44/12</f>
        <v>9.0723651452654099</v>
      </c>
      <c r="DH81" s="21">
        <f>EXP(-LN(2)/2)*DH80+(1-EXP(-LN(2)/2))/(LN(2)/2)*DB81*DE81*VLOOKUP('Données projet'!$B$13,Paramètres!$A$1:$I$89,3,0)*0.475*44/12</f>
        <v>0.63585345163643214</v>
      </c>
      <c r="DI81" s="22">
        <f t="shared" si="69"/>
        <v>14.871606821078849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63.998554114280175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3.9743589743589665</v>
      </c>
      <c r="DO81" s="12">
        <f>IF('Données projet'!$A$166&gt;35,DO80+DN81-DW80,IF(A81&lt;'Données projet'!$A$166,$DL$205^A81,IF(A81='Données projet'!$A$166,'Données projet'!$B$166,DO80+DN81-DW80)))</f>
        <v>147.82051282051282</v>
      </c>
      <c r="DP81" s="17">
        <f>DO81*VLOOKUP('Données projet'!$B$14,Paramètres!$A$1:$I$89,3,0)*VLOOKUP('Données projet'!$B$14,Paramètres!$A$1:$I$89,5,0)</f>
        <v>99.158000000000001</v>
      </c>
      <c r="DQ81" s="13">
        <f t="shared" si="97"/>
        <v>26.761304049535209</v>
      </c>
      <c r="DR81" s="20">
        <f t="shared" si="70"/>
        <v>219.30945455294048</v>
      </c>
      <c r="DS81" s="59">
        <f t="shared" si="71"/>
        <v>490.63748630530119</v>
      </c>
      <c r="DT81" s="59">
        <f ca="1">AVERAGE(OFFSET($DS$3,0,0,'Données projet'!$E$14+1,1))-AVERAGE(OFFSET($H$3,0,0,'Données projet'!$E$14+1,1))</f>
        <v>211.42385430331873</v>
      </c>
      <c r="DU81" s="59">
        <f t="shared" si="98"/>
        <v>146.84623106782686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>
        <f>EXP(-LN(2)/35)*EA80+(1-EXP(-LN(2)/35))/(LN(2)/35)*DW81*DX81*VLOOKUP('Données projet'!$B$14,Paramètres!$A$1:$I$89,3,0)*0.475*44/12</f>
        <v>1.3057245027705273</v>
      </c>
      <c r="EB81" s="21">
        <f>EXP(-LN(2)/25)*EB80+(1-EXP(-LN(2)/25))/(LN(2)/25)*Calculateur!DW81*Calculateur!DY81*VLOOKUP('Données projet'!$B$14,Paramètres!$A$1:$I$89,3,0)*0.475*44/12</f>
        <v>7.5041007609172237</v>
      </c>
      <c r="EC81" s="21">
        <f>EXP(-LN(2)/2)*EC80+(1-EXP(-LN(2)/2))/(LN(2)/2)*DW81*DZ81*VLOOKUP('Données projet'!$B$14,Paramètres!$A$1:$I$89,3,0)*0.475*44/12</f>
        <v>0.95834537684818277</v>
      </c>
      <c r="ED81" s="22">
        <f t="shared" si="72"/>
        <v>9.7681706405359332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63.998554114280175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2.1794871794871797</v>
      </c>
      <c r="EJ81" s="12">
        <f>IF('Données projet'!$A$192&gt;35,EJ80+EI81-ER80,IF(A81&lt;'Données projet'!$A$192,$EG$205^A81,IF(A81='Données projet'!$A$192,'Données projet'!$B$192,EJ80+EI81-ER80)))</f>
        <v>89.230769230769198</v>
      </c>
      <c r="EK81" s="17">
        <f>EJ81*VLOOKUP('Données projet'!$B$15,Paramètres!$A$1:$I$89,3,0)*VLOOKUP('Données projet'!$B$15,Paramètres!$A$1:$I$89,5,0)</f>
        <v>96.047999999999959</v>
      </c>
      <c r="EL81" s="13">
        <f t="shared" si="99"/>
        <v>26.018289982331776</v>
      </c>
      <c r="EM81" s="20">
        <f t="shared" si="73"/>
        <v>212.59878838589444</v>
      </c>
      <c r="EN81" s="59">
        <f t="shared" si="74"/>
        <v>483.92682013825515</v>
      </c>
      <c r="EO81" s="59">
        <f ca="1">AVERAGE(OFFSET($EN$3,0,0,'Données projet'!$E$15+1,1))-AVERAGE(OFFSET($H$3,0,0,'Données projet'!$E$15+1,1))</f>
        <v>212.00478362779876</v>
      </c>
      <c r="EP81" s="59">
        <f t="shared" si="100"/>
        <v>133.62262474506707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>
        <f>EXP(-LN(2)/35)*EV80+(1-EXP(-LN(2)/35))/(LN(2)/35)*ER81*ES81*VLOOKUP('Données projet'!$B$15,Paramètres!$A$1:$I$89,3,0)*0.475*44/12</f>
        <v>0</v>
      </c>
      <c r="EW81" s="21">
        <f>EXP(-LN(2)/25)*EW80+(1-EXP(-LN(2)/25))/(LN(2)/25)*Calculateur!ER81*Calculateur!ET81*VLOOKUP('Données projet'!$B$15,Paramètres!$A$1:$I$89,3,0)*0.475*44/12</f>
        <v>4.3943558656478769</v>
      </c>
      <c r="EX81" s="21">
        <f>EXP(-LN(2)/2)*EX80+(1-EXP(-LN(2)/2))/(LN(2)/2)*ER81*EU81*VLOOKUP('Données projet'!$B$15,Paramètres!$A$1:$I$89,3,0)*0.475*44/12</f>
        <v>0.69900359478679597</v>
      </c>
      <c r="EY81" s="22">
        <f t="shared" si="75"/>
        <v>5.093359460434673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63.998554114280175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2.1794871794871797</v>
      </c>
      <c r="FE81" s="12">
        <f>IF('Données projet'!$A$218&gt;35,FE80+FD81-FM80,IF(A81&lt;'Données projet'!$A$218,$FB$205^A81,IF(A81='Données projet'!$A$218,'Données projet'!$B$218,FE80+FD81-FM80)))</f>
        <v>89.230769230769198</v>
      </c>
      <c r="FF81" s="17">
        <f>FE81*VLOOKUP('Données projet'!$B$16,Paramètres!$A$1:$I$89,3,0)*VLOOKUP('Données projet'!$B$16,Paramètres!$A$1:$I$89,5,0)</f>
        <v>86.303999999999974</v>
      </c>
      <c r="FG81" s="13">
        <f t="shared" si="101"/>
        <v>23.671675024340772</v>
      </c>
      <c r="FH81" s="20">
        <f t="shared" si="76"/>
        <v>191.54096733406013</v>
      </c>
      <c r="FI81" s="59">
        <f t="shared" si="77"/>
        <v>462.86899908642079</v>
      </c>
      <c r="FJ81" s="59">
        <f ca="1">AVERAGE(OFFSET($FI$3,0,0,'Données projet'!$E$16+1,1))-AVERAGE(OFFSET($H$3,0,0,'Données projet'!$E$16+1,1))</f>
        <v>196.65742339093146</v>
      </c>
      <c r="FK81" s="59">
        <f t="shared" si="102"/>
        <v>125.41980634506001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>
        <f>EXP(-LN(2)/35)*FQ80+(1-EXP(-LN(2)/35))/(LN(2)/35)*FM81*FN81*VLOOKUP('Données projet'!$B$16,Paramètres!$A$1:$I$89,3,0)*0.475*44/12</f>
        <v>0</v>
      </c>
      <c r="FR81" s="21">
        <f>EXP(-LN(2)/25)*FR80+(1-EXP(-LN(2)/25))/(LN(2)/25)*Calculateur!FM81*Calculateur!FO81*VLOOKUP('Données projet'!$B$16,Paramètres!$A$1:$I$89,3,0)*0.475*44/12</f>
        <v>3.948551647393745</v>
      </c>
      <c r="FS81" s="21">
        <f>EXP(-LN(2)/2)*FS80+(1-EXP(-LN(2)/2))/(LN(2)/2)*FM81*FP81*VLOOKUP('Données projet'!$B$16,Paramètres!$A$1:$I$89,3,0)*0.475*44/12</f>
        <v>0.62809018662001959</v>
      </c>
      <c r="FT81" s="22">
        <f t="shared" si="78"/>
        <v>4.5766418340137642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63.998554114280175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63.998554114280175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>
      <c r="A82" s="10">
        <f t="shared" si="85"/>
        <v>79</v>
      </c>
      <c r="B82" s="73">
        <f>'Scénario référence'!$B$16*5+'Scénario référence'!$B$17*0+'Scénario référence'!$B$18*5</f>
        <v>4.6999999999999993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4.2148079999999961</v>
      </c>
      <c r="D82" s="11">
        <f t="shared" si="86"/>
        <v>1.6428795554962894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18.912367569563191</v>
      </c>
      <c r="H82" s="67">
        <f t="shared" si="56"/>
        <v>197.93547249248937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64.102665783174459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9.7839999999999971</v>
      </c>
      <c r="N82" s="13">
        <f>IF('Données projet'!$A$36&gt;35,N81+M82-V81,IF(A82&lt;'Données projet'!$A$36,$K$205^A82,IF(A82='Données projet'!$A$36,'Données projet'!$B$36,N81+M82-V81)))</f>
        <v>510.2459999999997</v>
      </c>
      <c r="O82" s="13">
        <f>N82*VLOOKUP('Données projet'!$B$9,Paramètres!$A$1:$I$89,3,0)*VLOOKUP('Données projet'!$B$9,Paramètres!$A$1:$I$89,5,0)</f>
        <v>305.12710799999985</v>
      </c>
      <c r="P82" s="13">
        <f t="shared" si="87"/>
        <v>72.25023988738603</v>
      </c>
      <c r="Q82" s="20">
        <f t="shared" si="54"/>
        <v>657.26554757053043</v>
      </c>
      <c r="R82" s="59">
        <f t="shared" si="55"/>
        <v>928.97532210883674</v>
      </c>
      <c r="S82" s="59">
        <f ca="1">AVERAGE(OFFSET($R$3,0,0,'Données projet'!$E$9+1,1))-AVERAGE(OFFSET($H$3,0,0,'Données projet'!$E$9+1,1))</f>
        <v>366.93249569585623</v>
      </c>
      <c r="T82" s="59">
        <f t="shared" si="88"/>
        <v>272.47262353368501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42.721496792159932</v>
      </c>
      <c r="AA82" s="21">
        <f>EXP(-LN(2)/25)*AA81+(1-EXP(-LN(2)/25))/(LN(2)/25)*Calculateur!V82*Calculateur!X82*VLOOKUP('Données projet'!$B$9,Paramètres!$A$1:$I$89,3,0)*0.475*44/12</f>
        <v>15.17768884133209</v>
      </c>
      <c r="AB82" s="21">
        <f>EXP(-LN(2)/2)*AB81+(1-EXP(-LN(2)/2))/(LN(2)/2)*V82*Y82*VLOOKUP('Données projet'!$B$9,Paramètres!$A$1:$I$89,3,0)*0.475*44/12</f>
        <v>0.41972345882634432</v>
      </c>
      <c r="AC82" s="22">
        <f t="shared" si="57"/>
        <v>58.318909092318371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64.102665783174459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>
        <f>VLOOKUP(A82,'Données projet'!$A$61:$I$81,2,0)</f>
        <v>502.02</v>
      </c>
      <c r="AG82" s="12">
        <f>VLOOKUP(A82,'Données projet'!$A$61:$I$81,9,0)</f>
        <v>15.299999999999997</v>
      </c>
      <c r="AH82" s="12">
        <f t="array" ref="AH82">INDEX(AG:AG,MIN(IF(ISNUMBER(AG82:AG278),ROW(AG82:AG278),"")))</f>
        <v>15.299999999999997</v>
      </c>
      <c r="AI82" s="13">
        <f>IF('Données projet'!$A$62&gt;35,AI81+AH82-AQ81,IF(A82&lt;'Données projet'!$A$62,$AF$205^A82,IF(A82='Données projet'!$A$62,'Données projet'!$B$62,AI81+AH82-AQ81)))</f>
        <v>502.01999999999964</v>
      </c>
      <c r="AJ82" s="13">
        <f>AI82*VLOOKUP('Données projet'!$B$10,Paramètres!$A$1:$I$89,3,0)*VLOOKUP('Données projet'!$B$10,Paramètres!$A$1:$I$89,5,0)</f>
        <v>234.94535999999982</v>
      </c>
      <c r="AK82" s="13">
        <f t="shared" si="89"/>
        <v>57.350656456773258</v>
      </c>
      <c r="AL82" s="20">
        <f t="shared" si="58"/>
        <v>509.08222866221308</v>
      </c>
      <c r="AM82" s="59">
        <f t="shared" si="59"/>
        <v>780.7920032005195</v>
      </c>
      <c r="AN82" s="59">
        <f ca="1">AVERAGE(OFFSET($AM$3,0,0,'Données projet'!$E$10+1,1))-AVERAGE(OFFSET($H$3,0,0,'Données projet'!$E$10+1,1))</f>
        <v>382.89338473200229</v>
      </c>
      <c r="AO82" s="59">
        <f t="shared" si="90"/>
        <v>360.46248248971744</v>
      </c>
      <c r="AP82" s="15">
        <f>IF(ISNA(VLOOKUP(A82,'Données projet'!$A$61:$I$81,3,0)),0,VLOOKUP(A82,'Données projet'!$A$61:$I$81,3,0))</f>
        <v>6</v>
      </c>
      <c r="AQ82" s="15">
        <f>IF(ISNA(VLOOKUP(A82,'Données projet'!$A$61:$I$81,4,0)),0,VLOOKUP(A82,'Données projet'!$A$61:$I$81,4,0))</f>
        <v>89.009999999999991</v>
      </c>
      <c r="AR82" s="16">
        <f>IF(ISNA(VLOOKUP(A82,'Données projet'!$A$61:$I$81,5,0)),0%,VLOOKUP(A82,'Données projet'!$A$61:$I$81,5,0)*VLOOKUP('Données projet'!$B$10,Paramètres!$A$1:$I$89,7,0))</f>
        <v>0.33</v>
      </c>
      <c r="AS82" s="16">
        <f>IF(ISNA(VLOOKUP(A82,'Données projet'!$A$61:$I$81,6,0)),0%,VLOOKUP(A82,'Données projet'!$A$61:$I$81,6,0)*VLOOKUP('Données projet'!$B$10,Paramètres!$A$1:$I$89,7,0))</f>
        <v>0.11000000000000001</v>
      </c>
      <c r="AT82" s="16">
        <f>IF(ISNA(VLOOKUP(A82,'Données projet'!$A$61:$I$81,7,0)),0%,VLOOKUP(A82,'Données projet'!$A$61:$I$81,7,0))</f>
        <v>0.2</v>
      </c>
      <c r="AU82" s="21">
        <f>EXP(-LN(2)/35)*AU81+(1-EXP(-LN(2)/35))/(LN(2)/35)*AQ82*AR82*VLOOKUP('Données projet'!$B$10,Paramètres!$A$1:$I$89,3,0)*0.475*44/12</f>
        <v>86.302603984840317</v>
      </c>
      <c r="AV82" s="21">
        <f>EXP(-LN(2)/25)*AV81+(1-EXP(-LN(2)/25))/(LN(2)/25)*Calculateur!AQ82*Calculateur!AS82*VLOOKUP('Données projet'!$B$10,Paramètres!$A$1:$I$89,3,0)*0.475*44/12</f>
        <v>24.937671050528376</v>
      </c>
      <c r="AW82" s="21">
        <f>EXP(-LN(2)/2)*AW81+(1-EXP(-LN(2)/2))/(LN(2)/2)*AQ82*AT82*VLOOKUP('Données projet'!$B$10,Paramètres!$A$1:$I$89,3,0)*0.475*44/12</f>
        <v>10.076982871279659</v>
      </c>
      <c r="AX82" s="21">
        <f t="shared" si="60"/>
        <v>121.31725790664835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64.102665783174459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2.0512820512820582</v>
      </c>
      <c r="BD82" s="12">
        <f>IF('Données projet'!$A$88&gt;35,BD81+BC82-BL81,IF(A82&lt;'Données projet'!$A$88,$BA$205^A82,IF(A82='Données projet'!$A$88,'Données projet'!$B$88,BD81+BC82-BL81)))</f>
        <v>131.28205128205121</v>
      </c>
      <c r="BE82" s="13">
        <f>BD82*VLOOKUP('Données projet'!$B$11,Paramètres!$A$1:$I$89,3,0)*VLOOKUP('Données projet'!$B$11,Paramètres!$A$1:$I$89,5,0)</f>
        <v>114.68799999999995</v>
      </c>
      <c r="BF82" s="13">
        <f t="shared" si="91"/>
        <v>30.432816782482064</v>
      </c>
      <c r="BG82" s="20">
        <f t="shared" si="61"/>
        <v>252.75208922948948</v>
      </c>
      <c r="BH82" s="59">
        <f t="shared" si="62"/>
        <v>524.46186376779588</v>
      </c>
      <c r="BI82" s="59">
        <f ca="1">AVERAGE(OFFSET($BH$3,0,0,'Données projet'!$E$11+1,1))-AVERAGE(OFFSET($H$3,0,0,'Données projet'!$E$11+1,1))</f>
        <v>225.75484198243581</v>
      </c>
      <c r="BJ82" s="59">
        <f t="shared" si="92"/>
        <v>199.49566488421061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0.90955232005605591</v>
      </c>
      <c r="BQ82" s="21">
        <f>EXP(-LN(2)/25)*BQ81+(1-EXP(-LN(2)/25))/(LN(2)/25)*Calculateur!BL82*Calculateur!BN82*VLOOKUP('Données projet'!$B$11,Paramètres!$A$1:$I$89,3,0)*0.475*44/12</f>
        <v>12.355446714100786</v>
      </c>
      <c r="BR82" s="21">
        <f>EXP(-LN(2)/2)*BR81+(1-EXP(-LN(2)/2))/(LN(2)/2)*BL82*BO82*VLOOKUP('Données projet'!$B$11,Paramètres!$A$1:$I$89,3,0)*0.475*44/12</f>
        <v>0</v>
      </c>
      <c r="BS82" s="22">
        <f t="shared" si="63"/>
        <v>13.264999034156842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64.102665783174459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6</v>
      </c>
      <c r="BY82" s="12">
        <f>IF('Données projet'!$A$114&gt;35,BY81+BX82-CG81,IF(A82&lt;'Données projet'!$A$114,$BV$205^A82,IF(A82='Données projet'!$A$114,'Données projet'!$B$114,BY81+BX82-CG81)))</f>
        <v>254.99999999999989</v>
      </c>
      <c r="BZ82" s="13">
        <f>BY82*VLOOKUP('Données projet'!$B$12,Paramètres!$A$1:$I$89,3,0)*VLOOKUP('Données projet'!$B$12,Paramètres!$A$1:$I$89,5,0)</f>
        <v>242.6579999999999</v>
      </c>
      <c r="CA82" s="13">
        <f t="shared" si="93"/>
        <v>59.011045025839607</v>
      </c>
      <c r="CB82" s="20">
        <f t="shared" si="64"/>
        <v>525.40692008667054</v>
      </c>
      <c r="CC82" s="59">
        <f t="shared" si="65"/>
        <v>797.11669462497684</v>
      </c>
      <c r="CD82" s="59">
        <f ca="1">AVERAGE(OFFSET($CC$3,0,0,'Données projet'!$E$12+1,1))-AVERAGE(OFFSET($H$3,0,0,'Données projet'!$E$12+1,1))</f>
        <v>413.9352601863377</v>
      </c>
      <c r="CE82" s="59">
        <f t="shared" si="94"/>
        <v>255.13997349799286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4.1810542390914209</v>
      </c>
      <c r="CL82" s="21">
        <f>EXP(-LN(2)/25)*CL81+(1-EXP(-LN(2)/25))/(LN(2)/25)*Calculateur!CG82*Calculateur!CI82*VLOOKUP('Données projet'!$B$12,Paramètres!$A$1:$I$89,3,0)*0.475*44/12</f>
        <v>12.467895306791041</v>
      </c>
      <c r="CM82" s="21">
        <f>EXP(-LN(2)/2)*CM81+(1-EXP(-LN(2)/2))/(LN(2)/2)*CG82*CJ82*VLOOKUP('Données projet'!$B$12,Paramètres!$A$1:$I$89,3,0)*0.475*44/12</f>
        <v>1.4314967729049428</v>
      </c>
      <c r="CN82" s="22">
        <f t="shared" si="66"/>
        <v>18.080446318787406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64.102665783174459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2.4</v>
      </c>
      <c r="CT82" s="12">
        <f>IF('Données projet'!$A$140&gt;35,CT81+CS82-DB81,IF(A82&lt;'Données projet'!$A$140,$CQ$205^A82,IF(A82='Données projet'!$A$140,'Données projet'!$B$140,CT81+CS82-DB81)))</f>
        <v>216.60000000000002</v>
      </c>
      <c r="CU82" s="17">
        <f>CT82*VLOOKUP('Données projet'!$B$13,Paramètres!$A$1:$I$89,3,0)*VLOOKUP('Données projet'!$B$13,Paramètres!$A$1:$I$89,5,0)</f>
        <v>189.22176000000005</v>
      </c>
      <c r="CV82" s="13">
        <f t="shared" si="95"/>
        <v>47.367853957810077</v>
      </c>
      <c r="CW82" s="20">
        <f t="shared" si="67"/>
        <v>412.06024430985258</v>
      </c>
      <c r="CX82" s="59">
        <f t="shared" si="68"/>
        <v>683.770018848159</v>
      </c>
      <c r="CY82" s="59">
        <f ca="1">AVERAGE(OFFSET($CX$3,0,0,'Données projet'!$E$13+1,1))-AVERAGE(OFFSET($H$3,0,0,'Données projet'!$E$13+1,1))</f>
        <v>280.59827778697775</v>
      </c>
      <c r="CZ82" s="59">
        <f t="shared" si="96"/>
        <v>270.86588231964726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>
        <f>EXP(-LN(2)/35)*DF81+(1-EXP(-LN(2)/35))/(LN(2)/35)*DB82*DC82*VLOOKUP('Données projet'!$B$13,Paramètres!$A$1:$I$89,3,0)*0.475*44/12</f>
        <v>5.0621373304567392</v>
      </c>
      <c r="DG82" s="21">
        <f>EXP(-LN(2)/25)*DG81+(1-EXP(-LN(2)/25))/(LN(2)/25)*Calculateur!DB82*Calculateur!DD82*VLOOKUP('Données projet'!$B$13,Paramètres!$A$1:$I$89,3,0)*0.475*44/12</f>
        <v>8.8242808432731792</v>
      </c>
      <c r="DH82" s="21">
        <f>EXP(-LN(2)/2)*DH81+(1-EXP(-LN(2)/2))/(LN(2)/2)*DB82*DE82*VLOOKUP('Données projet'!$B$13,Paramètres!$A$1:$I$89,3,0)*0.475*44/12</f>
        <v>0.44961628749299365</v>
      </c>
      <c r="DI82" s="22">
        <f t="shared" si="69"/>
        <v>14.336034461222912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64.102665783174459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3.9743589743589665</v>
      </c>
      <c r="DO82" s="12">
        <f>IF('Données projet'!$A$166&gt;35,DO81+DN82-DW81,IF(A82&lt;'Données projet'!$A$166,$DL$205^A82,IF(A82='Données projet'!$A$166,'Données projet'!$B$166,DO81+DN82-DW81)))</f>
        <v>151.7948717948718</v>
      </c>
      <c r="DP82" s="17">
        <f>DO82*VLOOKUP('Données projet'!$B$14,Paramètres!$A$1:$I$89,3,0)*VLOOKUP('Données projet'!$B$14,Paramètres!$A$1:$I$89,5,0)</f>
        <v>101.824</v>
      </c>
      <c r="DQ82" s="13">
        <f t="shared" si="97"/>
        <v>27.396082200495339</v>
      </c>
      <c r="DR82" s="20">
        <f t="shared" si="70"/>
        <v>225.05830983252937</v>
      </c>
      <c r="DS82" s="59">
        <f t="shared" si="71"/>
        <v>496.76808437083571</v>
      </c>
      <c r="DT82" s="59">
        <f ca="1">AVERAGE(OFFSET($DS$3,0,0,'Données projet'!$E$14+1,1))-AVERAGE(OFFSET($H$3,0,0,'Données projet'!$E$14+1,1))</f>
        <v>211.42385430331873</v>
      </c>
      <c r="DU82" s="59">
        <f t="shared" si="98"/>
        <v>146.84623106782686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>
        <f>EXP(-LN(2)/35)*EA81+(1-EXP(-LN(2)/35))/(LN(2)/35)*DW82*DX82*VLOOKUP('Données projet'!$B$14,Paramètres!$A$1:$I$89,3,0)*0.475*44/12</f>
        <v>1.2801200416845047</v>
      </c>
      <c r="EB82" s="21">
        <f>EXP(-LN(2)/25)*EB81+(1-EXP(-LN(2)/25))/(LN(2)/25)*Calculateur!DW82*Calculateur!DY82*VLOOKUP('Données projet'!$B$14,Paramètres!$A$1:$I$89,3,0)*0.475*44/12</f>
        <v>7.2989007309864338</v>
      </c>
      <c r="EC82" s="21">
        <f>EXP(-LN(2)/2)*EC81+(1-EXP(-LN(2)/2))/(LN(2)/2)*DW82*DZ82*VLOOKUP('Données projet'!$B$14,Paramètres!$A$1:$I$89,3,0)*0.475*44/12</f>
        <v>0.67765251468812748</v>
      </c>
      <c r="ED82" s="22">
        <f t="shared" si="72"/>
        <v>9.2566732873590656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64.102665783174459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2.1794871794871797</v>
      </c>
      <c r="EJ82" s="12">
        <f>IF('Données projet'!$A$192&gt;35,EJ81+EI82-ER81,IF(A82&lt;'Données projet'!$A$192,$EG$205^A82,IF(A82='Données projet'!$A$192,'Données projet'!$B$192,EJ81+EI82-ER81)))</f>
        <v>91.41025641025638</v>
      </c>
      <c r="EK82" s="17">
        <f>EJ82*VLOOKUP('Données projet'!$B$15,Paramètres!$A$1:$I$89,3,0)*VLOOKUP('Données projet'!$B$15,Paramètres!$A$1:$I$89,5,0)</f>
        <v>98.393999999999963</v>
      </c>
      <c r="EL82" s="13">
        <f t="shared" si="99"/>
        <v>26.579030418869145</v>
      </c>
      <c r="EM82" s="20">
        <f t="shared" si="73"/>
        <v>217.6613613128637</v>
      </c>
      <c r="EN82" s="59">
        <f t="shared" si="74"/>
        <v>489.37113585117004</v>
      </c>
      <c r="EO82" s="59">
        <f ca="1">AVERAGE(OFFSET($EN$3,0,0,'Données projet'!$E$15+1,1))-AVERAGE(OFFSET($H$3,0,0,'Données projet'!$E$15+1,1))</f>
        <v>212.00478362779876</v>
      </c>
      <c r="EP82" s="59">
        <f t="shared" si="100"/>
        <v>133.62262474506707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>
        <f>EXP(-LN(2)/35)*EV81+(1-EXP(-LN(2)/35))/(LN(2)/35)*ER82*ES82*VLOOKUP('Données projet'!$B$15,Paramètres!$A$1:$I$89,3,0)*0.475*44/12</f>
        <v>0</v>
      </c>
      <c r="EW82" s="21">
        <f>EXP(-LN(2)/25)*EW81+(1-EXP(-LN(2)/25))/(LN(2)/25)*Calculateur!ER82*Calculateur!ET82*VLOOKUP('Données projet'!$B$15,Paramètres!$A$1:$I$89,3,0)*0.475*44/12</f>
        <v>4.2741919734126039</v>
      </c>
      <c r="EX82" s="21">
        <f>EXP(-LN(2)/2)*EX81+(1-EXP(-LN(2)/2))/(LN(2)/2)*ER82*EU82*VLOOKUP('Données projet'!$B$15,Paramètres!$A$1:$I$89,3,0)*0.475*44/12</f>
        <v>0.4942701819475171</v>
      </c>
      <c r="EY82" s="22">
        <f t="shared" si="75"/>
        <v>4.7684621553601207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64.102665783174459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2.1794871794871797</v>
      </c>
      <c r="FE82" s="12">
        <f>IF('Données projet'!$A$218&gt;35,FE81+FD82-FM81,IF(A82&lt;'Données projet'!$A$218,$FB$205^A82,IF(A82='Données projet'!$A$218,'Données projet'!$B$218,FE81+FD82-FM81)))</f>
        <v>91.41025641025638</v>
      </c>
      <c r="FF82" s="17">
        <f>FE82*VLOOKUP('Données projet'!$B$16,Paramètres!$A$1:$I$89,3,0)*VLOOKUP('Données projet'!$B$16,Paramètres!$A$1:$I$89,5,0)</f>
        <v>88.411999999999964</v>
      </c>
      <c r="FG82" s="13">
        <f t="shared" si="101"/>
        <v>24.181841733826023</v>
      </c>
      <c r="FH82" s="20">
        <f t="shared" si="76"/>
        <v>196.1009410197469</v>
      </c>
      <c r="FI82" s="59">
        <f t="shared" si="77"/>
        <v>467.81071555805329</v>
      </c>
      <c r="FJ82" s="59">
        <f ca="1">AVERAGE(OFFSET($FI$3,0,0,'Données projet'!$E$16+1,1))-AVERAGE(OFFSET($H$3,0,0,'Données projet'!$E$16+1,1))</f>
        <v>196.65742339093146</v>
      </c>
      <c r="FK82" s="59">
        <f t="shared" si="102"/>
        <v>125.41980634506001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>
        <f>EXP(-LN(2)/35)*FQ81+(1-EXP(-LN(2)/35))/(LN(2)/35)*FM82*FN82*VLOOKUP('Données projet'!$B$16,Paramètres!$A$1:$I$89,3,0)*0.475*44/12</f>
        <v>0</v>
      </c>
      <c r="FR82" s="21">
        <f>EXP(-LN(2)/25)*FR81+(1-EXP(-LN(2)/25))/(LN(2)/25)*Calculateur!FM82*Calculateur!FO82*VLOOKUP('Données projet'!$B$16,Paramètres!$A$1:$I$89,3,0)*0.475*44/12</f>
        <v>3.8405782949504563</v>
      </c>
      <c r="FS82" s="21">
        <f>EXP(-LN(2)/2)*FS81+(1-EXP(-LN(2)/2))/(LN(2)/2)*FM82*FP82*VLOOKUP('Données projet'!$B$16,Paramètres!$A$1:$I$89,3,0)*0.475*44/12</f>
        <v>0.44412683015574</v>
      </c>
      <c r="FT82" s="22">
        <f t="shared" si="78"/>
        <v>4.2847051251061963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64.102665783174459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64.102665783174459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>
      <c r="A83" s="10">
        <f t="shared" si="85"/>
        <v>80</v>
      </c>
      <c r="B83" s="73">
        <f>'Scénario référence'!$B$16*5+'Scénario référence'!$B$17*0+'Scénario référence'!$B$18*5</f>
        <v>4.6999999999999993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4.2681599999999964</v>
      </c>
      <c r="D83" s="11">
        <f t="shared" si="86"/>
        <v>1.6612413774861579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18.945582392379549</v>
      </c>
      <c r="H83" s="67">
        <f t="shared" si="56"/>
        <v>198.06037406578841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64.204971347372251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>
        <f>VLOOKUP(A83,'Données projet'!$A$35:$I$55,2,0)</f>
        <v>520.03</v>
      </c>
      <c r="L83" s="12">
        <f>VLOOKUP(A83,'Données projet'!$A$35:$I$55,9,0)</f>
        <v>9.7839999999999971</v>
      </c>
      <c r="M83" s="12">
        <f t="array" ref="M83">INDEX(L:L,MIN(IF(ISNUMBER(L83:L279),ROW(L83:L279),"")))</f>
        <v>9.7839999999999971</v>
      </c>
      <c r="N83" s="13">
        <f>IF('Données projet'!$A$36&gt;35,N82+M83-V82,IF(A83&lt;'Données projet'!$A$36,$K$205^A83,IF(A83='Données projet'!$A$36,'Données projet'!$B$36,N82+M83-V82)))</f>
        <v>520.02999999999975</v>
      </c>
      <c r="O83" s="13">
        <f>N83*VLOOKUP('Données projet'!$B$9,Paramètres!$A$1:$I$89,3,0)*VLOOKUP('Données projet'!$B$9,Paramètres!$A$1:$I$89,5,0)</f>
        <v>310.97793999999988</v>
      </c>
      <c r="P83" s="13">
        <f t="shared" si="87"/>
        <v>73.473025513598785</v>
      </c>
      <c r="Q83" s="20">
        <f t="shared" si="54"/>
        <v>669.58543160285092</v>
      </c>
      <c r="R83" s="59">
        <f t="shared" si="55"/>
        <v>941.67032654321588</v>
      </c>
      <c r="S83" s="59">
        <f ca="1">AVERAGE(OFFSET($R$3,0,0,'Données projet'!$E$9+1,1))-AVERAGE(OFFSET($H$3,0,0,'Données projet'!$E$9+1,1))</f>
        <v>366.93249569585623</v>
      </c>
      <c r="T83" s="59">
        <f t="shared" si="88"/>
        <v>272.47262353368501</v>
      </c>
      <c r="U83" s="15">
        <f>IF(ISNA(VLOOKUP(A83,'Données projet'!$A$35:$I$55,3,0)),0,VLOOKUP(A83,'Données projet'!$A$35:$I$55,3,0))</f>
        <v>8</v>
      </c>
      <c r="V83" s="15">
        <f>IF(ISNA(VLOOKUP(A83,'Données projet'!$A$35:$I$55,4,0)),0,VLOOKUP(A83,'Données projet'!$A$35:$I$55,4,0))</f>
        <v>520.03</v>
      </c>
      <c r="W83" s="16">
        <f>IF(ISNA(VLOOKUP(A83,'Données projet'!$A$35:$I$55,5,0)),0%,VLOOKUP(A83,'Données projet'!$A$35:$I$55,5,0)*VLOOKUP('Données projet'!$B$9,Paramètres!$A$1:$I$89,7,0))</f>
        <v>0.27</v>
      </c>
      <c r="X83" s="16">
        <f>IF(ISNA(VLOOKUP(A83,'Données projet'!$A$35:$I$55,6,0)),0%,VLOOKUP(A83,'Données projet'!$A$35:$I$55,6,0)*VLOOKUP('Données projet'!$B$9,Paramètres!$A$1:$I$89,7,0))</f>
        <v>9.0000000000000011E-2</v>
      </c>
      <c r="Y83" s="16">
        <f>IF(ISNA(VLOOKUP(A83,'Données projet'!$A$35:$I$55,7,0)),0%,VLOOKUP(A83,'Données projet'!$A$35:$I$55,7,0))</f>
        <v>0.2</v>
      </c>
      <c r="Z83" s="21">
        <f>EXP(-LN(2)/35)*Z82+(1-EXP(-LN(2)/35))/(LN(2)/35)*V83*W83*VLOOKUP('Données projet'!$B$9,Paramètres!$A$1:$I$89,3,0)*0.475*44/12</f>
        <v>153.26747033765446</v>
      </c>
      <c r="AA83" s="21">
        <f>EXP(-LN(2)/25)*AA82+(1-EXP(-LN(2)/25))/(LN(2)/25)*Calculateur!V83*Calculateur!X83*VLOOKUP('Données projet'!$B$9,Paramètres!$A$1:$I$89,3,0)*0.475*44/12</f>
        <v>51.744372778297887</v>
      </c>
      <c r="AB83" s="21">
        <f>EXP(-LN(2)/2)*AB82+(1-EXP(-LN(2)/2))/(LN(2)/2)*V83*Y83*VLOOKUP('Données projet'!$B$9,Paramètres!$A$1:$I$89,3,0)*0.475*44/12</f>
        <v>70.716642801208678</v>
      </c>
      <c r="AC83" s="22">
        <f t="shared" si="57"/>
        <v>275.72848591716104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64.204971347372251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14.393749999999997</v>
      </c>
      <c r="AI83" s="13">
        <f>IF('Données projet'!$A$62&gt;35,AI82+AH83-AQ82,IF(A83&lt;'Données projet'!$A$62,$AF$205^A83,IF(A83='Données projet'!$A$62,'Données projet'!$B$62,AI82+AH83-AQ82)))</f>
        <v>427.4037499999996</v>
      </c>
      <c r="AJ83" s="13">
        <f>AI83*VLOOKUP('Données projet'!$B$10,Paramètres!$A$1:$I$89,3,0)*VLOOKUP('Données projet'!$B$10,Paramètres!$A$1:$I$89,5,0)</f>
        <v>200.02495499999984</v>
      </c>
      <c r="AK83" s="13">
        <f t="shared" si="89"/>
        <v>49.749652039245412</v>
      </c>
      <c r="AL83" s="20">
        <f t="shared" si="58"/>
        <v>435.02410726001881</v>
      </c>
      <c r="AM83" s="59">
        <f t="shared" si="59"/>
        <v>707.10900220038366</v>
      </c>
      <c r="AN83" s="59">
        <f ca="1">AVERAGE(OFFSET($AM$3,0,0,'Données projet'!$E$10+1,1))-AVERAGE(OFFSET($H$3,0,0,'Données projet'!$E$10+1,1))</f>
        <v>382.89338473200229</v>
      </c>
      <c r="AO83" s="59">
        <f t="shared" si="90"/>
        <v>360.46248248971744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84.610262560088316</v>
      </c>
      <c r="AV83" s="21">
        <f>EXP(-LN(2)/25)*AV82+(1-EXP(-LN(2)/25))/(LN(2)/25)*Calculateur!AQ83*Calculateur!AS83*VLOOKUP('Données projet'!$B$10,Paramètres!$A$1:$I$89,3,0)*0.475*44/12</f>
        <v>24.255749124236551</v>
      </c>
      <c r="AW83" s="21">
        <f>EXP(-LN(2)/2)*AW82+(1-EXP(-LN(2)/2))/(LN(2)/2)*AQ83*AT83*VLOOKUP('Données projet'!$B$10,Paramètres!$A$1:$I$89,3,0)*0.475*44/12</f>
        <v>7.1255029221825339</v>
      </c>
      <c r="AX83" s="21">
        <f t="shared" si="60"/>
        <v>115.99151460650739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64.204971347372251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>
        <f>VLOOKUP(A83,'Données projet'!$A$87:$I$107,2,0)</f>
        <v>133.33333333333334</v>
      </c>
      <c r="BB83" s="12">
        <f>VLOOKUP(A83,'Données projet'!$A$87:$I$107,9,0)</f>
        <v>2.0512820512820582</v>
      </c>
      <c r="BC83" s="12">
        <f t="array" ref="BC83">INDEX(BB:BB,MIN(IF(ISNUMBER(BB83:BB279),ROW(BB83:BB279),"")))</f>
        <v>2.0512820512820582</v>
      </c>
      <c r="BD83" s="12">
        <f>IF('Données projet'!$A$88&gt;35,BD82+BC83-BL82,IF(A83&lt;'Données projet'!$A$88,$BA$205^A83,IF(A83='Données projet'!$A$88,'Données projet'!$B$88,BD82+BC83-BL82)))</f>
        <v>133.33333333333326</v>
      </c>
      <c r="BE83" s="13">
        <f>BD83*VLOOKUP('Données projet'!$B$11,Paramètres!$A$1:$I$89,3,0)*VLOOKUP('Données projet'!$B$11,Paramètres!$A$1:$I$89,5,0)</f>
        <v>116.47999999999995</v>
      </c>
      <c r="BF83" s="13">
        <f t="shared" si="91"/>
        <v>30.852599976867037</v>
      </c>
      <c r="BG83" s="20">
        <f t="shared" si="61"/>
        <v>256.60427829304331</v>
      </c>
      <c r="BH83" s="59">
        <f t="shared" si="62"/>
        <v>528.68917323340816</v>
      </c>
      <c r="BI83" s="59">
        <f ca="1">AVERAGE(OFFSET($BH$3,0,0,'Données projet'!$E$11+1,1))-AVERAGE(OFFSET($H$3,0,0,'Données projet'!$E$11+1,1))</f>
        <v>225.75484198243581</v>
      </c>
      <c r="BJ83" s="59">
        <f t="shared" si="92"/>
        <v>199.49566488421061</v>
      </c>
      <c r="BK83" s="15">
        <f>IF(ISNA(VLOOKUP(A83,'Données projet'!$A$87:$I$107,3,0)),0,VLOOKUP(A83,'Données projet'!$A$87:$I$107,3,0))</f>
        <v>13</v>
      </c>
      <c r="BL83" s="21">
        <f>IF(ISNA(VLOOKUP(A83,'Données projet'!$A$87:$I$107,4,0)),0,VLOOKUP(A83,'Données projet'!$A$87:$I$107,4,0))</f>
        <v>7.0512820512820511</v>
      </c>
      <c r="BM83" s="16">
        <f>IF(ISNA(VLOOKUP(A83,'Données projet'!$A$87:$I$107,5,0)),0%,VLOOKUP(A83,'Données projet'!$A$87:$I$107,5,0)*VLOOKUP('Données projet'!$B$11,Paramètres!$A$1:$I$89,7,0))</f>
        <v>4.3000000000000003E-2</v>
      </c>
      <c r="BN83" s="16">
        <f>IF(ISNA(VLOOKUP(A83,'Données projet'!$A$87:$I$107,6,0)),0%,VLOOKUP(A83,'Données projet'!$A$87:$I$107,6,0)*VLOOKUP('Données projet'!$B$11,Paramètres!$A$1:$I$89,7,0))</f>
        <v>0.215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1.1845335479625805</v>
      </c>
      <c r="BQ83" s="21">
        <f>EXP(-LN(2)/25)*BQ82+(1-EXP(-LN(2)/25))/(LN(2)/25)*Calculateur!BL83*Calculateur!BN83*VLOOKUP('Données projet'!$B$11,Paramètres!$A$1:$I$89,3,0)*0.475*44/12</f>
        <v>13.475906684222863</v>
      </c>
      <c r="BR83" s="21">
        <f>EXP(-LN(2)/2)*BR82+(1-EXP(-LN(2)/2))/(LN(2)/2)*BL83*BO83*VLOOKUP('Données projet'!$B$11,Paramètres!$A$1:$I$89,3,0)*0.475*44/12</f>
        <v>0</v>
      </c>
      <c r="BS83" s="22">
        <f t="shared" si="63"/>
        <v>14.660440232185444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64.204971347372251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>
        <f>VLOOKUP(A83,'Données projet'!$A$113:$I$133,2,0)</f>
        <v>261</v>
      </c>
      <c r="BW83" s="12">
        <f>VLOOKUP(A83,'Données projet'!$A$113:$I$133,9,0)</f>
        <v>6</v>
      </c>
      <c r="BX83" s="12">
        <f t="array" ref="BX83">INDEX(BW:BW,MIN(IF(ISNUMBER(BW83:BW279),ROW(BW83:BW279),"")))</f>
        <v>6</v>
      </c>
      <c r="BY83" s="12">
        <f>IF('Données projet'!$A$114&gt;35,BY82+BX83-CG82,IF(A83&lt;'Données projet'!$A$114,$BV$205^A83,IF(A83='Données projet'!$A$114,'Données projet'!$B$114,BY82+BX83-CG82)))</f>
        <v>260.99999999999989</v>
      </c>
      <c r="BZ83" s="13">
        <f>BY83*VLOOKUP('Données projet'!$B$12,Paramètres!$A$1:$I$89,3,0)*VLOOKUP('Données projet'!$B$12,Paramètres!$A$1:$I$89,5,0)</f>
        <v>248.3675999999999</v>
      </c>
      <c r="CA83" s="13">
        <f t="shared" si="93"/>
        <v>60.236253798706286</v>
      </c>
      <c r="CB83" s="20">
        <f t="shared" si="64"/>
        <v>537.48504536607982</v>
      </c>
      <c r="CC83" s="59">
        <f t="shared" si="65"/>
        <v>809.56994030644478</v>
      </c>
      <c r="CD83" s="59">
        <f ca="1">AVERAGE(OFFSET($CC$3,0,0,'Données projet'!$E$12+1,1))-AVERAGE(OFFSET($H$3,0,0,'Données projet'!$E$12+1,1))</f>
        <v>413.9352601863377</v>
      </c>
      <c r="CE83" s="59">
        <f t="shared" si="94"/>
        <v>255.13997349799286</v>
      </c>
      <c r="CF83" s="15">
        <f>IF(ISNA(VLOOKUP(A83,'Données projet'!$A$113:$I$133,3,0)),0,VLOOKUP(A83,'Données projet'!$A$113:$I$133,3,0))</f>
        <v>12</v>
      </c>
      <c r="CG83" s="15">
        <f>IF(ISNA(VLOOKUP(A83,'Données projet'!$A$113:$I$133,4,0)),0,VLOOKUP(A83,'Données projet'!$A$113:$I$133,4,0))</f>
        <v>21</v>
      </c>
      <c r="CH83" s="16">
        <f>IF(ISNA(VLOOKUP(A83,'Données projet'!$A$113:$I$133,5,0)),0%,VLOOKUP(A83,'Données projet'!$A$113:$I$133,5,0)*VLOOKUP('Données projet'!$B$12,Paramètres!$A$1:$I$89,7,0))</f>
        <v>0.1075</v>
      </c>
      <c r="CI83" s="16">
        <f>IF(ISNA(VLOOKUP(A83,'Données projet'!$A$113:$I$133,6,0)),0%,VLOOKUP(A83,'Données projet'!$A$113:$I$133,6,0)*VLOOKUP('Données projet'!$B$12,Paramètres!$A$1:$I$89,7,0))</f>
        <v>0.1075</v>
      </c>
      <c r="CJ83" s="16">
        <f>IF(ISNA(VLOOKUP(A83,'Données projet'!$A$113:$I$133,7,0)),0%,VLOOKUP(A83,'Données projet'!$A$113:$I$133,7,0))</f>
        <v>0.25</v>
      </c>
      <c r="CK83" s="21">
        <f>EXP(-LN(2)/35)*CK82+(1-EXP(-LN(2)/35))/(LN(2)/35)*CG83*CH83*VLOOKUP('Données projet'!$B$12,Paramètres!$A$1:$I$89,3,0)*0.475*44/12</f>
        <v>6.4738786873708385</v>
      </c>
      <c r="CL83" s="21">
        <f>EXP(-LN(2)/25)*CL82+(1-EXP(-LN(2)/25))/(LN(2)/25)*Calculateur!CG83*Calculateur!CI83*VLOOKUP('Données projet'!$B$12,Paramètres!$A$1:$I$89,3,0)*0.475*44/12</f>
        <v>14.492421884503544</v>
      </c>
      <c r="CM83" s="21">
        <f>EXP(-LN(2)/2)*CM82+(1-EXP(-LN(2)/2))/(LN(2)/2)*CG83*CJ83*VLOOKUP('Données projet'!$B$12,Paramètres!$A$1:$I$89,3,0)*0.475*44/12</f>
        <v>5.7259871880448037</v>
      </c>
      <c r="CN83" s="22">
        <f t="shared" si="66"/>
        <v>26.692287759919189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64.204971347372251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>
        <f>VLOOKUP(A83,'Données projet'!$A$139:$I$159,2,0)</f>
        <v>219</v>
      </c>
      <c r="CR83" s="12">
        <f>VLOOKUP(A83,'Données projet'!$A$139:$I$159,9,0)</f>
        <v>2.4</v>
      </c>
      <c r="CS83" s="12">
        <f t="array" ref="CS83">INDEX(CR:CR,MIN(IF(ISNUMBER(CR83:CR279),ROW(CR83:CR279),"")))</f>
        <v>2.4</v>
      </c>
      <c r="CT83" s="12">
        <f>IF('Données projet'!$A$140&gt;35,CT82+CS83-DB82,IF(A83&lt;'Données projet'!$A$140,$CQ$205^A83,IF(A83='Données projet'!$A$140,'Données projet'!$B$140,CT82+CS83-DB82)))</f>
        <v>219.00000000000003</v>
      </c>
      <c r="CU83" s="17">
        <f>CT83*VLOOKUP('Données projet'!$B$13,Paramètres!$A$1:$I$89,3,0)*VLOOKUP('Données projet'!$B$13,Paramètres!$A$1:$I$89,5,0)</f>
        <v>191.31840000000005</v>
      </c>
      <c r="CV83" s="13">
        <f t="shared" si="95"/>
        <v>47.831314962098396</v>
      </c>
      <c r="CW83" s="20">
        <f t="shared" si="67"/>
        <v>416.51908689232141</v>
      </c>
      <c r="CX83" s="59">
        <f t="shared" si="68"/>
        <v>688.60398183268626</v>
      </c>
      <c r="CY83" s="59">
        <f ca="1">AVERAGE(OFFSET($CX$3,0,0,'Données projet'!$E$13+1,1))-AVERAGE(OFFSET($H$3,0,0,'Données projet'!$E$13+1,1))</f>
        <v>280.59827778697775</v>
      </c>
      <c r="CZ83" s="59">
        <f t="shared" si="96"/>
        <v>270.86588231964726</v>
      </c>
      <c r="DA83" s="15">
        <f>IF(ISNA(VLOOKUP(A83,'Données projet'!$A$139:$I$159,3,0)),0,VLOOKUP(A83,'Données projet'!$A$139:$I$159,3,0))</f>
        <v>13</v>
      </c>
      <c r="DB83" s="15">
        <f>IF(ISNA(VLOOKUP(A83,'Données projet'!$A$139:$I$159,4,0)),0,VLOOKUP(A83,'Données projet'!$A$139:$I$159,4,0))</f>
        <v>219</v>
      </c>
      <c r="DC83" s="16">
        <f>IF(ISNA(VLOOKUP(A83,'Données projet'!$A$139:$I$159,5,0)),0%,VLOOKUP(A83,'Données projet'!$A$139:$I$159,5,0)*VLOOKUP('Données projet'!$B$13,Paramètres!$A$1:$I$89,7,0))</f>
        <v>0.13250000000000001</v>
      </c>
      <c r="DD83" s="16">
        <f>IF(ISNA(VLOOKUP(A83,'Données projet'!$A$139:$I$159,6,0)),0%,VLOOKUP(A83,'Données projet'!$A$139:$I$159,6,0)*VLOOKUP('Données projet'!$B$13,Paramètres!$A$1:$I$89,7,0))</f>
        <v>0.13250000000000001</v>
      </c>
      <c r="DE83" s="16">
        <f>IF(ISNA(VLOOKUP(A83,'Données projet'!$A$139:$I$159,7,0)),0%,VLOOKUP(A83,'Données projet'!$A$139:$I$159,7,0))</f>
        <v>0.25</v>
      </c>
      <c r="DF83" s="21">
        <f>EXP(-LN(2)/35)*DF82+(1-EXP(-LN(2)/35))/(LN(2)/35)*DB83*DC83*VLOOKUP('Données projet'!$B$13,Paramètres!$A$1:$I$89,3,0)*0.475*44/12</f>
        <v>32.986201119407255</v>
      </c>
      <c r="DG83" s="21">
        <f>EXP(-LN(2)/25)*DG82+(1-EXP(-LN(2)/25))/(LN(2)/25)*Calculateur!DB83*Calculateur!DD83*VLOOKUP('Données projet'!$B$13,Paramètres!$A$1:$I$89,3,0)*0.475*44/12</f>
        <v>36.495971109124334</v>
      </c>
      <c r="DH83" s="21">
        <f>EXP(-LN(2)/2)*DH82+(1-EXP(-LN(2)/2))/(LN(2)/2)*DB83*DE83*VLOOKUP('Données projet'!$B$13,Paramètres!$A$1:$I$89,3,0)*0.475*44/12</f>
        <v>45.446441640628109</v>
      </c>
      <c r="DI83" s="22">
        <f t="shared" si="69"/>
        <v>114.9286138691597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64.204971347372251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>
        <f>VLOOKUP(A83,'Données projet'!$A$165:$I$185,2,0)</f>
        <v>155.76923076923075</v>
      </c>
      <c r="DM83" s="12">
        <f>VLOOKUP(A83,'Données projet'!$A$165:$I$185,9,0)</f>
        <v>3.9743589743589665</v>
      </c>
      <c r="DN83" s="12">
        <f t="array" ref="DN83">INDEX(DM:DM,MIN(IF(ISNUMBER(DM83:DM279),ROW(DM83:DM279),"")))</f>
        <v>3.9743589743589665</v>
      </c>
      <c r="DO83" s="12">
        <f>IF('Données projet'!$A$166&gt;35,DO82+DN83-DW82,IF(A83&lt;'Données projet'!$A$166,$DL$205^A83,IF(A83='Données projet'!$A$166,'Données projet'!$B$166,DO82+DN83-DW82)))</f>
        <v>155.76923076923077</v>
      </c>
      <c r="DP83" s="17">
        <f>DO83*VLOOKUP('Données projet'!$B$14,Paramètres!$A$1:$I$89,3,0)*VLOOKUP('Données projet'!$B$14,Paramètres!$A$1:$I$89,5,0)</f>
        <v>104.49</v>
      </c>
      <c r="DQ83" s="13">
        <f t="shared" si="97"/>
        <v>28.028928490951767</v>
      </c>
      <c r="DR83" s="20">
        <f t="shared" si="70"/>
        <v>230.80380045507431</v>
      </c>
      <c r="DS83" s="59">
        <f t="shared" si="71"/>
        <v>502.88869539543919</v>
      </c>
      <c r="DT83" s="59">
        <f ca="1">AVERAGE(OFFSET($DS$3,0,0,'Données projet'!$E$14+1,1))-AVERAGE(OFFSET($H$3,0,0,'Données projet'!$E$14+1,1))</f>
        <v>211.42385430331873</v>
      </c>
      <c r="DU83" s="59">
        <f t="shared" si="98"/>
        <v>146.84623106782686</v>
      </c>
      <c r="DV83" s="15">
        <f>IF(ISNA(VLOOKUP(A83,'Données projet'!$A$165:$I$185,3,0)),0,VLOOKUP(A83,'Données projet'!$A$165:$I$185,3,0))</f>
        <v>13</v>
      </c>
      <c r="DW83" s="15">
        <f>IF(ISNA(VLOOKUP(A83,'Données projet'!$A$165:$I$185,4,0)),0,VLOOKUP(A83,'Données projet'!$A$165:$I$185,4,0))</f>
        <v>13.461538461538462</v>
      </c>
      <c r="DX83" s="16">
        <f>IF(ISNA(VLOOKUP(A83,'Données projet'!$A$165:$I$185,5,0)),0%,VLOOKUP(A83,'Données projet'!$A$165:$I$185,5,0)*VLOOKUP('Données projet'!$B$14,Paramètres!$A$1:$I$89,7,0))</f>
        <v>0.13250000000000001</v>
      </c>
      <c r="DY83" s="16">
        <f>IF(ISNA(VLOOKUP(A83,'Données projet'!$A$165:$I$185,6,0)),0%,VLOOKUP(A83,'Données projet'!$A$165:$I$185,6,0)*VLOOKUP('Données projet'!$B$14,Paramètres!$A$1:$I$89,7,0))</f>
        <v>0.13250000000000001</v>
      </c>
      <c r="DZ83" s="16">
        <f>IF(ISNA(VLOOKUP(A83,'Données projet'!$A$165:$I$185,7,0)),0%,VLOOKUP(A83,'Données projet'!$A$165:$I$185,7,0))</f>
        <v>0.25</v>
      </c>
      <c r="EA83" s="21">
        <f>EXP(-LN(2)/35)*EA82+(1-EXP(-LN(2)/35))/(LN(2)/35)*DW83*DX83*VLOOKUP('Données projet'!$B$14,Paramètres!$A$1:$I$89,3,0)*0.475*44/12</f>
        <v>2.5776853408148863</v>
      </c>
      <c r="EB83" s="21">
        <f>EXP(-LN(2)/25)*EB82+(1-EXP(-LN(2)/25))/(LN(2)/25)*Calculateur!DW83*Calculateur!DY83*VLOOKUP('Données projet'!$B$14,Paramètres!$A$1:$I$89,3,0)*0.475*44/12</f>
        <v>8.4167717324148459</v>
      </c>
      <c r="EC83" s="21">
        <f>EXP(-LN(2)/2)*EC82+(1-EXP(-LN(2)/2))/(LN(2)/2)*DW83*DZ83*VLOOKUP('Données projet'!$B$14,Paramètres!$A$1:$I$89,3,0)*0.475*44/12</f>
        <v>2.6091846981457558</v>
      </c>
      <c r="ED83" s="22">
        <f t="shared" si="72"/>
        <v>13.603641771375488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64.204971347372251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>
        <f>VLOOKUP(A83,'Données projet'!$A$191:$I$211,2,0)</f>
        <v>93.589743589743591</v>
      </c>
      <c r="EH83" s="12">
        <f>VLOOKUP(A83,'Données projet'!$A$191:$I$211,9,0)</f>
        <v>2.1794871794871797</v>
      </c>
      <c r="EI83" s="12">
        <f t="array" ref="EI83">INDEX(EH:EH,MIN(IF(ISNUMBER(EH83:EH279),ROW(EH83:EH279),"")))</f>
        <v>2.1794871794871797</v>
      </c>
      <c r="EJ83" s="12">
        <f>IF('Données projet'!$A$192&gt;35,EJ82+EI83-ER82,IF(A83&lt;'Données projet'!$A$192,$EG$205^A83,IF(A83='Données projet'!$A$192,'Données projet'!$B$192,EJ82+EI83-ER82)))</f>
        <v>93.589743589743563</v>
      </c>
      <c r="EK83" s="17">
        <f>EJ83*VLOOKUP('Données projet'!$B$15,Paramètres!$A$1:$I$89,3,0)*VLOOKUP('Données projet'!$B$15,Paramètres!$A$1:$I$89,5,0)</f>
        <v>100.73999999999997</v>
      </c>
      <c r="EL83" s="13">
        <f t="shared" si="99"/>
        <v>27.138216625628822</v>
      </c>
      <c r="EM83" s="20">
        <f t="shared" si="73"/>
        <v>222.7212272896368</v>
      </c>
      <c r="EN83" s="59">
        <f t="shared" si="74"/>
        <v>494.80612223000173</v>
      </c>
      <c r="EO83" s="59">
        <f ca="1">AVERAGE(OFFSET($EN$3,0,0,'Données projet'!$E$15+1,1))-AVERAGE(OFFSET($H$3,0,0,'Données projet'!$E$15+1,1))</f>
        <v>212.00478362779876</v>
      </c>
      <c r="EP83" s="59">
        <f t="shared" si="100"/>
        <v>133.62262474506707</v>
      </c>
      <c r="EQ83" s="15">
        <f>IF(ISNA(VLOOKUP(A83,'Données projet'!$A$191:$I$211,3,0)),0,VLOOKUP(A83,'Données projet'!$A$191:$I$211,3,0))</f>
        <v>12</v>
      </c>
      <c r="ER83" s="15">
        <f>IF(ISNA(VLOOKUP(A83,'Données projet'!$A$191:$I$211,4,0)),0,VLOOKUP(A83,'Données projet'!$A$191:$I$211,4,0))</f>
        <v>5.7692307692307692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0.1075</v>
      </c>
      <c r="EU83" s="16">
        <f>IF(ISNA(VLOOKUP(A83,'Données projet'!$A$191:$I$211,7,0)),0%,VLOOKUP(A83,'Données projet'!$A$191:$I$211,7,0))</f>
        <v>0.25</v>
      </c>
      <c r="EV83" s="21">
        <f>EXP(-LN(2)/35)*EV82+(1-EXP(-LN(2)/35))/(LN(2)/35)*ER83*ES83*VLOOKUP('Données projet'!$B$15,Paramètres!$A$1:$I$89,3,0)*0.475*44/12</f>
        <v>0</v>
      </c>
      <c r="EW83" s="21">
        <f>EXP(-LN(2)/25)*EW82+(1-EXP(-LN(2)/25))/(LN(2)/25)*Calculateur!ER83*Calculateur!ET83*VLOOKUP('Données projet'!$B$15,Paramètres!$A$1:$I$89,3,0)*0.475*44/12</f>
        <v>4.8923926320142765</v>
      </c>
      <c r="EX83" s="21">
        <f>EXP(-LN(2)/2)*EX82+(1-EXP(-LN(2)/2))/(LN(2)/2)*ER83*EU83*VLOOKUP('Données projet'!$B$15,Paramètres!$A$1:$I$89,3,0)*0.475*44/12</f>
        <v>1.8143273323182629</v>
      </c>
      <c r="EY83" s="22">
        <f t="shared" si="75"/>
        <v>6.7067199643325397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64.204971347372251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>
        <f>VLOOKUP(A83,'Données projet'!$A$217:$I$237,2,0)</f>
        <v>93.589743589743591</v>
      </c>
      <c r="FC83" s="12">
        <f>VLOOKUP(A83,'Données projet'!$A$217:$I$237,9,0)</f>
        <v>2.1794871794871797</v>
      </c>
      <c r="FD83" s="12">
        <f t="array" ref="FD83">INDEX(FC:FC,MIN(IF(ISNUMBER(FC83:FC279),ROW(FC83:FC279),"")))</f>
        <v>2.1794871794871797</v>
      </c>
      <c r="FE83" s="12">
        <f>IF('Données projet'!$A$218&gt;35,FE82+FD83-FM82,IF(A83&lt;'Données projet'!$A$218,$FB$205^A83,IF(A83='Données projet'!$A$218,'Données projet'!$B$218,FE82+FD83-FM82)))</f>
        <v>93.589743589743563</v>
      </c>
      <c r="FF83" s="17">
        <f>FE83*VLOOKUP('Données projet'!$B$16,Paramètres!$A$1:$I$89,3,0)*VLOOKUP('Données projet'!$B$16,Paramètres!$A$1:$I$89,5,0)</f>
        <v>90.519999999999982</v>
      </c>
      <c r="FG83" s="13">
        <f t="shared" si="101"/>
        <v>24.690594391033635</v>
      </c>
      <c r="FH83" s="20">
        <f t="shared" si="76"/>
        <v>200.65845189771687</v>
      </c>
      <c r="FI83" s="59">
        <f t="shared" si="77"/>
        <v>472.74334683808178</v>
      </c>
      <c r="FJ83" s="59">
        <f ca="1">AVERAGE(OFFSET($FI$3,0,0,'Données projet'!$E$16+1,1))-AVERAGE(OFFSET($H$3,0,0,'Données projet'!$E$16+1,1))</f>
        <v>196.65742339093146</v>
      </c>
      <c r="FK83" s="59">
        <f t="shared" si="102"/>
        <v>125.41980634506001</v>
      </c>
      <c r="FL83" s="15">
        <f>IF(ISNA(VLOOKUP(A83,'Données projet'!$A$217:$I$237,3,0)),0,VLOOKUP(A83,'Données projet'!$A$217:$I$237,3,0))</f>
        <v>12</v>
      </c>
      <c r="FM83" s="15">
        <f>IF(ISNA(VLOOKUP(A83,'Données projet'!$A$217:$I$237,4,0)),0,VLOOKUP(A83,'Données projet'!$A$217:$I$237,4,0))</f>
        <v>5.7692307692307692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0.1075</v>
      </c>
      <c r="FP83" s="16">
        <f>IF(ISNA(VLOOKUP(A83,'Données projet'!$A$217:$I$237,7,0)),0%,VLOOKUP(A83,'Données projet'!$A$217:$I$237,7,0))</f>
        <v>0.25</v>
      </c>
      <c r="FQ83" s="21">
        <f>EXP(-LN(2)/35)*FQ82+(1-EXP(-LN(2)/35))/(LN(2)/35)*FM83*FN83*VLOOKUP('Données projet'!$B$16,Paramètres!$A$1:$I$89,3,0)*0.475*44/12</f>
        <v>0</v>
      </c>
      <c r="FR83" s="21">
        <f>EXP(-LN(2)/25)*FR82+(1-EXP(-LN(2)/25))/(LN(2)/25)*Calculateur!FM83*Calculateur!FO83*VLOOKUP('Données projet'!$B$16,Paramètres!$A$1:$I$89,3,0)*0.475*44/12</f>
        <v>4.3960629447084818</v>
      </c>
      <c r="FS83" s="21">
        <f>EXP(-LN(2)/2)*FS82+(1-EXP(-LN(2)/2))/(LN(2)/2)*FM83*FP83*VLOOKUP('Données projet'!$B$16,Paramètres!$A$1:$I$89,3,0)*0.475*44/12</f>
        <v>1.6302651391845262</v>
      </c>
      <c r="FT83" s="22">
        <f t="shared" si="78"/>
        <v>6.0263280838930076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64.204971347372251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64.204971347372251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>
      <c r="A84" s="10">
        <f t="shared" si="85"/>
        <v>81</v>
      </c>
      <c r="B84" s="73">
        <f>'Scénario référence'!$B$16*5+'Scénario référence'!$B$17*0+'Scénario référence'!$B$18*5</f>
        <v>4.6999999999999993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4.3215119999999967</v>
      </c>
      <c r="D84" s="11">
        <f t="shared" si="86"/>
        <v>1.6795765017166153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18.978784849917869</v>
      </c>
      <c r="H84" s="67">
        <f t="shared" si="56"/>
        <v>198.18522914048978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64.305502138752175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-2.2737367544323206E-13</v>
      </c>
      <c r="O84" s="13">
        <f>N84*VLOOKUP('Données projet'!$B$9,Paramètres!$A$1:$I$89,3,0)*VLOOKUP('Données projet'!$B$9,Paramètres!$A$1:$I$89,5,0)</f>
        <v>-1.3596945791505279E-13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366.93249569585623</v>
      </c>
      <c r="T84" s="59">
        <f t="shared" si="88"/>
        <v>272.47262353368501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150.26198872825918</v>
      </c>
      <c r="AA84" s="21">
        <f>EXP(-LN(2)/25)*AA83+(1-EXP(-LN(2)/25))/(LN(2)/25)*Calculateur!V84*Calculateur!X84*VLOOKUP('Données projet'!$B$9,Paramètres!$A$1:$I$89,3,0)*0.475*44/12</f>
        <v>50.329420183557033</v>
      </c>
      <c r="AB84" s="21">
        <f>EXP(-LN(2)/2)*AB83+(1-EXP(-LN(2)/2))/(LN(2)/2)*V84*Y84*VLOOKUP('Données projet'!$B$9,Paramètres!$A$1:$I$89,3,0)*0.475*44/12</f>
        <v>50.004217667481512</v>
      </c>
      <c r="AC84" s="22">
        <f t="shared" si="57"/>
        <v>250.59562657929774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64.305502138752175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14.393749999999997</v>
      </c>
      <c r="AI84" s="13">
        <f>IF('Données projet'!$A$62&gt;35,AI83+AH84-AQ83,IF(A84&lt;'Données projet'!$A$62,$AF$205^A84,IF(A84='Données projet'!$A$62,'Données projet'!$B$62,AI83+AH84-AQ83)))</f>
        <v>441.79749999999962</v>
      </c>
      <c r="AJ84" s="13">
        <f>AI84*VLOOKUP('Données projet'!$B$10,Paramètres!$A$1:$I$89,3,0)*VLOOKUP('Données projet'!$B$10,Paramètres!$A$1:$I$89,5,0)</f>
        <v>206.76122999999981</v>
      </c>
      <c r="AK84" s="13">
        <f t="shared" si="89"/>
        <v>51.227194010678758</v>
      </c>
      <c r="AL84" s="20">
        <f t="shared" si="58"/>
        <v>449.3298384852651</v>
      </c>
      <c r="AM84" s="59">
        <f t="shared" si="59"/>
        <v>721.78334632735641</v>
      </c>
      <c r="AN84" s="59">
        <f ca="1">AVERAGE(OFFSET($AM$3,0,0,'Données projet'!$E$10+1,1))-AVERAGE(OFFSET($H$3,0,0,'Données projet'!$E$10+1,1))</f>
        <v>382.89338473200229</v>
      </c>
      <c r="AO84" s="59">
        <f t="shared" si="90"/>
        <v>360.46248248971744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82.951106918449355</v>
      </c>
      <c r="AV84" s="21">
        <f>EXP(-LN(2)/25)*AV83+(1-EXP(-LN(2)/25))/(LN(2)/25)*Calculateur!AQ84*Calculateur!AS84*VLOOKUP('Données projet'!$B$10,Paramètres!$A$1:$I$89,3,0)*0.475*44/12</f>
        <v>23.592474388879893</v>
      </c>
      <c r="AW84" s="21">
        <f>EXP(-LN(2)/2)*AW83+(1-EXP(-LN(2)/2))/(LN(2)/2)*AQ84*AT84*VLOOKUP('Données projet'!$B$10,Paramètres!$A$1:$I$89,3,0)*0.475*44/12</f>
        <v>5.0384914356398305</v>
      </c>
      <c r="AX84" s="21">
        <f t="shared" si="60"/>
        <v>111.58207274296907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64.305502138752175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1.7948717948717898</v>
      </c>
      <c r="BD84" s="12">
        <f>IF('Données projet'!$A$88&gt;35,BD83+BC84-BL83,IF(A84&lt;'Données projet'!$A$88,$BA$205^A84,IF(A84='Données projet'!$A$88,'Données projet'!$B$88,BD83+BC84-BL83)))</f>
        <v>128.07692307692301</v>
      </c>
      <c r="BE84" s="13">
        <f>BD84*VLOOKUP('Données projet'!$B$11,Paramètres!$A$1:$I$89,3,0)*VLOOKUP('Données projet'!$B$11,Paramètres!$A$1:$I$89,5,0)</f>
        <v>111.88799999999995</v>
      </c>
      <c r="BF84" s="13">
        <f t="shared" si="91"/>
        <v>29.775370562311142</v>
      </c>
      <c r="BG84" s="20">
        <f t="shared" si="61"/>
        <v>246.73037039602514</v>
      </c>
      <c r="BH84" s="59">
        <f t="shared" si="62"/>
        <v>519.18387823811645</v>
      </c>
      <c r="BI84" s="59">
        <f ca="1">AVERAGE(OFFSET($BH$3,0,0,'Données projet'!$E$11+1,1))-AVERAGE(OFFSET($H$3,0,0,'Données projet'!$E$11+1,1))</f>
        <v>225.75484198243581</v>
      </c>
      <c r="BJ84" s="59">
        <f t="shared" si="92"/>
        <v>199.49566488421061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1.1613055675811581</v>
      </c>
      <c r="BQ84" s="21">
        <f>EXP(-LN(2)/25)*BQ83+(1-EXP(-LN(2)/25))/(LN(2)/25)*Calculateur!BL84*Calculateur!BN84*VLOOKUP('Données projet'!$B$11,Paramètres!$A$1:$I$89,3,0)*0.475*44/12</f>
        <v>13.107407307275656</v>
      </c>
      <c r="BR84" s="21">
        <f>EXP(-LN(2)/2)*BR83+(1-EXP(-LN(2)/2))/(LN(2)/2)*BL84*BO84*VLOOKUP('Données projet'!$B$11,Paramètres!$A$1:$I$89,3,0)*0.475*44/12</f>
        <v>0</v>
      </c>
      <c r="BS84" s="22">
        <f t="shared" si="63"/>
        <v>14.268712874856813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64.305502138752175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5.8</v>
      </c>
      <c r="BY84" s="12">
        <f>IF('Données projet'!$A$114&gt;35,BY83+BX84-CG83,IF(A84&lt;'Données projet'!$A$114,$BV$205^A84,IF(A84='Données projet'!$A$114,'Données projet'!$B$114,BY83+BX84-CG83)))</f>
        <v>245.7999999999999</v>
      </c>
      <c r="BZ84" s="13">
        <f>BY84*VLOOKUP('Données projet'!$B$12,Paramètres!$A$1:$I$89,3,0)*VLOOKUP('Données projet'!$B$12,Paramètres!$A$1:$I$89,5,0)</f>
        <v>233.90327999999991</v>
      </c>
      <c r="CA84" s="13">
        <f t="shared" si="93"/>
        <v>57.125833544518095</v>
      </c>
      <c r="CB84" s="20">
        <f t="shared" si="64"/>
        <v>506.87570609003546</v>
      </c>
      <c r="CC84" s="59">
        <f t="shared" si="65"/>
        <v>779.32921393212678</v>
      </c>
      <c r="CD84" s="59">
        <f ca="1">AVERAGE(OFFSET($CC$3,0,0,'Données projet'!$E$12+1,1))-AVERAGE(OFFSET($H$3,0,0,'Données projet'!$E$12+1,1))</f>
        <v>413.9352601863377</v>
      </c>
      <c r="CE84" s="59">
        <f t="shared" si="94"/>
        <v>255.13997349799286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6.3469298749875964</v>
      </c>
      <c r="CL84" s="21">
        <f>EXP(-LN(2)/25)*CL83+(1-EXP(-LN(2)/25))/(LN(2)/25)*Calculateur!CG84*Calculateur!CI84*VLOOKUP('Données projet'!$B$12,Paramètres!$A$1:$I$89,3,0)*0.475*44/12</f>
        <v>14.096125845948452</v>
      </c>
      <c r="CM84" s="21">
        <f>EXP(-LN(2)/2)*CM83+(1-EXP(-LN(2)/2))/(LN(2)/2)*CG84*CJ84*VLOOKUP('Données projet'!$B$12,Paramètres!$A$1:$I$89,3,0)*0.475*44/12</f>
        <v>4.0488843696537717</v>
      </c>
      <c r="CN84" s="22">
        <f t="shared" si="66"/>
        <v>24.491940090589821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64.305502138752175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2.8421709430404007E-14</v>
      </c>
      <c r="CU84" s="17">
        <f>CT84*VLOOKUP('Données projet'!$B$13,Paramètres!$A$1:$I$89,3,0)*VLOOKUP('Données projet'!$B$13,Paramètres!$A$1:$I$89,5,0)</f>
        <v>2.4829205358400945E-14</v>
      </c>
      <c r="CV84" s="13">
        <f t="shared" si="95"/>
        <v>4.3867331143352915E-13</v>
      </c>
      <c r="CW84" s="20">
        <f t="shared" si="67"/>
        <v>8.0726688341261168E-13</v>
      </c>
      <c r="CX84" s="59">
        <f t="shared" si="68"/>
        <v>272.45350784209211</v>
      </c>
      <c r="CY84" s="59">
        <f ca="1">AVERAGE(OFFSET($CX$3,0,0,'Données projet'!$E$13+1,1))-AVERAGE(OFFSET($H$3,0,0,'Données projet'!$E$13+1,1))</f>
        <v>280.59827778697775</v>
      </c>
      <c r="CZ84" s="59">
        <f t="shared" si="96"/>
        <v>270.86588231964726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>
        <f>EXP(-LN(2)/35)*DF83+(1-EXP(-LN(2)/35))/(LN(2)/35)*DB84*DC84*VLOOKUP('Données projet'!$B$13,Paramètres!$A$1:$I$89,3,0)*0.475*44/12</f>
        <v>32.339361835051719</v>
      </c>
      <c r="DG84" s="21">
        <f>EXP(-LN(2)/25)*DG83+(1-EXP(-LN(2)/25))/(LN(2)/25)*Calculateur!DB84*Calculateur!DD84*VLOOKUP('Données projet'!$B$13,Paramètres!$A$1:$I$89,3,0)*0.475*44/12</f>
        <v>35.497986859905623</v>
      </c>
      <c r="DH84" s="21">
        <f>EXP(-LN(2)/2)*DH83+(1-EXP(-LN(2)/2))/(LN(2)/2)*DB84*DE84*VLOOKUP('Données projet'!$B$13,Paramètres!$A$1:$I$89,3,0)*0.475*44/12</f>
        <v>32.135487064886824</v>
      </c>
      <c r="DI84" s="22">
        <f t="shared" si="69"/>
        <v>99.972835759844173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64.305502138752175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3.7179487179487181</v>
      </c>
      <c r="DO84" s="12">
        <f>IF('Données projet'!$A$166&gt;35,DO83+DN84-DW83,IF(A84&lt;'Données projet'!$A$166,$DL$205^A84,IF(A84='Données projet'!$A$166,'Données projet'!$B$166,DO83+DN84-DW83)))</f>
        <v>146.02564102564105</v>
      </c>
      <c r="DP84" s="17">
        <f>DO84*VLOOKUP('Données projet'!$B$14,Paramètres!$A$1:$I$89,3,0)*VLOOKUP('Données projet'!$B$14,Paramètres!$A$1:$I$89,5,0)</f>
        <v>97.954000000000008</v>
      </c>
      <c r="DQ84" s="13">
        <f t="shared" si="97"/>
        <v>26.473981374788675</v>
      </c>
      <c r="DR84" s="20">
        <f t="shared" si="70"/>
        <v>216.71206756109029</v>
      </c>
      <c r="DS84" s="59">
        <f t="shared" si="71"/>
        <v>489.16557540318161</v>
      </c>
      <c r="DT84" s="59">
        <f ca="1">AVERAGE(OFFSET($DS$3,0,0,'Données projet'!$E$14+1,1))-AVERAGE(OFFSET($H$3,0,0,'Données projet'!$E$14+1,1))</f>
        <v>211.42385430331873</v>
      </c>
      <c r="DU84" s="59">
        <f t="shared" si="98"/>
        <v>146.84623106782686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>
        <f>EXP(-LN(2)/35)*EA83+(1-EXP(-LN(2)/35))/(LN(2)/35)*DW84*DX84*VLOOKUP('Données projet'!$B$14,Paramètres!$A$1:$I$89,3,0)*0.475*44/12</f>
        <v>2.527138503514319</v>
      </c>
      <c r="EB84" s="21">
        <f>EXP(-LN(2)/25)*EB83+(1-EXP(-LN(2)/25))/(LN(2)/25)*Calculateur!DW84*Calculateur!DY84*VLOOKUP('Données projet'!$B$14,Paramètres!$A$1:$I$89,3,0)*0.475*44/12</f>
        <v>8.1866146667731741</v>
      </c>
      <c r="EC84" s="21">
        <f>EXP(-LN(2)/2)*EC83+(1-EXP(-LN(2)/2))/(LN(2)/2)*DW84*DZ84*VLOOKUP('Données projet'!$B$14,Paramètres!$A$1:$I$89,3,0)*0.475*44/12</f>
        <v>1.8449721934270391</v>
      </c>
      <c r="ED84" s="22">
        <f t="shared" si="72"/>
        <v>12.558725363714533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64.305502138752175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1.9230769230769227</v>
      </c>
      <c r="EJ84" s="12">
        <f>IF('Données projet'!$A$192&gt;35,EJ83+EI84-ER83,IF(A84&lt;'Données projet'!$A$192,$EG$205^A84,IF(A84='Données projet'!$A$192,'Données projet'!$B$192,EJ83+EI84-ER83)))</f>
        <v>89.743589743589709</v>
      </c>
      <c r="EK84" s="17">
        <f>EJ84*VLOOKUP('Données projet'!$B$15,Paramètres!$A$1:$I$89,3,0)*VLOOKUP('Données projet'!$B$15,Paramètres!$A$1:$I$89,5,0)</f>
        <v>96.599999999999952</v>
      </c>
      <c r="EL84" s="13">
        <f t="shared" si="99"/>
        <v>26.150370946387891</v>
      </c>
      <c r="EM84" s="20">
        <f t="shared" si="73"/>
        <v>213.79022939829215</v>
      </c>
      <c r="EN84" s="59">
        <f t="shared" si="74"/>
        <v>486.24373724038344</v>
      </c>
      <c r="EO84" s="59">
        <f ca="1">AVERAGE(OFFSET($EN$3,0,0,'Données projet'!$E$15+1,1))-AVERAGE(OFFSET($H$3,0,0,'Données projet'!$E$15+1,1))</f>
        <v>212.00478362779876</v>
      </c>
      <c r="EP84" s="59">
        <f t="shared" si="100"/>
        <v>133.62262474506707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>
        <f>EXP(-LN(2)/35)*EV83+(1-EXP(-LN(2)/35))/(LN(2)/35)*ER84*ES84*VLOOKUP('Données projet'!$B$15,Paramètres!$A$1:$I$89,3,0)*0.475*44/12</f>
        <v>0</v>
      </c>
      <c r="EW84" s="21">
        <f>EXP(-LN(2)/25)*EW83+(1-EXP(-LN(2)/25))/(LN(2)/25)*Calculateur!ER84*Calculateur!ET84*VLOOKUP('Données projet'!$B$15,Paramètres!$A$1:$I$89,3,0)*0.475*44/12</f>
        <v>4.7586098982120992</v>
      </c>
      <c r="EX84" s="21">
        <f>EXP(-LN(2)/2)*EX83+(1-EXP(-LN(2)/2))/(LN(2)/2)*ER84*EU84*VLOOKUP('Données projet'!$B$15,Paramètres!$A$1:$I$89,3,0)*0.475*44/12</f>
        <v>1.2829231599743425</v>
      </c>
      <c r="EY84" s="22">
        <f t="shared" si="75"/>
        <v>6.0415330581864417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64.305502138752175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1.9230769230769227</v>
      </c>
      <c r="FE84" s="12">
        <f>IF('Données projet'!$A$218&gt;35,FE83+FD84-FM83,IF(A84&lt;'Données projet'!$A$218,$FB$205^A84,IF(A84='Données projet'!$A$218,'Données projet'!$B$218,FE83+FD84-FM83)))</f>
        <v>89.743589743589709</v>
      </c>
      <c r="FF84" s="17">
        <f>FE84*VLOOKUP('Données projet'!$B$16,Paramètres!$A$1:$I$89,3,0)*VLOOKUP('Données projet'!$B$16,Paramètres!$A$1:$I$89,5,0)</f>
        <v>86.799999999999969</v>
      </c>
      <c r="FG84" s="13">
        <f t="shared" si="101"/>
        <v>23.791843477385193</v>
      </c>
      <c r="FH84" s="20">
        <f t="shared" si="76"/>
        <v>192.61412738977916</v>
      </c>
      <c r="FI84" s="59">
        <f t="shared" si="77"/>
        <v>465.06763523187044</v>
      </c>
      <c r="FJ84" s="59">
        <f ca="1">AVERAGE(OFFSET($FI$3,0,0,'Données projet'!$E$16+1,1))-AVERAGE(OFFSET($H$3,0,0,'Données projet'!$E$16+1,1))</f>
        <v>196.65742339093146</v>
      </c>
      <c r="FK84" s="59">
        <f t="shared" si="102"/>
        <v>125.41980634506001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>
        <f>EXP(-LN(2)/35)*FQ83+(1-EXP(-LN(2)/35))/(LN(2)/35)*FM84*FN84*VLOOKUP('Données projet'!$B$16,Paramètres!$A$1:$I$89,3,0)*0.475*44/12</f>
        <v>0</v>
      </c>
      <c r="FR84" s="21">
        <f>EXP(-LN(2)/25)*FR83+(1-EXP(-LN(2)/25))/(LN(2)/25)*Calculateur!FM84*Calculateur!FO84*VLOOKUP('Données projet'!$B$16,Paramètres!$A$1:$I$89,3,0)*0.475*44/12</f>
        <v>4.2758523723065256</v>
      </c>
      <c r="FS84" s="21">
        <f>EXP(-LN(2)/2)*FS83+(1-EXP(-LN(2)/2))/(LN(2)/2)*FM84*FP84*VLOOKUP('Données projet'!$B$16,Paramètres!$A$1:$I$89,3,0)*0.475*44/12</f>
        <v>1.1527715350494092</v>
      </c>
      <c r="FT84" s="22">
        <f t="shared" si="78"/>
        <v>5.4286239073559344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64.305502138752175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64.305502138752175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>
      <c r="A85" s="10">
        <f t="shared" si="85"/>
        <v>82</v>
      </c>
      <c r="B85" s="73">
        <f>'Scénario référence'!$B$16*5+'Scénario référence'!$B$17*0+'Scénario référence'!$B$18*5</f>
        <v>4.6999999999999993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4.374863999999997</v>
      </c>
      <c r="D85" s="11">
        <f t="shared" si="86"/>
        <v>1.6978852959098196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19.011975112491562</v>
      </c>
      <c r="H85" s="67">
        <f t="shared" si="56"/>
        <v>198.31003835704294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64.404288945654855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-2.2737367544323206E-13</v>
      </c>
      <c r="O85" s="13">
        <f>N85*VLOOKUP('Données projet'!$B$9,Paramètres!$A$1:$I$89,3,0)*VLOOKUP('Données projet'!$B$9,Paramètres!$A$1:$I$89,5,0)</f>
        <v>-1.3596945791505279E-13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366.93249569585623</v>
      </c>
      <c r="T85" s="59">
        <f t="shared" si="88"/>
        <v>272.47262353368501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147.31544278006137</v>
      </c>
      <c r="AA85" s="21">
        <f>EXP(-LN(2)/25)*AA84+(1-EXP(-LN(2)/25))/(LN(2)/25)*Calculateur!V85*Calculateur!X85*VLOOKUP('Données projet'!$B$9,Paramètres!$A$1:$I$89,3,0)*0.475*44/12</f>
        <v>48.953159541928486</v>
      </c>
      <c r="AB85" s="21">
        <f>EXP(-LN(2)/2)*AB84+(1-EXP(-LN(2)/2))/(LN(2)/2)*V85*Y85*VLOOKUP('Données projet'!$B$9,Paramètres!$A$1:$I$89,3,0)*0.475*44/12</f>
        <v>35.358321400604346</v>
      </c>
      <c r="AC85" s="22">
        <f t="shared" si="57"/>
        <v>231.62692372259423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64.404288945654855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14.393749999999997</v>
      </c>
      <c r="AI85" s="13">
        <f>IF('Données projet'!$A$62&gt;35,AI84+AH85-AQ84,IF(A85&lt;'Données projet'!$A$62,$AF$205^A85,IF(A85='Données projet'!$A$62,'Données projet'!$B$62,AI84+AH85-AQ84)))</f>
        <v>456.19124999999963</v>
      </c>
      <c r="AJ85" s="13">
        <f>AI85*VLOOKUP('Données projet'!$B$10,Paramètres!$A$1:$I$89,3,0)*VLOOKUP('Données projet'!$B$10,Paramètres!$A$1:$I$89,5,0)</f>
        <v>213.49750499999982</v>
      </c>
      <c r="AK85" s="13">
        <f t="shared" si="89"/>
        <v>52.699142252683622</v>
      </c>
      <c r="AL85" s="20">
        <f t="shared" si="58"/>
        <v>463.62582729842364</v>
      </c>
      <c r="AM85" s="59">
        <f t="shared" si="59"/>
        <v>736.44155343249145</v>
      </c>
      <c r="AN85" s="59">
        <f ca="1">AVERAGE(OFFSET($AM$3,0,0,'Données projet'!$E$10+1,1))-AVERAGE(OFFSET($H$3,0,0,'Données projet'!$E$10+1,1))</f>
        <v>382.89338473200229</v>
      </c>
      <c r="AO85" s="59">
        <f t="shared" si="90"/>
        <v>360.46248248971744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81.324486306957922</v>
      </c>
      <c r="AV85" s="21">
        <f>EXP(-LN(2)/25)*AV84+(1-EXP(-LN(2)/25))/(LN(2)/25)*Calculateur!AQ85*Calculateur!AS85*VLOOKUP('Données projet'!$B$10,Paramètres!$A$1:$I$89,3,0)*0.475*44/12</f>
        <v>22.947336936041665</v>
      </c>
      <c r="AW85" s="21">
        <f>EXP(-LN(2)/2)*AW84+(1-EXP(-LN(2)/2))/(LN(2)/2)*AQ85*AT85*VLOOKUP('Données projet'!$B$10,Paramètres!$A$1:$I$89,3,0)*0.475*44/12</f>
        <v>3.5627514610912674</v>
      </c>
      <c r="AX85" s="21">
        <f t="shared" si="60"/>
        <v>107.83457470409085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64.404288945654855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1.7948717948717898</v>
      </c>
      <c r="BD85" s="12">
        <f>IF('Données projet'!$A$88&gt;35,BD84+BC85-BL84,IF(A85&lt;'Données projet'!$A$88,$BA$205^A85,IF(A85='Données projet'!$A$88,'Données projet'!$B$88,BD84+BC85-BL84)))</f>
        <v>129.8717948717948</v>
      </c>
      <c r="BE85" s="13">
        <f>BD85*VLOOKUP('Données projet'!$B$11,Paramètres!$A$1:$I$89,3,0)*VLOOKUP('Données projet'!$B$11,Paramètres!$A$1:$I$89,5,0)</f>
        <v>113.45599999999996</v>
      </c>
      <c r="BF85" s="13">
        <f t="shared" si="91"/>
        <v>30.143773345943128</v>
      </c>
      <c r="BG85" s="20">
        <f t="shared" si="61"/>
        <v>250.10293857751753</v>
      </c>
      <c r="BH85" s="59">
        <f t="shared" si="62"/>
        <v>522.91866471158528</v>
      </c>
      <c r="BI85" s="59">
        <f ca="1">AVERAGE(OFFSET($BH$3,0,0,'Données projet'!$E$11+1,1))-AVERAGE(OFFSET($H$3,0,0,'Données projet'!$E$11+1,1))</f>
        <v>225.75484198243581</v>
      </c>
      <c r="BJ85" s="59">
        <f t="shared" si="92"/>
        <v>199.49566488421061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1.1385330737273465</v>
      </c>
      <c r="BQ85" s="21">
        <f>EXP(-LN(2)/25)*BQ84+(1-EXP(-LN(2)/25))/(LN(2)/25)*Calculateur!BL85*Calculateur!BN85*VLOOKUP('Données projet'!$B$11,Paramètres!$A$1:$I$89,3,0)*0.475*44/12</f>
        <v>12.748984565169611</v>
      </c>
      <c r="BR85" s="21">
        <f>EXP(-LN(2)/2)*BR84+(1-EXP(-LN(2)/2))/(LN(2)/2)*BL85*BO85*VLOOKUP('Données projet'!$B$11,Paramètres!$A$1:$I$89,3,0)*0.475*44/12</f>
        <v>0</v>
      </c>
      <c r="BS85" s="22">
        <f t="shared" si="63"/>
        <v>13.887517638896957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64.404288945654855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5.8</v>
      </c>
      <c r="BY85" s="12">
        <f>IF('Données projet'!$A$114&gt;35,BY84+BX85-CG84,IF(A85&lt;'Données projet'!$A$114,$BV$205^A85,IF(A85='Données projet'!$A$114,'Données projet'!$B$114,BY84+BX85-CG84)))</f>
        <v>251.59999999999991</v>
      </c>
      <c r="BZ85" s="13">
        <f>BY85*VLOOKUP('Données projet'!$B$12,Paramètres!$A$1:$I$89,3,0)*VLOOKUP('Données projet'!$B$12,Paramètres!$A$1:$I$89,5,0)</f>
        <v>239.42255999999992</v>
      </c>
      <c r="CA85" s="13">
        <f t="shared" si="93"/>
        <v>58.315274040589699</v>
      </c>
      <c r="CB85" s="20">
        <f t="shared" si="64"/>
        <v>518.56006095402688</v>
      </c>
      <c r="CC85" s="59">
        <f t="shared" si="65"/>
        <v>791.37578708809474</v>
      </c>
      <c r="CD85" s="59">
        <f ca="1">AVERAGE(OFFSET($CC$3,0,0,'Données projet'!$E$12+1,1))-AVERAGE(OFFSET($H$3,0,0,'Données projet'!$E$12+1,1))</f>
        <v>413.9352601863377</v>
      </c>
      <c r="CE85" s="59">
        <f t="shared" si="94"/>
        <v>255.13997349799286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6.2224704513840594</v>
      </c>
      <c r="CL85" s="21">
        <f>EXP(-LN(2)/25)*CL84+(1-EXP(-LN(2)/25))/(LN(2)/25)*Calculateur!CG85*Calculateur!CI85*VLOOKUP('Données projet'!$B$12,Paramètres!$A$1:$I$89,3,0)*0.475*44/12</f>
        <v>13.71066654340795</v>
      </c>
      <c r="CM85" s="21">
        <f>EXP(-LN(2)/2)*CM84+(1-EXP(-LN(2)/2))/(LN(2)/2)*CG85*CJ85*VLOOKUP('Données projet'!$B$12,Paramètres!$A$1:$I$89,3,0)*0.475*44/12</f>
        <v>2.8629935940224023</v>
      </c>
      <c r="CN85" s="22">
        <f t="shared" si="66"/>
        <v>22.79613058881441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64.404288945654855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2.8421709430404007E-14</v>
      </c>
      <c r="CU85" s="17">
        <f>CT85*VLOOKUP('Données projet'!$B$13,Paramètres!$A$1:$I$89,3,0)*VLOOKUP('Données projet'!$B$13,Paramètres!$A$1:$I$89,5,0)</f>
        <v>2.4829205358400945E-14</v>
      </c>
      <c r="CV85" s="13">
        <f t="shared" si="95"/>
        <v>4.3867331143352915E-13</v>
      </c>
      <c r="CW85" s="20">
        <f t="shared" si="67"/>
        <v>8.0726688341261168E-13</v>
      </c>
      <c r="CX85" s="59">
        <f t="shared" si="68"/>
        <v>272.8157261340686</v>
      </c>
      <c r="CY85" s="59">
        <f ca="1">AVERAGE(OFFSET($CX$3,0,0,'Données projet'!$E$13+1,1))-AVERAGE(OFFSET($H$3,0,0,'Données projet'!$E$13+1,1))</f>
        <v>280.59827778697775</v>
      </c>
      <c r="CZ85" s="59">
        <f t="shared" si="96"/>
        <v>270.86588231964726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>
        <f>EXP(-LN(2)/35)*DF84+(1-EXP(-LN(2)/35))/(LN(2)/35)*DB85*DC85*VLOOKUP('Données projet'!$B$13,Paramètres!$A$1:$I$89,3,0)*0.475*44/12</f>
        <v>31.705206674529386</v>
      </c>
      <c r="DG85" s="21">
        <f>EXP(-LN(2)/25)*DG84+(1-EXP(-LN(2)/25))/(LN(2)/25)*Calculateur!DB85*Calculateur!DD85*VLOOKUP('Données projet'!$B$13,Paramètres!$A$1:$I$89,3,0)*0.475*44/12</f>
        <v>34.527292542463506</v>
      </c>
      <c r="DH85" s="21">
        <f>EXP(-LN(2)/2)*DH84+(1-EXP(-LN(2)/2))/(LN(2)/2)*DB85*DE85*VLOOKUP('Données projet'!$B$13,Paramètres!$A$1:$I$89,3,0)*0.475*44/12</f>
        <v>22.723220820314058</v>
      </c>
      <c r="DI85" s="22">
        <f t="shared" si="69"/>
        <v>88.955720037306946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64.404288945654855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3.7179487179487181</v>
      </c>
      <c r="DO85" s="12">
        <f>IF('Données projet'!$A$166&gt;35,DO84+DN85-DW84,IF(A85&lt;'Données projet'!$A$166,$DL$205^A85,IF(A85='Données projet'!$A$166,'Données projet'!$B$166,DO84+DN85-DW84)))</f>
        <v>149.74358974358978</v>
      </c>
      <c r="DP85" s="17">
        <f>DO85*VLOOKUP('Données projet'!$B$14,Paramètres!$A$1:$I$89,3,0)*VLOOKUP('Données projet'!$B$14,Paramètres!$A$1:$I$89,5,0)</f>
        <v>100.44800000000002</v>
      </c>
      <c r="DQ85" s="13">
        <f t="shared" si="97"/>
        <v>27.068699588559635</v>
      </c>
      <c r="DR85" s="20">
        <f t="shared" si="70"/>
        <v>222.09158511674138</v>
      </c>
      <c r="DS85" s="59">
        <f t="shared" si="71"/>
        <v>494.90731125080919</v>
      </c>
      <c r="DT85" s="59">
        <f ca="1">AVERAGE(OFFSET($DS$3,0,0,'Données projet'!$E$14+1,1))-AVERAGE(OFFSET($H$3,0,0,'Données projet'!$E$14+1,1))</f>
        <v>211.42385430331873</v>
      </c>
      <c r="DU85" s="59">
        <f t="shared" si="98"/>
        <v>146.84623106782686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>
        <f>EXP(-LN(2)/35)*EA84+(1-EXP(-LN(2)/35))/(LN(2)/35)*DW85*DX85*VLOOKUP('Données projet'!$B$14,Paramètres!$A$1:$I$89,3,0)*0.475*44/12</f>
        <v>2.4775828588626894</v>
      </c>
      <c r="EB85" s="21">
        <f>EXP(-LN(2)/25)*EB84+(1-EXP(-LN(2)/25))/(LN(2)/25)*Calculateur!DW85*Calculateur!DY85*VLOOKUP('Données projet'!$B$14,Paramètres!$A$1:$I$89,3,0)*0.475*44/12</f>
        <v>7.9627512581949071</v>
      </c>
      <c r="EC85" s="21">
        <f>EXP(-LN(2)/2)*EC84+(1-EXP(-LN(2)/2))/(LN(2)/2)*DW85*DZ85*VLOOKUP('Données projet'!$B$14,Paramètres!$A$1:$I$89,3,0)*0.475*44/12</f>
        <v>1.3045923490728781</v>
      </c>
      <c r="ED85" s="22">
        <f t="shared" si="72"/>
        <v>11.744926466130474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64.404288945654855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1.9230769230769227</v>
      </c>
      <c r="EJ85" s="12">
        <f>IF('Données projet'!$A$192&gt;35,EJ84+EI85-ER84,IF(A85&lt;'Données projet'!$A$192,$EG$205^A85,IF(A85='Données projet'!$A$192,'Données projet'!$B$192,EJ84+EI85-ER84)))</f>
        <v>91.666666666666629</v>
      </c>
      <c r="EK85" s="17">
        <f>EJ85*VLOOKUP('Données projet'!$B$15,Paramètres!$A$1:$I$89,3,0)*VLOOKUP('Données projet'!$B$15,Paramètres!$A$1:$I$89,5,0)</f>
        <v>98.669999999999959</v>
      </c>
      <c r="EL85" s="13">
        <f t="shared" si="99"/>
        <v>26.644896901954066</v>
      </c>
      <c r="EM85" s="20">
        <f t="shared" si="73"/>
        <v>218.25677877090325</v>
      </c>
      <c r="EN85" s="59">
        <f t="shared" si="74"/>
        <v>491.07250490497108</v>
      </c>
      <c r="EO85" s="59">
        <f ca="1">AVERAGE(OFFSET($EN$3,0,0,'Données projet'!$E$15+1,1))-AVERAGE(OFFSET($H$3,0,0,'Données projet'!$E$15+1,1))</f>
        <v>212.00478362779876</v>
      </c>
      <c r="EP85" s="59">
        <f t="shared" si="100"/>
        <v>133.62262474506707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>
        <f>EXP(-LN(2)/35)*EV84+(1-EXP(-LN(2)/35))/(LN(2)/35)*ER85*ES85*VLOOKUP('Données projet'!$B$15,Paramètres!$A$1:$I$89,3,0)*0.475*44/12</f>
        <v>0</v>
      </c>
      <c r="EW85" s="21">
        <f>EXP(-LN(2)/25)*EW84+(1-EXP(-LN(2)/25))/(LN(2)/25)*Calculateur!ER85*Calculateur!ET85*VLOOKUP('Données projet'!$B$15,Paramètres!$A$1:$I$89,3,0)*0.475*44/12</f>
        <v>4.6284854603010706</v>
      </c>
      <c r="EX85" s="21">
        <f>EXP(-LN(2)/2)*EX84+(1-EXP(-LN(2)/2))/(LN(2)/2)*ER85*EU85*VLOOKUP('Données projet'!$B$15,Paramètres!$A$1:$I$89,3,0)*0.475*44/12</f>
        <v>0.90716366615913158</v>
      </c>
      <c r="EY85" s="22">
        <f t="shared" si="75"/>
        <v>5.5356491264602017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64.404288945654855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1.9230769230769227</v>
      </c>
      <c r="FE85" s="12">
        <f>IF('Données projet'!$A$218&gt;35,FE84+FD85-FM84,IF(A85&lt;'Données projet'!$A$218,$FB$205^A85,IF(A85='Données projet'!$A$218,'Données projet'!$B$218,FE84+FD85-FM84)))</f>
        <v>91.666666666666629</v>
      </c>
      <c r="FF85" s="17">
        <f>FE85*VLOOKUP('Données projet'!$B$16,Paramètres!$A$1:$I$89,3,0)*VLOOKUP('Données projet'!$B$16,Paramètres!$A$1:$I$89,5,0)</f>
        <v>88.659999999999968</v>
      </c>
      <c r="FG85" s="13">
        <f t="shared" si="101"/>
        <v>24.241767654539562</v>
      </c>
      <c r="FH85" s="20">
        <f t="shared" si="76"/>
        <v>196.63724533165635</v>
      </c>
      <c r="FI85" s="59">
        <f t="shared" si="77"/>
        <v>469.45297146572415</v>
      </c>
      <c r="FJ85" s="59">
        <f ca="1">AVERAGE(OFFSET($FI$3,0,0,'Données projet'!$E$16+1,1))-AVERAGE(OFFSET($H$3,0,0,'Données projet'!$E$16+1,1))</f>
        <v>196.65742339093146</v>
      </c>
      <c r="FK85" s="59">
        <f t="shared" si="102"/>
        <v>125.41980634506001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>
        <f>EXP(-LN(2)/35)*FQ84+(1-EXP(-LN(2)/35))/(LN(2)/35)*FM85*FN85*VLOOKUP('Données projet'!$B$16,Paramètres!$A$1:$I$89,3,0)*0.475*44/12</f>
        <v>0</v>
      </c>
      <c r="FR85" s="21">
        <f>EXP(-LN(2)/25)*FR84+(1-EXP(-LN(2)/25))/(LN(2)/25)*Calculateur!FM85*Calculateur!FO85*VLOOKUP('Données projet'!$B$16,Paramètres!$A$1:$I$89,3,0)*0.475*44/12</f>
        <v>4.1589289643285001</v>
      </c>
      <c r="FS85" s="21">
        <f>EXP(-LN(2)/2)*FS84+(1-EXP(-LN(2)/2))/(LN(2)/2)*FM85*FP85*VLOOKUP('Données projet'!$B$16,Paramètres!$A$1:$I$89,3,0)*0.475*44/12</f>
        <v>0.8151325695922631</v>
      </c>
      <c r="FT85" s="22">
        <f t="shared" si="78"/>
        <v>4.9740615339207634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64.404288945654855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64.404288945654855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>
      <c r="A86" s="10">
        <f t="shared" si="85"/>
        <v>83</v>
      </c>
      <c r="B86" s="73">
        <f>'Scénario référence'!$B$16*5+'Scénario référence'!$B$17*0+'Scénario référence'!$B$18*5</f>
        <v>4.6999999999999993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4.4282159999999973</v>
      </c>
      <c r="D86" s="11">
        <f t="shared" si="86"/>
        <v>1.7161681183031439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19.045153346021102</v>
      </c>
      <c r="H86" s="67">
        <f t="shared" si="56"/>
        <v>198.434802339378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64.50136202231198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-2.2737367544323206E-13</v>
      </c>
      <c r="O86" s="13">
        <f>N86*VLOOKUP('Données projet'!$B$9,Paramètres!$A$1:$I$89,3,0)*VLOOKUP('Données projet'!$B$9,Paramètres!$A$1:$I$89,5,0)</f>
        <v>-1.3596945791505279E-13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366.93249569585623</v>
      </c>
      <c r="T86" s="59">
        <f t="shared" si="88"/>
        <v>272.47262353368501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144.42667680069218</v>
      </c>
      <c r="AA86" s="21">
        <f>EXP(-LN(2)/25)*AA85+(1-EXP(-LN(2)/25))/(LN(2)/25)*Calculateur!V86*Calculateur!X86*VLOOKUP('Données projet'!$B$9,Paramètres!$A$1:$I$89,3,0)*0.475*44/12</f>
        <v>47.614532819919674</v>
      </c>
      <c r="AB86" s="21">
        <f>EXP(-LN(2)/2)*AB85+(1-EXP(-LN(2)/2))/(LN(2)/2)*V86*Y86*VLOOKUP('Données projet'!$B$9,Paramètres!$A$1:$I$89,3,0)*0.475*44/12</f>
        <v>25.00210883374076</v>
      </c>
      <c r="AC86" s="22">
        <f t="shared" si="57"/>
        <v>217.0433184543526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64.50136202231198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14.393749999999997</v>
      </c>
      <c r="AI86" s="13">
        <f>IF('Données projet'!$A$62&gt;35,AI85+AH86-AQ85,IF(A86&lt;'Données projet'!$A$62,$AF$205^A86,IF(A86='Données projet'!$A$62,'Données projet'!$B$62,AI85+AH86-AQ85)))</f>
        <v>470.58499999999964</v>
      </c>
      <c r="AJ86" s="13">
        <f>AI86*VLOOKUP('Données projet'!$B$10,Paramètres!$A$1:$I$89,3,0)*VLOOKUP('Données projet'!$B$10,Paramètres!$A$1:$I$89,5,0)</f>
        <v>220.23377999999985</v>
      </c>
      <c r="AK86" s="13">
        <f t="shared" si="89"/>
        <v>54.165693507352309</v>
      </c>
      <c r="AL86" s="20">
        <f t="shared" si="58"/>
        <v>477.91241635863838</v>
      </c>
      <c r="AM86" s="59">
        <f t="shared" si="59"/>
        <v>751.08407710711572</v>
      </c>
      <c r="AN86" s="59">
        <f ca="1">AVERAGE(OFFSET($AM$3,0,0,'Données projet'!$E$10+1,1))-AVERAGE(OFFSET($H$3,0,0,'Données projet'!$E$10+1,1))</f>
        <v>382.89338473200229</v>
      </c>
      <c r="AO86" s="59">
        <f t="shared" si="90"/>
        <v>360.46248248971744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79.729762733517234</v>
      </c>
      <c r="AV86" s="21">
        <f>EXP(-LN(2)/25)*AV85+(1-EXP(-LN(2)/25))/(LN(2)/25)*Calculateur!AQ86*Calculateur!AS86*VLOOKUP('Données projet'!$B$10,Paramètres!$A$1:$I$89,3,0)*0.475*44/12</f>
        <v>22.319840800777605</v>
      </c>
      <c r="AW86" s="21">
        <f>EXP(-LN(2)/2)*AW85+(1-EXP(-LN(2)/2))/(LN(2)/2)*AQ86*AT86*VLOOKUP('Données projet'!$B$10,Paramètres!$A$1:$I$89,3,0)*0.475*44/12</f>
        <v>2.5192457178199157</v>
      </c>
      <c r="AX86" s="21">
        <f t="shared" si="60"/>
        <v>104.56884925211476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64.50136202231198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1.7948717948717898</v>
      </c>
      <c r="BD86" s="12">
        <f>IF('Données projet'!$A$88&gt;35,BD85+BC86-BL85,IF(A86&lt;'Données projet'!$A$88,$BA$205^A86,IF(A86='Données projet'!$A$88,'Données projet'!$B$88,BD85+BC86-BL85)))</f>
        <v>131.6666666666666</v>
      </c>
      <c r="BE86" s="13">
        <f>BD86*VLOOKUP('Données projet'!$B$11,Paramètres!$A$1:$I$89,3,0)*VLOOKUP('Données projet'!$B$11,Paramètres!$A$1:$I$89,5,0)</f>
        <v>115.02399999999996</v>
      </c>
      <c r="BF86" s="13">
        <f t="shared" si="91"/>
        <v>30.511583941282172</v>
      </c>
      <c r="BG86" s="20">
        <f t="shared" si="61"/>
        <v>253.47447536439972</v>
      </c>
      <c r="BH86" s="59">
        <f t="shared" si="62"/>
        <v>526.646136112877</v>
      </c>
      <c r="BI86" s="59">
        <f ca="1">AVERAGE(OFFSET($BH$3,0,0,'Données projet'!$E$11+1,1))-AVERAGE(OFFSET($H$3,0,0,'Données projet'!$E$11+1,1))</f>
        <v>225.75484198243581</v>
      </c>
      <c r="BJ86" s="59">
        <f t="shared" si="92"/>
        <v>199.49566488421061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1.1162071345881583</v>
      </c>
      <c r="BQ86" s="21">
        <f>EXP(-LN(2)/25)*BQ85+(1-EXP(-LN(2)/25))/(LN(2)/25)*Calculateur!BL86*Calculateur!BN86*VLOOKUP('Données projet'!$B$11,Paramètres!$A$1:$I$89,3,0)*0.475*44/12</f>
        <v>12.400362911795087</v>
      </c>
      <c r="BR86" s="21">
        <f>EXP(-LN(2)/2)*BR85+(1-EXP(-LN(2)/2))/(LN(2)/2)*BL86*BO86*VLOOKUP('Données projet'!$B$11,Paramètres!$A$1:$I$89,3,0)*0.475*44/12</f>
        <v>0</v>
      </c>
      <c r="BS86" s="22">
        <f t="shared" si="63"/>
        <v>13.516570046383245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64.50136202231198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5.8</v>
      </c>
      <c r="BY86" s="12">
        <f>IF('Données projet'!$A$114&gt;35,BY85+BX86-CG85,IF(A86&lt;'Données projet'!$A$114,$BV$205^A86,IF(A86='Données projet'!$A$114,'Données projet'!$B$114,BY85+BX86-CG85)))</f>
        <v>257.39999999999992</v>
      </c>
      <c r="BZ86" s="13">
        <f>BY86*VLOOKUP('Données projet'!$B$12,Paramètres!$A$1:$I$89,3,0)*VLOOKUP('Données projet'!$B$12,Paramètres!$A$1:$I$89,5,0)</f>
        <v>244.94183999999993</v>
      </c>
      <c r="CA86" s="13">
        <f t="shared" si="93"/>
        <v>59.501526882688026</v>
      </c>
      <c r="CB86" s="20">
        <f t="shared" si="64"/>
        <v>530.23886398734817</v>
      </c>
      <c r="CC86" s="59">
        <f t="shared" si="65"/>
        <v>803.41052473582545</v>
      </c>
      <c r="CD86" s="59">
        <f ca="1">AVERAGE(OFFSET($CC$3,0,0,'Données projet'!$E$12+1,1))-AVERAGE(OFFSET($H$3,0,0,'Données projet'!$E$12+1,1))</f>
        <v>413.9352601863377</v>
      </c>
      <c r="CE86" s="59">
        <f t="shared" si="94"/>
        <v>255.13997349799286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6.100451601164635</v>
      </c>
      <c r="CL86" s="21">
        <f>EXP(-LN(2)/25)*CL85+(1-EXP(-LN(2)/25))/(LN(2)/25)*Calculateur!CG86*Calculateur!CI86*VLOOKUP('Données projet'!$B$12,Paramètres!$A$1:$I$89,3,0)*0.475*44/12</f>
        <v>13.335747645765842</v>
      </c>
      <c r="CM86" s="21">
        <f>EXP(-LN(2)/2)*CM85+(1-EXP(-LN(2)/2))/(LN(2)/2)*CG86*CJ86*VLOOKUP('Données projet'!$B$12,Paramètres!$A$1:$I$89,3,0)*0.475*44/12</f>
        <v>2.0244421848268863</v>
      </c>
      <c r="CN86" s="22">
        <f t="shared" si="66"/>
        <v>21.460641431757363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64.50136202231198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2.8421709430404007E-14</v>
      </c>
      <c r="CU86" s="17">
        <f>CT86*VLOOKUP('Données projet'!$B$13,Paramètres!$A$1:$I$89,3,0)*VLOOKUP('Données projet'!$B$13,Paramètres!$A$1:$I$89,5,0)</f>
        <v>2.4829205358400945E-14</v>
      </c>
      <c r="CV86" s="13">
        <f t="shared" si="95"/>
        <v>4.3867331143352915E-13</v>
      </c>
      <c r="CW86" s="20">
        <f t="shared" si="67"/>
        <v>8.0726688341261168E-13</v>
      </c>
      <c r="CX86" s="59">
        <f t="shared" si="68"/>
        <v>273.17166074847808</v>
      </c>
      <c r="CY86" s="59">
        <f ca="1">AVERAGE(OFFSET($CX$3,0,0,'Données projet'!$E$13+1,1))-AVERAGE(OFFSET($H$3,0,0,'Données projet'!$E$13+1,1))</f>
        <v>280.59827778697775</v>
      </c>
      <c r="CZ86" s="59">
        <f t="shared" si="96"/>
        <v>270.86588231964726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>
        <f>EXP(-LN(2)/35)*DF85+(1-EXP(-LN(2)/35))/(LN(2)/35)*DB86*DC86*VLOOKUP('Données projet'!$B$13,Paramètres!$A$1:$I$89,3,0)*0.475*44/12</f>
        <v>31.083486909908441</v>
      </c>
      <c r="DG86" s="21">
        <f>EXP(-LN(2)/25)*DG85+(1-EXP(-LN(2)/25))/(LN(2)/25)*Calculateur!DB86*Calculateur!DD86*VLOOKUP('Données projet'!$B$13,Paramètres!$A$1:$I$89,3,0)*0.475*44/12</f>
        <v>33.583141912178441</v>
      </c>
      <c r="DH86" s="21">
        <f>EXP(-LN(2)/2)*DH85+(1-EXP(-LN(2)/2))/(LN(2)/2)*DB86*DE86*VLOOKUP('Données projet'!$B$13,Paramètres!$A$1:$I$89,3,0)*0.475*44/12</f>
        <v>16.067743532443416</v>
      </c>
      <c r="DI86" s="22">
        <f t="shared" si="69"/>
        <v>80.734372354530294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64.50136202231198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3.7179487179487181</v>
      </c>
      <c r="DO86" s="12">
        <f>IF('Données projet'!$A$166&gt;35,DO85+DN86-DW85,IF(A86&lt;'Données projet'!$A$166,$DL$205^A86,IF(A86='Données projet'!$A$166,'Données projet'!$B$166,DO85+DN86-DW85)))</f>
        <v>153.46153846153851</v>
      </c>
      <c r="DP86" s="17">
        <f>DO86*VLOOKUP('Données projet'!$B$14,Paramètres!$A$1:$I$89,3,0)*VLOOKUP('Données projet'!$B$14,Paramètres!$A$1:$I$89,5,0)</f>
        <v>102.94200000000005</v>
      </c>
      <c r="DQ86" s="13">
        <f t="shared" si="97"/>
        <v>27.661701320876837</v>
      </c>
      <c r="DR86" s="20">
        <f t="shared" si="70"/>
        <v>227.46811313386058</v>
      </c>
      <c r="DS86" s="59">
        <f t="shared" si="71"/>
        <v>500.63977388233786</v>
      </c>
      <c r="DT86" s="59">
        <f ca="1">AVERAGE(OFFSET($DS$3,0,0,'Données projet'!$E$14+1,1))-AVERAGE(OFFSET($H$3,0,0,'Données projet'!$E$14+1,1))</f>
        <v>211.42385430331873</v>
      </c>
      <c r="DU86" s="59">
        <f t="shared" si="98"/>
        <v>146.84623106782686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>
        <f>EXP(-LN(2)/35)*EA85+(1-EXP(-LN(2)/35))/(LN(2)/35)*DW86*DX86*VLOOKUP('Données projet'!$B$14,Paramètres!$A$1:$I$89,3,0)*0.475*44/12</f>
        <v>2.4289989701767198</v>
      </c>
      <c r="EB86" s="21">
        <f>EXP(-LN(2)/25)*EB85+(1-EXP(-LN(2)/25))/(LN(2)/25)*Calculateur!DW86*Calculateur!DY86*VLOOKUP('Données projet'!$B$14,Paramètres!$A$1:$I$89,3,0)*0.475*44/12</f>
        <v>7.7450094062966777</v>
      </c>
      <c r="EC86" s="21">
        <f>EXP(-LN(2)/2)*EC85+(1-EXP(-LN(2)/2))/(LN(2)/2)*DW86*DZ86*VLOOKUP('Données projet'!$B$14,Paramètres!$A$1:$I$89,3,0)*0.475*44/12</f>
        <v>0.92248609671351978</v>
      </c>
      <c r="ED86" s="22">
        <f t="shared" si="72"/>
        <v>11.096494473186917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64.50136202231198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1.9230769230769227</v>
      </c>
      <c r="EJ86" s="12">
        <f>IF('Données projet'!$A$192&gt;35,EJ85+EI86-ER85,IF(A86&lt;'Données projet'!$A$192,$EG$205^A86,IF(A86='Données projet'!$A$192,'Données projet'!$B$192,EJ85+EI86-ER85)))</f>
        <v>93.589743589743549</v>
      </c>
      <c r="EK86" s="17">
        <f>EJ86*VLOOKUP('Données projet'!$B$15,Paramètres!$A$1:$I$89,3,0)*VLOOKUP('Données projet'!$B$15,Paramètres!$A$1:$I$89,5,0)</f>
        <v>100.73999999999994</v>
      </c>
      <c r="EL86" s="13">
        <f t="shared" si="99"/>
        <v>27.138216625628822</v>
      </c>
      <c r="EM86" s="20">
        <f t="shared" si="73"/>
        <v>222.72122728963677</v>
      </c>
      <c r="EN86" s="59">
        <f t="shared" si="74"/>
        <v>495.89288803811405</v>
      </c>
      <c r="EO86" s="59">
        <f ca="1">AVERAGE(OFFSET($EN$3,0,0,'Données projet'!$E$15+1,1))-AVERAGE(OFFSET($H$3,0,0,'Données projet'!$E$15+1,1))</f>
        <v>212.00478362779876</v>
      </c>
      <c r="EP86" s="59">
        <f t="shared" si="100"/>
        <v>133.62262474506707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>
        <f>EXP(-LN(2)/35)*EV85+(1-EXP(-LN(2)/35))/(LN(2)/35)*ER86*ES86*VLOOKUP('Données projet'!$B$15,Paramètres!$A$1:$I$89,3,0)*0.475*44/12</f>
        <v>0</v>
      </c>
      <c r="EW86" s="21">
        <f>EXP(-LN(2)/25)*EW85+(1-EXP(-LN(2)/25))/(LN(2)/25)*Calculateur!ER86*Calculateur!ET86*VLOOKUP('Données projet'!$B$15,Paramètres!$A$1:$I$89,3,0)*0.475*44/12</f>
        <v>4.5019192819876661</v>
      </c>
      <c r="EX86" s="21">
        <f>EXP(-LN(2)/2)*EX85+(1-EXP(-LN(2)/2))/(LN(2)/2)*ER86*EU86*VLOOKUP('Données projet'!$B$15,Paramètres!$A$1:$I$89,3,0)*0.475*44/12</f>
        <v>0.64146157998717135</v>
      </c>
      <c r="EY86" s="22">
        <f t="shared" si="75"/>
        <v>5.1433808619748378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64.50136202231198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1.9230769230769227</v>
      </c>
      <c r="FE86" s="12">
        <f>IF('Données projet'!$A$218&gt;35,FE85+FD86-FM85,IF(A86&lt;'Données projet'!$A$218,$FB$205^A86,IF(A86='Données projet'!$A$218,'Données projet'!$B$218,FE85+FD86-FM85)))</f>
        <v>93.589743589743549</v>
      </c>
      <c r="FF86" s="17">
        <f>FE86*VLOOKUP('Données projet'!$B$16,Paramètres!$A$1:$I$89,3,0)*VLOOKUP('Données projet'!$B$16,Paramètres!$A$1:$I$89,5,0)</f>
        <v>90.519999999999968</v>
      </c>
      <c r="FG86" s="13">
        <f t="shared" si="101"/>
        <v>24.690594391033635</v>
      </c>
      <c r="FH86" s="20">
        <f t="shared" si="76"/>
        <v>200.65845189771684</v>
      </c>
      <c r="FI86" s="59">
        <f t="shared" si="77"/>
        <v>473.83011264619415</v>
      </c>
      <c r="FJ86" s="59">
        <f ca="1">AVERAGE(OFFSET($FI$3,0,0,'Données projet'!$E$16+1,1))-AVERAGE(OFFSET($H$3,0,0,'Données projet'!$E$16+1,1))</f>
        <v>196.65742339093146</v>
      </c>
      <c r="FK86" s="59">
        <f t="shared" si="102"/>
        <v>125.41980634506001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>
        <f>EXP(-LN(2)/35)*FQ85+(1-EXP(-LN(2)/35))/(LN(2)/35)*FM86*FN86*VLOOKUP('Données projet'!$B$16,Paramètres!$A$1:$I$89,3,0)*0.475*44/12</f>
        <v>0</v>
      </c>
      <c r="FR86" s="21">
        <f>EXP(-LN(2)/25)*FR85+(1-EXP(-LN(2)/25))/(LN(2)/25)*Calculateur!FM86*Calculateur!FO86*VLOOKUP('Données projet'!$B$16,Paramètres!$A$1:$I$89,3,0)*0.475*44/12</f>
        <v>4.045202833090368</v>
      </c>
      <c r="FS86" s="21">
        <f>EXP(-LN(2)/2)*FS85+(1-EXP(-LN(2)/2))/(LN(2)/2)*FM86*FP86*VLOOKUP('Données projet'!$B$16,Paramètres!$A$1:$I$89,3,0)*0.475*44/12</f>
        <v>0.57638576752470461</v>
      </c>
      <c r="FT86" s="22">
        <f t="shared" si="78"/>
        <v>4.6215886006150724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64.50136202231198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64.50136202231198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>
      <c r="A87" s="10">
        <f t="shared" si="85"/>
        <v>84</v>
      </c>
      <c r="B87" s="73">
        <f>'Scénario référence'!$B$16*5+'Scénario référence'!$B$17*0+'Scénario référence'!$B$18*5</f>
        <v>4.6999999999999993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4.4815679999999976</v>
      </c>
      <c r="D87" s="11">
        <f t="shared" si="86"/>
        <v>1.7344253180050828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19.078319712198841</v>
      </c>
      <c r="H87" s="67">
        <f t="shared" si="56"/>
        <v>198.55952169552552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64.59675109811198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-2.2737367544323206E-13</v>
      </c>
      <c r="O87" s="13">
        <f>N87*VLOOKUP('Données projet'!$B$9,Paramètres!$A$1:$I$89,3,0)*VLOOKUP('Données projet'!$B$9,Paramètres!$A$1:$I$89,5,0)</f>
        <v>-1.3596945791505279E-13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366.93249569585623</v>
      </c>
      <c r="T87" s="59">
        <f t="shared" si="88"/>
        <v>272.47262353368501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141.59455776020513</v>
      </c>
      <c r="AA87" s="21">
        <f>EXP(-LN(2)/25)*AA86+(1-EXP(-LN(2)/25))/(LN(2)/25)*Calculateur!V87*Calculateur!X87*VLOOKUP('Données projet'!$B$9,Paramètres!$A$1:$I$89,3,0)*0.475*44/12</f>
        <v>46.312510916019512</v>
      </c>
      <c r="AB87" s="21">
        <f>EXP(-LN(2)/2)*AB86+(1-EXP(-LN(2)/2))/(LN(2)/2)*V87*Y87*VLOOKUP('Données projet'!$B$9,Paramètres!$A$1:$I$89,3,0)*0.475*44/12</f>
        <v>17.679160700302177</v>
      </c>
      <c r="AC87" s="22">
        <f t="shared" si="57"/>
        <v>205.58622937652683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64.59675109811198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14.393749999999997</v>
      </c>
      <c r="AI87" s="13">
        <f>IF('Données projet'!$A$62&gt;35,AI86+AH87-AQ86,IF(A87&lt;'Données projet'!$A$62,$AF$205^A87,IF(A87='Données projet'!$A$62,'Données projet'!$B$62,AI86+AH87-AQ86)))</f>
        <v>484.97874999999965</v>
      </c>
      <c r="AJ87" s="13">
        <f>AI87*VLOOKUP('Données projet'!$B$10,Paramètres!$A$1:$I$89,3,0)*VLOOKUP('Données projet'!$B$10,Paramètres!$A$1:$I$89,5,0)</f>
        <v>226.97005499999983</v>
      </c>
      <c r="AK87" s="13">
        <f t="shared" si="89"/>
        <v>55.627031797471432</v>
      </c>
      <c r="AL87" s="20">
        <f t="shared" si="58"/>
        <v>492.1899261722624</v>
      </c>
      <c r="AM87" s="59">
        <f t="shared" si="59"/>
        <v>765.71134686533969</v>
      </c>
      <c r="AN87" s="59">
        <f ca="1">AVERAGE(OFFSET($AM$3,0,0,'Données projet'!$E$10+1,1))-AVERAGE(OFFSET($H$3,0,0,'Données projet'!$E$10+1,1))</f>
        <v>382.89338473200229</v>
      </c>
      <c r="AO87" s="59">
        <f t="shared" si="90"/>
        <v>360.46248248971744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78.166310716666374</v>
      </c>
      <c r="AV87" s="21">
        <f>EXP(-LN(2)/25)*AV86+(1-EXP(-LN(2)/25))/(LN(2)/25)*Calculateur!AQ87*Calculateur!AS87*VLOOKUP('Données projet'!$B$10,Paramètres!$A$1:$I$89,3,0)*0.475*44/12</f>
        <v>21.709503580330928</v>
      </c>
      <c r="AW87" s="21">
        <f>EXP(-LN(2)/2)*AW86+(1-EXP(-LN(2)/2))/(LN(2)/2)*AQ87*AT87*VLOOKUP('Données projet'!$B$10,Paramètres!$A$1:$I$89,3,0)*0.475*44/12</f>
        <v>1.7813757305456341</v>
      </c>
      <c r="AX87" s="21">
        <f t="shared" si="60"/>
        <v>101.65719002754294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64.59675109811198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1.7948717948717898</v>
      </c>
      <c r="BD87" s="12">
        <f>IF('Données projet'!$A$88&gt;35,BD86+BC87-BL86,IF(A87&lt;'Données projet'!$A$88,$BA$205^A87,IF(A87='Données projet'!$A$88,'Données projet'!$B$88,BD86+BC87-BL86)))</f>
        <v>133.4615384615384</v>
      </c>
      <c r="BE87" s="13">
        <f>BD87*VLOOKUP('Données projet'!$B$11,Paramètres!$A$1:$I$89,3,0)*VLOOKUP('Données projet'!$B$11,Paramètres!$A$1:$I$89,5,0)</f>
        <v>116.59199999999996</v>
      </c>
      <c r="BF87" s="13">
        <f t="shared" si="91"/>
        <v>30.87881135407634</v>
      </c>
      <c r="BG87" s="20">
        <f t="shared" si="61"/>
        <v>256.84499644168284</v>
      </c>
      <c r="BH87" s="59">
        <f t="shared" si="62"/>
        <v>530.36641713476001</v>
      </c>
      <c r="BI87" s="59">
        <f ca="1">AVERAGE(OFFSET($BH$3,0,0,'Données projet'!$E$11+1,1))-AVERAGE(OFFSET($H$3,0,0,'Données projet'!$E$11+1,1))</f>
        <v>225.75484198243581</v>
      </c>
      <c r="BJ87" s="59">
        <f t="shared" si="92"/>
        <v>199.49566488421061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1.0943189934980113</v>
      </c>
      <c r="BQ87" s="21">
        <f>EXP(-LN(2)/25)*BQ86+(1-EXP(-LN(2)/25))/(LN(2)/25)*Calculateur!BL87*Calculateur!BN87*VLOOKUP('Données projet'!$B$11,Paramètres!$A$1:$I$89,3,0)*0.475*44/12</f>
        <v>12.061274335865306</v>
      </c>
      <c r="BR87" s="21">
        <f>EXP(-LN(2)/2)*BR86+(1-EXP(-LN(2)/2))/(LN(2)/2)*BL87*BO87*VLOOKUP('Données projet'!$B$11,Paramètres!$A$1:$I$89,3,0)*0.475*44/12</f>
        <v>0</v>
      </c>
      <c r="BS87" s="22">
        <f t="shared" si="63"/>
        <v>13.155593329363317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64.59675109811198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5.8</v>
      </c>
      <c r="BY87" s="12">
        <f>IF('Données projet'!$A$114&gt;35,BY86+BX87-CG86,IF(A87&lt;'Données projet'!$A$114,$BV$205^A87,IF(A87='Données projet'!$A$114,'Données projet'!$B$114,BY86+BX87-CG86)))</f>
        <v>263.19999999999993</v>
      </c>
      <c r="BZ87" s="13">
        <f>BY87*VLOOKUP('Données projet'!$B$12,Paramètres!$A$1:$I$89,3,0)*VLOOKUP('Données projet'!$B$12,Paramètres!$A$1:$I$89,5,0)</f>
        <v>250.46111999999997</v>
      </c>
      <c r="CA87" s="13">
        <f t="shared" si="93"/>
        <v>60.684672167637892</v>
      </c>
      <c r="CB87" s="20">
        <f t="shared" si="64"/>
        <v>541.91225469196922</v>
      </c>
      <c r="CC87" s="59">
        <f t="shared" si="65"/>
        <v>815.4336753850464</v>
      </c>
      <c r="CD87" s="59">
        <f ca="1">AVERAGE(OFFSET($CC$3,0,0,'Données projet'!$E$12+1,1))-AVERAGE(OFFSET($H$3,0,0,'Données projet'!$E$12+1,1))</f>
        <v>413.9352601863377</v>
      </c>
      <c r="CE87" s="59">
        <f t="shared" si="94"/>
        <v>255.13997349799286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5.9808254661738642</v>
      </c>
      <c r="CL87" s="21">
        <f>EXP(-LN(2)/25)*CL86+(1-EXP(-LN(2)/25))/(LN(2)/25)*Calculateur!CG87*Calculateur!CI87*VLOOKUP('Données projet'!$B$12,Paramètres!$A$1:$I$89,3,0)*0.475*44/12</f>
        <v>12.971080925095885</v>
      </c>
      <c r="CM87" s="21">
        <f>EXP(-LN(2)/2)*CM86+(1-EXP(-LN(2)/2))/(LN(2)/2)*CG87*CJ87*VLOOKUP('Données projet'!$B$12,Paramètres!$A$1:$I$89,3,0)*0.475*44/12</f>
        <v>1.4314967970112014</v>
      </c>
      <c r="CN87" s="22">
        <f t="shared" si="66"/>
        <v>20.383403188280951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64.59675109811198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2.8421709430404007E-14</v>
      </c>
      <c r="CU87" s="17">
        <f>CT87*VLOOKUP('Données projet'!$B$13,Paramètres!$A$1:$I$89,3,0)*VLOOKUP('Données projet'!$B$13,Paramètres!$A$1:$I$89,5,0)</f>
        <v>2.4829205358400945E-14</v>
      </c>
      <c r="CV87" s="13">
        <f t="shared" si="95"/>
        <v>4.3867331143352915E-13</v>
      </c>
      <c r="CW87" s="20">
        <f t="shared" si="67"/>
        <v>8.0726688341261168E-13</v>
      </c>
      <c r="CX87" s="59">
        <f t="shared" si="68"/>
        <v>273.52142069307803</v>
      </c>
      <c r="CY87" s="59">
        <f ca="1">AVERAGE(OFFSET($CX$3,0,0,'Données projet'!$E$13+1,1))-AVERAGE(OFFSET($H$3,0,0,'Données projet'!$E$13+1,1))</f>
        <v>280.59827778697775</v>
      </c>
      <c r="CZ87" s="59">
        <f t="shared" si="96"/>
        <v>270.86588231964726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>
        <f>EXP(-LN(2)/35)*DF86+(1-EXP(-LN(2)/35))/(LN(2)/35)*DB87*DC87*VLOOKUP('Données projet'!$B$13,Paramètres!$A$1:$I$89,3,0)*0.475*44/12</f>
        <v>30.473958690660101</v>
      </c>
      <c r="DG87" s="21">
        <f>EXP(-LN(2)/25)*DG86+(1-EXP(-LN(2)/25))/(LN(2)/25)*Calculateur!DB87*Calculateur!DD87*VLOOKUP('Données projet'!$B$13,Paramètres!$A$1:$I$89,3,0)*0.475*44/12</f>
        <v>32.664809130529243</v>
      </c>
      <c r="DH87" s="21">
        <f>EXP(-LN(2)/2)*DH86+(1-EXP(-LN(2)/2))/(LN(2)/2)*DB87*DE87*VLOOKUP('Données projet'!$B$13,Paramètres!$A$1:$I$89,3,0)*0.475*44/12</f>
        <v>11.361610410157031</v>
      </c>
      <c r="DI87" s="22">
        <f t="shared" si="69"/>
        <v>74.500378231346374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64.59675109811198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3.7179487179487181</v>
      </c>
      <c r="DO87" s="12">
        <f>IF('Données projet'!$A$166&gt;35,DO86+DN87-DW86,IF(A87&lt;'Données projet'!$A$166,$DL$205^A87,IF(A87='Données projet'!$A$166,'Données projet'!$B$166,DO86+DN87-DW86)))</f>
        <v>157.17948717948724</v>
      </c>
      <c r="DP87" s="17">
        <f>DO87*VLOOKUP('Données projet'!$B$14,Paramètres!$A$1:$I$89,3,0)*VLOOKUP('Données projet'!$B$14,Paramètres!$A$1:$I$89,5,0)</f>
        <v>105.43600000000004</v>
      </c>
      <c r="DQ87" s="13">
        <f t="shared" si="97"/>
        <v>28.253032941676011</v>
      </c>
      <c r="DR87" s="20">
        <f t="shared" si="70"/>
        <v>232.84173237341909</v>
      </c>
      <c r="DS87" s="59">
        <f t="shared" si="71"/>
        <v>506.36315306649635</v>
      </c>
      <c r="DT87" s="59">
        <f ca="1">AVERAGE(OFFSET($DS$3,0,0,'Données projet'!$E$14+1,1))-AVERAGE(OFFSET($H$3,0,0,'Données projet'!$E$14+1,1))</f>
        <v>211.42385430331873</v>
      </c>
      <c r="DU87" s="59">
        <f t="shared" si="98"/>
        <v>146.84623106782686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>
        <f>EXP(-LN(2)/35)*EA86+(1-EXP(-LN(2)/35))/(LN(2)/35)*DW87*DX87*VLOOKUP('Données projet'!$B$14,Paramètres!$A$1:$I$89,3,0)*0.475*44/12</f>
        <v>2.3813677819146362</v>
      </c>
      <c r="EB87" s="21">
        <f>EXP(-LN(2)/25)*EB86+(1-EXP(-LN(2)/25))/(LN(2)/25)*Calculateur!DW87*Calculateur!DY87*VLOOKUP('Données projet'!$B$14,Paramètres!$A$1:$I$89,3,0)*0.475*44/12</f>
        <v>7.5332217167891518</v>
      </c>
      <c r="EC87" s="21">
        <f>EXP(-LN(2)/2)*EC86+(1-EXP(-LN(2)/2))/(LN(2)/2)*DW87*DZ87*VLOOKUP('Données projet'!$B$14,Paramètres!$A$1:$I$89,3,0)*0.475*44/12</f>
        <v>0.65229617453643918</v>
      </c>
      <c r="ED87" s="22">
        <f t="shared" si="72"/>
        <v>10.566885673240225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64.59675109811198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1.9230769230769227</v>
      </c>
      <c r="EJ87" s="12">
        <f>IF('Données projet'!$A$192&gt;35,EJ86+EI87-ER86,IF(A87&lt;'Données projet'!$A$192,$EG$205^A87,IF(A87='Données projet'!$A$192,'Données projet'!$B$192,EJ86+EI87-ER86)))</f>
        <v>95.512820512820468</v>
      </c>
      <c r="EK87" s="17">
        <f>EJ87*VLOOKUP('Données projet'!$B$15,Paramètres!$A$1:$I$89,3,0)*VLOOKUP('Données projet'!$B$15,Paramètres!$A$1:$I$89,5,0)</f>
        <v>102.80999999999995</v>
      </c>
      <c r="EL87" s="13">
        <f t="shared" si="99"/>
        <v>27.630357758903308</v>
      </c>
      <c r="EM87" s="20">
        <f t="shared" si="73"/>
        <v>227.18362309675649</v>
      </c>
      <c r="EN87" s="59">
        <f t="shared" si="74"/>
        <v>500.70504378983372</v>
      </c>
      <c r="EO87" s="59">
        <f ca="1">AVERAGE(OFFSET($EN$3,0,0,'Données projet'!$E$15+1,1))-AVERAGE(OFFSET($H$3,0,0,'Données projet'!$E$15+1,1))</f>
        <v>212.00478362779876</v>
      </c>
      <c r="EP87" s="59">
        <f t="shared" si="100"/>
        <v>133.62262474506707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>
        <f>EXP(-LN(2)/35)*EV86+(1-EXP(-LN(2)/35))/(LN(2)/35)*ER87*ES87*VLOOKUP('Données projet'!$B$15,Paramètres!$A$1:$I$89,3,0)*0.475*44/12</f>
        <v>0</v>
      </c>
      <c r="EW87" s="21">
        <f>EXP(-LN(2)/25)*EW86+(1-EXP(-LN(2)/25))/(LN(2)/25)*Calculateur!ER87*Calculateur!ET87*VLOOKUP('Données projet'!$B$15,Paramètres!$A$1:$I$89,3,0)*0.475*44/12</f>
        <v>4.3788140624760672</v>
      </c>
      <c r="EX87" s="21">
        <f>EXP(-LN(2)/2)*EX86+(1-EXP(-LN(2)/2))/(LN(2)/2)*ER87*EU87*VLOOKUP('Données projet'!$B$15,Paramètres!$A$1:$I$89,3,0)*0.475*44/12</f>
        <v>0.45358183307956584</v>
      </c>
      <c r="EY87" s="22">
        <f t="shared" si="75"/>
        <v>4.8323958955556332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64.59675109811198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1.9230769230769227</v>
      </c>
      <c r="FE87" s="12">
        <f>IF('Données projet'!$A$218&gt;35,FE86+FD87-FM86,IF(A87&lt;'Données projet'!$A$218,$FB$205^A87,IF(A87='Données projet'!$A$218,'Données projet'!$B$218,FE86+FD87-FM86)))</f>
        <v>95.512820512820468</v>
      </c>
      <c r="FF87" s="17">
        <f>FE87*VLOOKUP('Données projet'!$B$16,Paramètres!$A$1:$I$89,3,0)*VLOOKUP('Données projet'!$B$16,Paramètres!$A$1:$I$89,5,0)</f>
        <v>92.379999999999953</v>
      </c>
      <c r="FG87" s="13">
        <f t="shared" si="101"/>
        <v>25.138348835345543</v>
      </c>
      <c r="FH87" s="20">
        <f t="shared" si="76"/>
        <v>204.6777908882267</v>
      </c>
      <c r="FI87" s="59">
        <f t="shared" si="77"/>
        <v>478.19921158130393</v>
      </c>
      <c r="FJ87" s="59">
        <f ca="1">AVERAGE(OFFSET($FI$3,0,0,'Données projet'!$E$16+1,1))-AVERAGE(OFFSET($H$3,0,0,'Données projet'!$E$16+1,1))</f>
        <v>196.65742339093146</v>
      </c>
      <c r="FK87" s="59">
        <f t="shared" si="102"/>
        <v>125.41980634506001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>
        <f>EXP(-LN(2)/35)*FQ86+(1-EXP(-LN(2)/35))/(LN(2)/35)*FM87*FN87*VLOOKUP('Données projet'!$B$16,Paramètres!$A$1:$I$89,3,0)*0.475*44/12</f>
        <v>0</v>
      </c>
      <c r="FR87" s="21">
        <f>EXP(-LN(2)/25)*FR86+(1-EXP(-LN(2)/25))/(LN(2)/25)*Calculateur!FM87*Calculateur!FO87*VLOOKUP('Données projet'!$B$16,Paramètres!$A$1:$I$89,3,0)*0.475*44/12</f>
        <v>3.9345865488915401</v>
      </c>
      <c r="FS87" s="21">
        <f>EXP(-LN(2)/2)*FS86+(1-EXP(-LN(2)/2))/(LN(2)/2)*FM87*FP87*VLOOKUP('Données projet'!$B$16,Paramètres!$A$1:$I$89,3,0)*0.475*44/12</f>
        <v>0.40756628479613155</v>
      </c>
      <c r="FT87" s="22">
        <f t="shared" si="78"/>
        <v>4.3421528336876714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64.59675109811198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64.59675109811198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>
      <c r="A88" s="10">
        <f t="shared" si="85"/>
        <v>85</v>
      </c>
      <c r="B88" s="73">
        <f>'Scénario référence'!$B$16*5+'Scénario référence'!$B$17*0+'Scénario référence'!$B$18*5</f>
        <v>4.6999999999999993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4.5349199999999978</v>
      </c>
      <c r="D88" s="11">
        <f t="shared" si="86"/>
        <v>1.7526572353337346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19.111474368645798</v>
      </c>
      <c r="H88" s="67">
        <f t="shared" si="56"/>
        <v>198.68419701820628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64.690485386704893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-2.2737367544323206E-13</v>
      </c>
      <c r="O88" s="13">
        <f>N88*VLOOKUP('Données projet'!$B$9,Paramètres!$A$1:$I$89,3,0)*VLOOKUP('Données projet'!$B$9,Paramètres!$A$1:$I$89,5,0)</f>
        <v>-1.3596945791505279E-13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366.93249569585623</v>
      </c>
      <c r="T88" s="59">
        <f t="shared" si="88"/>
        <v>272.47262353368501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138.81797484667999</v>
      </c>
      <c r="AA88" s="21">
        <f>EXP(-LN(2)/25)*AA87+(1-EXP(-LN(2)/25))/(LN(2)/25)*Calculateur!V88*Calculateur!X88*VLOOKUP('Données projet'!$B$9,Paramètres!$A$1:$I$89,3,0)*0.475*44/12</f>
        <v>45.046092869551856</v>
      </c>
      <c r="AB88" s="21">
        <f>EXP(-LN(2)/2)*AB87+(1-EXP(-LN(2)/2))/(LN(2)/2)*V88*Y88*VLOOKUP('Données projet'!$B$9,Paramètres!$A$1:$I$89,3,0)*0.475*44/12</f>
        <v>12.501054416870382</v>
      </c>
      <c r="AC88" s="22">
        <f t="shared" si="57"/>
        <v>196.3651221331022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64.690485386704893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14.393749999999997</v>
      </c>
      <c r="AI88" s="13">
        <f>IF('Données projet'!$A$62&gt;35,AI87+AH88-AQ87,IF(A88&lt;'Données projet'!$A$62,$AF$205^A88,IF(A88='Données projet'!$A$62,'Données projet'!$B$62,AI87+AH88-AQ87)))</f>
        <v>499.37249999999966</v>
      </c>
      <c r="AJ88" s="13">
        <f>AI88*VLOOKUP('Données projet'!$B$10,Paramètres!$A$1:$I$89,3,0)*VLOOKUP('Données projet'!$B$10,Paramètres!$A$1:$I$89,5,0)</f>
        <v>233.70632999999984</v>
      </c>
      <c r="AK88" s="13">
        <f t="shared" si="89"/>
        <v>57.083329601627817</v>
      </c>
      <c r="AL88" s="20">
        <f t="shared" si="58"/>
        <v>506.45865713950144</v>
      </c>
      <c r="AM88" s="59">
        <f t="shared" si="59"/>
        <v>780.32377022408605</v>
      </c>
      <c r="AN88" s="59">
        <f ca="1">AVERAGE(OFFSET($AM$3,0,0,'Données projet'!$E$10+1,1))-AVERAGE(OFFSET($H$3,0,0,'Données projet'!$E$10+1,1))</f>
        <v>382.89338473200229</v>
      </c>
      <c r="AO88" s="59">
        <f t="shared" si="90"/>
        <v>360.46248248971744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76.633517040254389</v>
      </c>
      <c r="AV88" s="21">
        <f>EXP(-LN(2)/25)*AV87+(1-EXP(-LN(2)/25))/(LN(2)/25)*Calculateur!AQ88*Calculateur!AS88*VLOOKUP('Données projet'!$B$10,Paramètres!$A$1:$I$89,3,0)*0.475*44/12</f>
        <v>21.115856063273604</v>
      </c>
      <c r="AW88" s="21">
        <f>EXP(-LN(2)/2)*AW87+(1-EXP(-LN(2)/2))/(LN(2)/2)*AQ88*AT88*VLOOKUP('Données projet'!$B$10,Paramètres!$A$1:$I$89,3,0)*0.475*44/12</f>
        <v>1.2596228589099581</v>
      </c>
      <c r="AX88" s="21">
        <f t="shared" si="60"/>
        <v>99.008995962437965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64.690485386704893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>
        <f>VLOOKUP(A88,'Données projet'!$A$87:$I$107,2,0)</f>
        <v>135.25641025641025</v>
      </c>
      <c r="BB88" s="12">
        <f>VLOOKUP(A88,'Données projet'!$A$87:$I$107,9,0)</f>
        <v>1.7948717948717898</v>
      </c>
      <c r="BC88" s="12">
        <f t="array" ref="BC88">INDEX(BB:BB,MIN(IF(ISNUMBER(BB88:BB284),ROW(BB88:BB284),"")))</f>
        <v>1.7948717948717898</v>
      </c>
      <c r="BD88" s="12">
        <f>IF('Données projet'!$A$88&gt;35,BD87+BC88-BL87,IF(A88&lt;'Données projet'!$A$88,$BA$205^A88,IF(A88='Données projet'!$A$88,'Données projet'!$B$88,BD87+BC88-BL87)))</f>
        <v>135.25641025641019</v>
      </c>
      <c r="BE88" s="13">
        <f>BD88*VLOOKUP('Données projet'!$B$11,Paramètres!$A$1:$I$89,3,0)*VLOOKUP('Données projet'!$B$11,Paramètres!$A$1:$I$89,5,0)</f>
        <v>118.15999999999995</v>
      </c>
      <c r="BF88" s="13">
        <f t="shared" si="91"/>
        <v>31.245464333923785</v>
      </c>
      <c r="BG88" s="20">
        <f t="shared" si="61"/>
        <v>260.21451704825046</v>
      </c>
      <c r="BH88" s="59">
        <f t="shared" si="62"/>
        <v>534.07963013283506</v>
      </c>
      <c r="BI88" s="59">
        <f ca="1">AVERAGE(OFFSET($BH$3,0,0,'Données projet'!$E$11+1,1))-AVERAGE(OFFSET($H$3,0,0,'Données projet'!$E$11+1,1))</f>
        <v>225.75484198243581</v>
      </c>
      <c r="BJ88" s="59">
        <f t="shared" si="92"/>
        <v>199.49566488421061</v>
      </c>
      <c r="BK88" s="15">
        <f>IF(ISNA(VLOOKUP(A88,'Données projet'!$A$87:$I$107,3,0)),0,VLOOKUP(A88,'Données projet'!$A$87:$I$107,3,0))</f>
        <v>14</v>
      </c>
      <c r="BL88" s="15">
        <f>IF(ISNA(VLOOKUP(A88,'Données projet'!$A$87:$I$107,4,0)),0,VLOOKUP(A88,'Données projet'!$A$87:$I$107,4,0))</f>
        <v>6.4102564102564097</v>
      </c>
      <c r="BM88" s="16">
        <f>IF(ISNA(VLOOKUP(A88,'Données projet'!$A$87:$I$107,5,0)),0%,VLOOKUP(A88,'Données projet'!$A$87:$I$107,5,0)*VLOOKUP('Données projet'!$B$11,Paramètres!$A$1:$I$89,7,0))</f>
        <v>4.3000000000000003E-2</v>
      </c>
      <c r="BN88" s="16">
        <f>IF(ISNA(VLOOKUP(A88,'Données projet'!$A$87:$I$107,6,0)),0%,VLOOKUP(A88,'Données projet'!$A$87:$I$107,6,0)*VLOOKUP('Données projet'!$B$11,Paramètres!$A$1:$I$89,7,0))</f>
        <v>0.215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1.3390573328957287</v>
      </c>
      <c r="BQ88" s="21">
        <f>EXP(-LN(2)/25)*BQ87+(1-EXP(-LN(2)/25))/(LN(2)/25)*Calculateur!BL88*Calculateur!BN88*VLOOKUP('Données projet'!$B$11,Paramètres!$A$1:$I$89,3,0)*0.475*44/12</f>
        <v>13.057203891479734</v>
      </c>
      <c r="BR88" s="21">
        <f>EXP(-LN(2)/2)*BR87+(1-EXP(-LN(2)/2))/(LN(2)/2)*BL88*BO88*VLOOKUP('Données projet'!$B$11,Paramètres!$A$1:$I$89,3,0)*0.475*44/12</f>
        <v>0</v>
      </c>
      <c r="BS88" s="22">
        <f t="shared" si="63"/>
        <v>14.396261224375463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64.690485386704893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>
        <f>VLOOKUP(A88,'Données projet'!$A$113:$I$133,2,0)</f>
        <v>269</v>
      </c>
      <c r="BW88" s="12">
        <f>VLOOKUP(A88,'Données projet'!$A$113:$I$133,9,0)</f>
        <v>5.8</v>
      </c>
      <c r="BX88" s="12">
        <f t="array" ref="BX88">INDEX(BW:BW,MIN(IF(ISNUMBER(BW88:BW284),ROW(BW88:BW284),"")))</f>
        <v>5.8</v>
      </c>
      <c r="BY88" s="12">
        <f>IF('Données projet'!$A$114&gt;35,BY87+BX88-CG87,IF(A88&lt;'Données projet'!$A$114,$BV$205^A88,IF(A88='Données projet'!$A$114,'Données projet'!$B$114,BY87+BX88-CG87)))</f>
        <v>268.99999999999994</v>
      </c>
      <c r="BZ88" s="13">
        <f>BY88*VLOOKUP('Données projet'!$B$12,Paramètres!$A$1:$I$89,3,0)*VLOOKUP('Données projet'!$B$12,Paramètres!$A$1:$I$89,5,0)</f>
        <v>255.98039999999997</v>
      </c>
      <c r="CA88" s="13">
        <f t="shared" si="93"/>
        <v>61.864786260587792</v>
      </c>
      <c r="CB88" s="20">
        <f t="shared" si="64"/>
        <v>553.58036607052361</v>
      </c>
      <c r="CC88" s="59">
        <f t="shared" si="65"/>
        <v>827.44547915510816</v>
      </c>
      <c r="CD88" s="59">
        <f ca="1">AVERAGE(OFFSET($CC$3,0,0,'Données projet'!$E$12+1,1))-AVERAGE(OFFSET($H$3,0,0,'Données projet'!$E$12+1,1))</f>
        <v>413.9352601863377</v>
      </c>
      <c r="CE88" s="59">
        <f t="shared" si="94"/>
        <v>255.13997349799286</v>
      </c>
      <c r="CF88" s="15">
        <f>IF(ISNA(VLOOKUP(A88,'Données projet'!$A$113:$I$133,3,0)),0,VLOOKUP(A88,'Données projet'!$A$113:$I$133,3,0))</f>
        <v>13</v>
      </c>
      <c r="CG88" s="15">
        <f>IF(ISNA(VLOOKUP(A88,'Données projet'!$A$113:$I$133,4,0)),0,VLOOKUP(A88,'Données projet'!$A$113:$I$133,4,0))</f>
        <v>21</v>
      </c>
      <c r="CH88" s="16">
        <f>IF(ISNA(VLOOKUP(A88,'Données projet'!$A$113:$I$133,5,0)),0%,VLOOKUP(A88,'Données projet'!$A$113:$I$133,5,0)*VLOOKUP('Données projet'!$B$12,Paramètres!$A$1:$I$89,7,0))</f>
        <v>0.1075</v>
      </c>
      <c r="CI88" s="16">
        <f>IF(ISNA(VLOOKUP(A88,'Données projet'!$A$113:$I$133,6,0)),0%,VLOOKUP(A88,'Données projet'!$A$113:$I$133,6,0)*VLOOKUP('Données projet'!$B$12,Paramètres!$A$1:$I$89,7,0))</f>
        <v>0.1075</v>
      </c>
      <c r="CJ88" s="16">
        <f>IF(ISNA(VLOOKUP(A88,'Données projet'!$A$113:$I$133,7,0)),0%,VLOOKUP(A88,'Données projet'!$A$113:$I$133,7,0))</f>
        <v>0.25</v>
      </c>
      <c r="CK88" s="21">
        <f>EXP(-LN(2)/35)*CK87+(1-EXP(-LN(2)/35))/(LN(2)/35)*CG88*CH88*VLOOKUP('Données projet'!$B$12,Paramètres!$A$1:$I$89,3,0)*0.475*44/12</f>
        <v>8.2383574984422498</v>
      </c>
      <c r="CL88" s="21">
        <f>EXP(-LN(2)/25)*CL87+(1-EXP(-LN(2)/25))/(LN(2)/25)*Calculateur!CG88*Calculateur!CI88*VLOOKUP('Données projet'!$B$12,Paramètres!$A$1:$I$89,3,0)*0.475*44/12</f>
        <v>14.98184786561446</v>
      </c>
      <c r="CM88" s="21">
        <f>EXP(-LN(2)/2)*CM87+(1-EXP(-LN(2)/2))/(LN(2)/2)*CG88*CJ88*VLOOKUP('Données projet'!$B$12,Paramètres!$A$1:$I$89,3,0)*0.475*44/12</f>
        <v>5.7259872050905027</v>
      </c>
      <c r="CN88" s="22">
        <f t="shared" si="66"/>
        <v>28.946192569147215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64.690485386704893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2.8421709430404007E-14</v>
      </c>
      <c r="CU88" s="17">
        <f>CT88*VLOOKUP('Données projet'!$B$13,Paramètres!$A$1:$I$89,3,0)*VLOOKUP('Données projet'!$B$13,Paramètres!$A$1:$I$89,5,0)</f>
        <v>2.4829205358400945E-14</v>
      </c>
      <c r="CV88" s="13">
        <f t="shared" si="95"/>
        <v>4.3867331143352915E-13</v>
      </c>
      <c r="CW88" s="20">
        <f t="shared" si="67"/>
        <v>8.0726688341261168E-13</v>
      </c>
      <c r="CX88" s="59">
        <f t="shared" si="68"/>
        <v>273.8651130845854</v>
      </c>
      <c r="CY88" s="59">
        <f ca="1">AVERAGE(OFFSET($CX$3,0,0,'Données projet'!$E$13+1,1))-AVERAGE(OFFSET($H$3,0,0,'Données projet'!$E$13+1,1))</f>
        <v>280.59827778697775</v>
      </c>
      <c r="CZ88" s="59">
        <f t="shared" si="96"/>
        <v>270.86588231964726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>
        <f>EXP(-LN(2)/35)*DF87+(1-EXP(-LN(2)/35))/(LN(2)/35)*DB88*DC88*VLOOKUP('Données projet'!$B$13,Paramètres!$A$1:$I$89,3,0)*0.475*44/12</f>
        <v>29.876382948015717</v>
      </c>
      <c r="DG88" s="21">
        <f>EXP(-LN(2)/25)*DG87+(1-EXP(-LN(2)/25))/(LN(2)/25)*Calculateur!DB88*Calculateur!DD88*VLOOKUP('Données projet'!$B$13,Paramètres!$A$1:$I$89,3,0)*0.475*44/12</f>
        <v>31.771588207087266</v>
      </c>
      <c r="DH88" s="21">
        <f>EXP(-LN(2)/2)*DH87+(1-EXP(-LN(2)/2))/(LN(2)/2)*DB88*DE88*VLOOKUP('Données projet'!$B$13,Paramètres!$A$1:$I$89,3,0)*0.475*44/12</f>
        <v>8.0338717662217078</v>
      </c>
      <c r="DI88" s="22">
        <f t="shared" si="69"/>
        <v>69.681842921324687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64.690485386704893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>
        <f>VLOOKUP(A88,'Données projet'!$A$165:$I$185,2,0)</f>
        <v>160.89743589743588</v>
      </c>
      <c r="DM88" s="12">
        <f>VLOOKUP(A88,'Données projet'!$A$165:$I$185,9,0)</f>
        <v>3.7179487179487181</v>
      </c>
      <c r="DN88" s="12">
        <f t="array" ref="DN88">INDEX(DM:DM,MIN(IF(ISNUMBER(DM88:DM284),ROW(DM88:DM284),"")))</f>
        <v>3.7179487179487181</v>
      </c>
      <c r="DO88" s="12">
        <f>IF('Données projet'!$A$166&gt;35,DO87+DN88-DW87,IF(A88&lt;'Données projet'!$A$166,$DL$205^A88,IF(A88='Données projet'!$A$166,'Données projet'!$B$166,DO87+DN88-DW87)))</f>
        <v>160.89743589743597</v>
      </c>
      <c r="DP88" s="17">
        <f>DO88*VLOOKUP('Données projet'!$B$14,Paramètres!$A$1:$I$89,3,0)*VLOOKUP('Données projet'!$B$14,Paramètres!$A$1:$I$89,5,0)</f>
        <v>107.93000000000004</v>
      </c>
      <c r="DQ88" s="13">
        <f t="shared" si="97"/>
        <v>28.842738502078618</v>
      </c>
      <c r="DR88" s="20">
        <f t="shared" si="70"/>
        <v>238.21251955778698</v>
      </c>
      <c r="DS88" s="59">
        <f t="shared" si="71"/>
        <v>512.07763264237155</v>
      </c>
      <c r="DT88" s="59">
        <f ca="1">AVERAGE(OFFSET($DS$3,0,0,'Données projet'!$E$14+1,1))-AVERAGE(OFFSET($H$3,0,0,'Données projet'!$E$14+1,1))</f>
        <v>211.42385430331873</v>
      </c>
      <c r="DU88" s="59">
        <f t="shared" si="98"/>
        <v>146.84623106782686</v>
      </c>
      <c r="DV88" s="15">
        <f>IF(ISNA(VLOOKUP(A88,'Données projet'!$A$165:$I$185,3,0)),0,VLOOKUP(A88,'Données projet'!$A$165:$I$185,3,0))</f>
        <v>14</v>
      </c>
      <c r="DW88" s="15">
        <f>IF(ISNA(VLOOKUP(A88,'Données projet'!$A$165:$I$185,4,0)),0,VLOOKUP(A88,'Données projet'!$A$165:$I$185,4,0))</f>
        <v>12.820512820512819</v>
      </c>
      <c r="DX88" s="16">
        <f>IF(ISNA(VLOOKUP(A88,'Données projet'!$A$165:$I$185,5,0)),0%,VLOOKUP(A88,'Données projet'!$A$165:$I$185,5,0)*VLOOKUP('Données projet'!$B$14,Paramètres!$A$1:$I$89,7,0))</f>
        <v>0.13250000000000001</v>
      </c>
      <c r="DY88" s="16">
        <f>IF(ISNA(VLOOKUP(A88,'Données projet'!$A$165:$I$185,6,0)),0%,VLOOKUP(A88,'Données projet'!$A$165:$I$185,6,0)*VLOOKUP('Données projet'!$B$14,Paramètres!$A$1:$I$89,7,0))</f>
        <v>0.13250000000000001</v>
      </c>
      <c r="DZ88" s="16">
        <f>IF(ISNA(VLOOKUP(A88,'Données projet'!$A$165:$I$185,7,0)),0%,VLOOKUP(A88,'Données projet'!$A$165:$I$185,7,0))</f>
        <v>0.25</v>
      </c>
      <c r="EA88" s="21">
        <f>EXP(-LN(2)/35)*EA87+(1-EXP(-LN(2)/35))/(LN(2)/35)*DW88*DX88*VLOOKUP('Données projet'!$B$14,Paramètres!$A$1:$I$89,3,0)*0.475*44/12</f>
        <v>3.5943541096800118</v>
      </c>
      <c r="EB88" s="21">
        <f>EXP(-LN(2)/25)*EB87+(1-EXP(-LN(2)/25))/(LN(2)/25)*Calculateur!DW88*Calculateur!DY88*VLOOKUP('Données projet'!$B$14,Paramètres!$A$1:$I$89,3,0)*0.475*44/12</f>
        <v>8.5819490163598235</v>
      </c>
      <c r="EC88" s="21">
        <f>EXP(-LN(2)/2)*EC87+(1-EXP(-LN(2)/2))/(LN(2)/2)*DW88*DZ88*VLOOKUP('Données projet'!$B$14,Paramètres!$A$1:$I$89,3,0)*0.475*44/12</f>
        <v>2.4898259147583448</v>
      </c>
      <c r="ED88" s="22">
        <f t="shared" si="72"/>
        <v>14.666129040798181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64.690485386704893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>
        <f>VLOOKUP(A88,'Données projet'!$A$191:$I$211,2,0)</f>
        <v>97.435897435897431</v>
      </c>
      <c r="EH88" s="12">
        <f>VLOOKUP(A88,'Données projet'!$A$191:$I$211,9,0)</f>
        <v>1.9230769230769227</v>
      </c>
      <c r="EI88" s="12">
        <f t="array" ref="EI88">INDEX(EH:EH,MIN(IF(ISNUMBER(EH88:EH284),ROW(EH88:EH284),"")))</f>
        <v>1.9230769230769227</v>
      </c>
      <c r="EJ88" s="12">
        <f>IF('Données projet'!$A$192&gt;35,EJ87+EI88-ER87,IF(A88&lt;'Données projet'!$A$192,$EG$205^A88,IF(A88='Données projet'!$A$192,'Données projet'!$B$192,EJ87+EI88-ER87)))</f>
        <v>97.435897435897388</v>
      </c>
      <c r="EK88" s="17">
        <f>EJ88*VLOOKUP('Données projet'!$B$15,Paramètres!$A$1:$I$89,3,0)*VLOOKUP('Données projet'!$B$15,Paramètres!$A$1:$I$89,5,0)</f>
        <v>104.87999999999995</v>
      </c>
      <c r="EL88" s="13">
        <f t="shared" si="99"/>
        <v>28.121346766547983</v>
      </c>
      <c r="EM88" s="20">
        <f t="shared" si="73"/>
        <v>231.64401228507097</v>
      </c>
      <c r="EN88" s="59">
        <f t="shared" si="74"/>
        <v>505.50912536965558</v>
      </c>
      <c r="EO88" s="59">
        <f ca="1">AVERAGE(OFFSET($EN$3,0,0,'Données projet'!$E$15+1,1))-AVERAGE(OFFSET($H$3,0,0,'Données projet'!$E$15+1,1))</f>
        <v>212.00478362779876</v>
      </c>
      <c r="EP88" s="59">
        <f t="shared" si="100"/>
        <v>133.62262474506707</v>
      </c>
      <c r="EQ88" s="15">
        <f>IF(ISNA(VLOOKUP(A88,'Données projet'!$A$191:$I$211,3,0)),0,VLOOKUP(A88,'Données projet'!$A$191:$I$211,3,0))</f>
        <v>13</v>
      </c>
      <c r="ER88" s="15">
        <f>IF(ISNA(VLOOKUP(A88,'Données projet'!$A$191:$I$211,4,0)),0,VLOOKUP(A88,'Données projet'!$A$191:$I$211,4,0))</f>
        <v>5.7692307692307692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0.1075</v>
      </c>
      <c r="EU88" s="16">
        <f>IF(ISNA(VLOOKUP(A88,'Données projet'!$A$191:$I$211,7,0)),0%,VLOOKUP(A88,'Données projet'!$A$191:$I$211,7,0))</f>
        <v>0.25</v>
      </c>
      <c r="EV88" s="21">
        <f>EXP(-LN(2)/35)*EV87+(1-EXP(-LN(2)/35))/(LN(2)/35)*ER88*ES88*VLOOKUP('Données projet'!$B$15,Paramètres!$A$1:$I$89,3,0)*0.475*44/12</f>
        <v>0</v>
      </c>
      <c r="EW88" s="21">
        <f>EXP(-LN(2)/25)*EW87+(1-EXP(-LN(2)/25))/(LN(2)/25)*Calculateur!ER88*Calculateur!ET88*VLOOKUP('Données projet'!$B$15,Paramètres!$A$1:$I$89,3,0)*0.475*44/12</f>
        <v>4.9941538245504633</v>
      </c>
      <c r="EX88" s="21">
        <f>EXP(-LN(2)/2)*EX87+(1-EXP(-LN(2)/2))/(LN(2)/2)*ER88*EU88*VLOOKUP('Données projet'!$B$15,Paramètres!$A$1:$I$89,3,0)*0.475*44/12</f>
        <v>1.7855563249184505</v>
      </c>
      <c r="EY88" s="22">
        <f t="shared" si="75"/>
        <v>6.7797101494689134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64.690485386704893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>
        <f>VLOOKUP(A88,'Données projet'!$A$217:$I$237,2,0)</f>
        <v>97.435897435897431</v>
      </c>
      <c r="FC88" s="12">
        <f>VLOOKUP(A88,'Données projet'!$A$217:$I$237,9,0)</f>
        <v>1.9230769230769227</v>
      </c>
      <c r="FD88" s="12">
        <f t="array" ref="FD88">INDEX(FC:FC,MIN(IF(ISNUMBER(FC88:FC284),ROW(FC88:FC284),"")))</f>
        <v>1.9230769230769227</v>
      </c>
      <c r="FE88" s="12">
        <f>IF('Données projet'!$A$218&gt;35,FE87+FD88-FM87,IF(A88&lt;'Données projet'!$A$218,$FB$205^A88,IF(A88='Données projet'!$A$218,'Données projet'!$B$218,FE87+FD88-FM87)))</f>
        <v>97.435897435897388</v>
      </c>
      <c r="FF88" s="17">
        <f>FE88*VLOOKUP('Données projet'!$B$16,Paramètres!$A$1:$I$89,3,0)*VLOOKUP('Données projet'!$B$16,Paramètres!$A$1:$I$89,5,0)</f>
        <v>94.239999999999952</v>
      </c>
      <c r="FG88" s="13">
        <f t="shared" si="101"/>
        <v>25.585055065362205</v>
      </c>
      <c r="FH88" s="20">
        <f t="shared" si="76"/>
        <v>208.6953042388391</v>
      </c>
      <c r="FI88" s="59">
        <f t="shared" si="77"/>
        <v>482.56041732342374</v>
      </c>
      <c r="FJ88" s="59">
        <f ca="1">AVERAGE(OFFSET($FI$3,0,0,'Données projet'!$E$16+1,1))-AVERAGE(OFFSET($H$3,0,0,'Données projet'!$E$16+1,1))</f>
        <v>196.65742339093146</v>
      </c>
      <c r="FK88" s="59">
        <f t="shared" si="102"/>
        <v>125.41980634506001</v>
      </c>
      <c r="FL88" s="15">
        <f>IF(ISNA(VLOOKUP(A88,'Données projet'!$A$217:$I$237,3,0)),0,VLOOKUP(A88,'Données projet'!$A$217:$I$237,3,0))</f>
        <v>13</v>
      </c>
      <c r="FM88" s="15">
        <f>IF(ISNA(VLOOKUP(A88,'Données projet'!$A$217:$I$237,4,0)),0,VLOOKUP(A88,'Données projet'!$A$217:$I$237,4,0))</f>
        <v>5.7692307692307692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0.1075</v>
      </c>
      <c r="FP88" s="16">
        <f>IF(ISNA(VLOOKUP(A88,'Données projet'!$A$217:$I$237,7,0)),0%,VLOOKUP(A88,'Données projet'!$A$217:$I$237,7,0))</f>
        <v>0.25</v>
      </c>
      <c r="FQ88" s="21">
        <f>EXP(-LN(2)/35)*FQ87+(1-EXP(-LN(2)/35))/(LN(2)/35)*FM88*FN88*VLOOKUP('Données projet'!$B$16,Paramètres!$A$1:$I$89,3,0)*0.475*44/12</f>
        <v>0</v>
      </c>
      <c r="FR88" s="21">
        <f>EXP(-LN(2)/25)*FR87+(1-EXP(-LN(2)/25))/(LN(2)/25)*Calculateur!FM88*Calculateur!FO88*VLOOKUP('Données projet'!$B$16,Paramètres!$A$1:$I$89,3,0)*0.475*44/12</f>
        <v>4.4875005380018669</v>
      </c>
      <c r="FS88" s="21">
        <f>EXP(-LN(2)/2)*FS87+(1-EXP(-LN(2)/2))/(LN(2)/2)*FM88*FP88*VLOOKUP('Données projet'!$B$16,Paramètres!$A$1:$I$89,3,0)*0.475*44/12</f>
        <v>1.6044129296368688</v>
      </c>
      <c r="FT88" s="22">
        <f t="shared" si="78"/>
        <v>6.0919134676387356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64.690485386704893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64.690485386704893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>
      <c r="A89" s="10">
        <f t="shared" si="85"/>
        <v>86</v>
      </c>
      <c r="B89" s="73">
        <f>'Scénario référence'!$B$16*5+'Scénario référence'!$B$17*0+'Scénario référence'!$B$18*5</f>
        <v>4.6999999999999993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4.5882719999999981</v>
      </c>
      <c r="D89" s="11">
        <f t="shared" si="86"/>
        <v>1.7708642021388949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19.144617469060819</v>
      </c>
      <c r="H89" s="67">
        <f t="shared" si="56"/>
        <v>198.80882888539193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64.782593594949191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-2.2737367544323206E-13</v>
      </c>
      <c r="O89" s="13">
        <f>N89*VLOOKUP('Données projet'!$B$9,Paramètres!$A$1:$I$89,3,0)*VLOOKUP('Données projet'!$B$9,Paramètres!$A$1:$I$89,5,0)</f>
        <v>-1.3596945791505279E-13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366.93249569585623</v>
      </c>
      <c r="T89" s="59">
        <f t="shared" si="88"/>
        <v>272.47262353368501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136.09583903054073</v>
      </c>
      <c r="AA89" s="21">
        <f>EXP(-LN(2)/25)*AA88+(1-EXP(-LN(2)/25))/(LN(2)/25)*Calculateur!V89*Calculateur!X89*VLOOKUP('Données projet'!$B$9,Paramètres!$A$1:$I$89,3,0)*0.475*44/12</f>
        <v>43.814305091162893</v>
      </c>
      <c r="AB89" s="21">
        <f>EXP(-LN(2)/2)*AB88+(1-EXP(-LN(2)/2))/(LN(2)/2)*V89*Y89*VLOOKUP('Données projet'!$B$9,Paramètres!$A$1:$I$89,3,0)*0.475*44/12</f>
        <v>8.8395803501510883</v>
      </c>
      <c r="AC89" s="22">
        <f t="shared" si="57"/>
        <v>188.74972447185473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64.782593594949191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14.393749999999997</v>
      </c>
      <c r="AI89" s="13">
        <f>IF('Données projet'!$A$62&gt;35,AI88+AH89-AQ88,IF(A89&lt;'Données projet'!$A$62,$AF$205^A89,IF(A89='Données projet'!$A$62,'Données projet'!$B$62,AI88+AH89-AQ88)))</f>
        <v>513.76624999999967</v>
      </c>
      <c r="AJ89" s="13">
        <f>AI89*VLOOKUP('Données projet'!$B$10,Paramètres!$A$1:$I$89,3,0)*VLOOKUP('Données projet'!$B$10,Paramètres!$A$1:$I$89,5,0)</f>
        <v>240.44260499999984</v>
      </c>
      <c r="AK89" s="13">
        <f t="shared" si="89"/>
        <v>58.534748890023565</v>
      </c>
      <c r="AL89" s="20">
        <f t="shared" si="58"/>
        <v>520.71889135845743</v>
      </c>
      <c r="AM89" s="59">
        <f t="shared" si="59"/>
        <v>794.9217345399378</v>
      </c>
      <c r="AN89" s="59">
        <f ca="1">AVERAGE(OFFSET($AM$3,0,0,'Données projet'!$E$10+1,1))-AVERAGE(OFFSET($H$3,0,0,'Données projet'!$E$10+1,1))</f>
        <v>382.89338473200229</v>
      </c>
      <c r="AO89" s="59">
        <f t="shared" si="90"/>
        <v>360.46248248971744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75.130780512925028</v>
      </c>
      <c r="AV89" s="21">
        <f>EXP(-LN(2)/25)*AV88+(1-EXP(-LN(2)/25))/(LN(2)/25)*Calculateur!AQ89*Calculateur!AS89*VLOOKUP('Données projet'!$B$10,Paramètres!$A$1:$I$89,3,0)*0.475*44/12</f>
        <v>20.538441868788777</v>
      </c>
      <c r="AW89" s="21">
        <f>EXP(-LN(2)/2)*AW88+(1-EXP(-LN(2)/2))/(LN(2)/2)*AQ89*AT89*VLOOKUP('Données projet'!$B$10,Paramètres!$A$1:$I$89,3,0)*0.475*44/12</f>
        <v>0.89068786527281718</v>
      </c>
      <c r="AX89" s="21">
        <f t="shared" si="60"/>
        <v>96.559910246986632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64.782593594949191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1.7948717948717956</v>
      </c>
      <c r="BD89" s="12">
        <f>IF('Données projet'!$A$88&gt;35,BD88+BC89-BL88,IF(A89&lt;'Données projet'!$A$88,$BA$205^A89,IF(A89='Données projet'!$A$88,'Données projet'!$B$88,BD88+BC89-BL88)))</f>
        <v>130.64102564102558</v>
      </c>
      <c r="BE89" s="13">
        <f>BD89*VLOOKUP('Données projet'!$B$11,Paramètres!$A$1:$I$89,3,0)*VLOOKUP('Données projet'!$B$11,Paramètres!$A$1:$I$89,5,0)</f>
        <v>114.12799999999996</v>
      </c>
      <c r="BF89" s="13">
        <f t="shared" si="91"/>
        <v>30.301478439970456</v>
      </c>
      <c r="BG89" s="20">
        <f t="shared" si="61"/>
        <v>251.54800828294844</v>
      </c>
      <c r="BH89" s="59">
        <f t="shared" si="62"/>
        <v>525.75085146442882</v>
      </c>
      <c r="BI89" s="59">
        <f ca="1">AVERAGE(OFFSET($BH$3,0,0,'Données projet'!$E$11+1,1))-AVERAGE(OFFSET($H$3,0,0,'Données projet'!$E$11+1,1))</f>
        <v>225.75484198243581</v>
      </c>
      <c r="BJ89" s="59">
        <f t="shared" si="92"/>
        <v>199.49566488421061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1.3127992353419697</v>
      </c>
      <c r="BQ89" s="21">
        <f>EXP(-LN(2)/25)*BQ88+(1-EXP(-LN(2)/25))/(LN(2)/25)*Calculateur!BL89*Calculateur!BN89*VLOOKUP('Données projet'!$B$11,Paramètres!$A$1:$I$89,3,0)*0.475*44/12</f>
        <v>12.70015396441871</v>
      </c>
      <c r="BR89" s="21">
        <f>EXP(-LN(2)/2)*BR88+(1-EXP(-LN(2)/2))/(LN(2)/2)*BL89*BO89*VLOOKUP('Données projet'!$B$11,Paramètres!$A$1:$I$89,3,0)*0.475*44/12</f>
        <v>0</v>
      </c>
      <c r="BS89" s="22">
        <f t="shared" si="63"/>
        <v>14.01295319976068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64.782593594949191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5.4</v>
      </c>
      <c r="BY89" s="12">
        <f>IF('Données projet'!$A$114&gt;35,BY88+BX89-CG88,IF(A89&lt;'Données projet'!$A$114,$BV$205^A89,IF(A89='Données projet'!$A$114,'Données projet'!$B$114,BY88+BX89-CG88)))</f>
        <v>253.39999999999992</v>
      </c>
      <c r="BZ89" s="13">
        <f>BY89*VLOOKUP('Données projet'!$B$12,Paramètres!$A$1:$I$89,3,0)*VLOOKUP('Données projet'!$B$12,Paramètres!$A$1:$I$89,5,0)</f>
        <v>241.13543999999993</v>
      </c>
      <c r="CA89" s="13">
        <f t="shared" si="93"/>
        <v>58.6837587821827</v>
      </c>
      <c r="CB89" s="20">
        <f t="shared" si="64"/>
        <v>522.18510454563477</v>
      </c>
      <c r="CC89" s="59">
        <f t="shared" si="65"/>
        <v>796.38794772711515</v>
      </c>
      <c r="CD89" s="59">
        <f ca="1">AVERAGE(OFFSET($CC$3,0,0,'Données projet'!$E$12+1,1))-AVERAGE(OFFSET($H$3,0,0,'Données projet'!$E$12+1,1))</f>
        <v>413.9352601863377</v>
      </c>
      <c r="CE89" s="59">
        <f t="shared" si="94"/>
        <v>255.13997349799286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8.076808332799704</v>
      </c>
      <c r="CL89" s="21">
        <f>EXP(-LN(2)/25)*CL88+(1-EXP(-LN(2)/25))/(LN(2)/25)*Calculateur!CG89*Calculateur!CI89*VLOOKUP('Données projet'!$B$12,Paramètres!$A$1:$I$89,3,0)*0.475*44/12</f>
        <v>14.572168447868094</v>
      </c>
      <c r="CM89" s="21">
        <f>EXP(-LN(2)/2)*CM88+(1-EXP(-LN(2)/2))/(LN(2)/2)*CG89*CJ89*VLOOKUP('Données projet'!$B$12,Paramètres!$A$1:$I$89,3,0)*0.475*44/12</f>
        <v>4.0488843817069009</v>
      </c>
      <c r="CN89" s="22">
        <f t="shared" si="66"/>
        <v>26.6978611623747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64.782593594949191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2.8421709430404007E-14</v>
      </c>
      <c r="CU89" s="17">
        <f>CT89*VLOOKUP('Données projet'!$B$13,Paramètres!$A$1:$I$89,3,0)*VLOOKUP('Données projet'!$B$13,Paramètres!$A$1:$I$89,5,0)</f>
        <v>2.4829205358400945E-14</v>
      </c>
      <c r="CV89" s="13">
        <f t="shared" si="95"/>
        <v>4.3867331143352915E-13</v>
      </c>
      <c r="CW89" s="20">
        <f t="shared" si="67"/>
        <v>8.0726688341261168E-13</v>
      </c>
      <c r="CX89" s="59">
        <f t="shared" si="68"/>
        <v>274.20284318148117</v>
      </c>
      <c r="CY89" s="59">
        <f ca="1">AVERAGE(OFFSET($CX$3,0,0,'Données projet'!$E$13+1,1))-AVERAGE(OFFSET($H$3,0,0,'Données projet'!$E$13+1,1))</f>
        <v>280.59827778697775</v>
      </c>
      <c r="CZ89" s="59">
        <f t="shared" si="96"/>
        <v>270.86588231964726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>
        <f>EXP(-LN(2)/35)*DF88+(1-EXP(-LN(2)/35))/(LN(2)/35)*DB89*DC89*VLOOKUP('Données projet'!$B$13,Paramètres!$A$1:$I$89,3,0)*0.475*44/12</f>
        <v>29.290525301199377</v>
      </c>
      <c r="DG89" s="21">
        <f>EXP(-LN(2)/25)*DG88+(1-EXP(-LN(2)/25))/(LN(2)/25)*Calculateur!DB89*Calculateur!DD89*VLOOKUP('Données projet'!$B$13,Paramètres!$A$1:$I$89,3,0)*0.475*44/12</f>
        <v>30.902792456769255</v>
      </c>
      <c r="DH89" s="21">
        <f>EXP(-LN(2)/2)*DH88+(1-EXP(-LN(2)/2))/(LN(2)/2)*DB89*DE89*VLOOKUP('Données projet'!$B$13,Paramètres!$A$1:$I$89,3,0)*0.475*44/12</f>
        <v>5.6808052050785154</v>
      </c>
      <c r="DI89" s="22">
        <f t="shared" si="69"/>
        <v>65.874122963047142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64.782593594949191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3.5897435897435912</v>
      </c>
      <c r="DO89" s="12">
        <f>IF('Données projet'!$A$166&gt;35,DO88+DN89-DW88,IF(A89&lt;'Données projet'!$A$166,$DL$205^A89,IF(A89='Données projet'!$A$166,'Données projet'!$B$166,DO88+DN89-DW88)))</f>
        <v>151.66666666666674</v>
      </c>
      <c r="DP89" s="17">
        <f>DO89*VLOOKUP('Données projet'!$B$14,Paramètres!$A$1:$I$89,3,0)*VLOOKUP('Données projet'!$B$14,Paramètres!$A$1:$I$89,5,0)</f>
        <v>101.73800000000006</v>
      </c>
      <c r="DQ89" s="13">
        <f t="shared" si="97"/>
        <v>27.375635943299255</v>
      </c>
      <c r="DR89" s="20">
        <f t="shared" si="70"/>
        <v>224.87291593457962</v>
      </c>
      <c r="DS89" s="59">
        <f t="shared" si="71"/>
        <v>499.07575911606</v>
      </c>
      <c r="DT89" s="59">
        <f ca="1">AVERAGE(OFFSET($DS$3,0,0,'Données projet'!$E$14+1,1))-AVERAGE(OFFSET($H$3,0,0,'Données projet'!$E$14+1,1))</f>
        <v>211.42385430331873</v>
      </c>
      <c r="DU89" s="59">
        <f t="shared" si="98"/>
        <v>146.84623106782686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>
        <f>EXP(-LN(2)/35)*EA88+(1-EXP(-LN(2)/35))/(LN(2)/35)*DW89*DX89*VLOOKUP('Données projet'!$B$14,Paramètres!$A$1:$I$89,3,0)*0.475*44/12</f>
        <v>3.5238710179287183</v>
      </c>
      <c r="EB89" s="21">
        <f>EXP(-LN(2)/25)*EB88+(1-EXP(-LN(2)/25))/(LN(2)/25)*Calculateur!DW89*Calculateur!DY89*VLOOKUP('Données projet'!$B$14,Paramètres!$A$1:$I$89,3,0)*0.475*44/12</f>
        <v>8.3472751692023799</v>
      </c>
      <c r="EC89" s="21">
        <f>EXP(-LN(2)/2)*EC88+(1-EXP(-LN(2)/2))/(LN(2)/2)*DW89*DZ89*VLOOKUP('Données projet'!$B$14,Paramètres!$A$1:$I$89,3,0)*0.475*44/12</f>
        <v>1.7605727882996245</v>
      </c>
      <c r="ED89" s="22">
        <f t="shared" si="72"/>
        <v>13.631718975430722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64.782593594949191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2.0512820512820524</v>
      </c>
      <c r="EJ89" s="12">
        <f>IF('Données projet'!$A$192&gt;35,EJ88+EI89-ER88,IF(A89&lt;'Données projet'!$A$192,$EG$205^A89,IF(A89='Données projet'!$A$192,'Données projet'!$B$192,EJ88+EI89-ER88)))</f>
        <v>93.717948717948673</v>
      </c>
      <c r="EK89" s="17">
        <f>EJ89*VLOOKUP('Données projet'!$B$15,Paramètres!$A$1:$I$89,3,0)*VLOOKUP('Données projet'!$B$15,Paramètres!$A$1:$I$89,5,0)</f>
        <v>100.87799999999996</v>
      </c>
      <c r="EL89" s="13">
        <f t="shared" si="99"/>
        <v>27.171062402899619</v>
      </c>
      <c r="EM89" s="20">
        <f t="shared" si="73"/>
        <v>223.01878368505007</v>
      </c>
      <c r="EN89" s="59">
        <f t="shared" si="74"/>
        <v>497.22162686653041</v>
      </c>
      <c r="EO89" s="59">
        <f ca="1">AVERAGE(OFFSET($EN$3,0,0,'Données projet'!$E$15+1,1))-AVERAGE(OFFSET($H$3,0,0,'Données projet'!$E$15+1,1))</f>
        <v>212.00478362779876</v>
      </c>
      <c r="EP89" s="59">
        <f t="shared" si="100"/>
        <v>133.62262474506707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>
        <f>EXP(-LN(2)/35)*EV88+(1-EXP(-LN(2)/35))/(LN(2)/35)*ER89*ES89*VLOOKUP('Données projet'!$B$15,Paramètres!$A$1:$I$89,3,0)*0.475*44/12</f>
        <v>0</v>
      </c>
      <c r="EW89" s="21">
        <f>EXP(-LN(2)/25)*EW88+(1-EXP(-LN(2)/25))/(LN(2)/25)*Calculateur!ER89*Calculateur!ET89*VLOOKUP('Données projet'!$B$15,Paramètres!$A$1:$I$89,3,0)*0.475*44/12</f>
        <v>4.8575884255869957</v>
      </c>
      <c r="EX89" s="21">
        <f>EXP(-LN(2)/2)*EX88+(1-EXP(-LN(2)/2))/(LN(2)/2)*ER89*EU89*VLOOKUP('Données projet'!$B$15,Paramètres!$A$1:$I$89,3,0)*0.475*44/12</f>
        <v>1.2625789855403668</v>
      </c>
      <c r="EY89" s="22">
        <f t="shared" si="75"/>
        <v>6.1201674111273627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64.782593594949191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2.0512820512820524</v>
      </c>
      <c r="FE89" s="12">
        <f>IF('Données projet'!$A$218&gt;35,FE88+FD89-FM88,IF(A89&lt;'Données projet'!$A$218,$FB$205^A89,IF(A89='Données projet'!$A$218,'Données projet'!$B$218,FE88+FD89-FM88)))</f>
        <v>93.717948717948673</v>
      </c>
      <c r="FF89" s="17">
        <f>FE89*VLOOKUP('Données projet'!$B$16,Paramètres!$A$1:$I$89,3,0)*VLOOKUP('Données projet'!$B$16,Paramètres!$A$1:$I$89,5,0)</f>
        <v>90.643999999999949</v>
      </c>
      <c r="FG89" s="13">
        <f t="shared" si="101"/>
        <v>24.720477775606724</v>
      </c>
      <c r="FH89" s="20">
        <f t="shared" si="76"/>
        <v>200.9264654591816</v>
      </c>
      <c r="FI89" s="59">
        <f t="shared" si="77"/>
        <v>475.12930864066198</v>
      </c>
      <c r="FJ89" s="59">
        <f ca="1">AVERAGE(OFFSET($FI$3,0,0,'Données projet'!$E$16+1,1))-AVERAGE(OFFSET($H$3,0,0,'Données projet'!$E$16+1,1))</f>
        <v>196.65742339093146</v>
      </c>
      <c r="FK89" s="59">
        <f t="shared" si="102"/>
        <v>125.41980634506001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>
        <f>EXP(-LN(2)/35)*FQ88+(1-EXP(-LN(2)/35))/(LN(2)/35)*FM89*FN89*VLOOKUP('Données projet'!$B$16,Paramètres!$A$1:$I$89,3,0)*0.475*44/12</f>
        <v>0</v>
      </c>
      <c r="FR89" s="21">
        <f>EXP(-LN(2)/25)*FR88+(1-EXP(-LN(2)/25))/(LN(2)/25)*Calculateur!FM89*Calculateur!FO89*VLOOKUP('Données projet'!$B$16,Paramètres!$A$1:$I$89,3,0)*0.475*44/12</f>
        <v>4.3647895998028092</v>
      </c>
      <c r="FS89" s="21">
        <f>EXP(-LN(2)/2)*FS88+(1-EXP(-LN(2)/2))/(LN(2)/2)*FM89*FP89*VLOOKUP('Données projet'!$B$16,Paramètres!$A$1:$I$89,3,0)*0.475*44/12</f>
        <v>1.1344912623696051</v>
      </c>
      <c r="FT89" s="22">
        <f t="shared" si="78"/>
        <v>5.4992808621724141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64.782593594949191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64.782593594949191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>
      <c r="A90" s="10">
        <f t="shared" si="85"/>
        <v>87</v>
      </c>
      <c r="B90" s="73">
        <f>'Scénario référence'!$B$16*5+'Scénario référence'!$B$17*0+'Scénario référence'!$B$18*5</f>
        <v>4.6999999999999993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4.6416239999999984</v>
      </c>
      <c r="D90" s="11">
        <f t="shared" si="86"/>
        <v>1.7890465421087445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19.177749163362645</v>
      </c>
      <c r="H90" s="67">
        <f t="shared" si="56"/>
        <v>198.9334178608394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64.87310393170354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-2.2737367544323206E-13</v>
      </c>
      <c r="O90" s="13">
        <f>N90*VLOOKUP('Données projet'!$B$9,Paramètres!$A$1:$I$89,3,0)*VLOOKUP('Données projet'!$B$9,Paramètres!$A$1:$I$89,5,0)</f>
        <v>-1.3596945791505279E-13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366.93249569585623</v>
      </c>
      <c r="T90" s="59">
        <f t="shared" si="88"/>
        <v>272.47262353368501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133.42708263741704</v>
      </c>
      <c r="AA90" s="21">
        <f>EXP(-LN(2)/25)*AA89+(1-EXP(-LN(2)/25))/(LN(2)/25)*Calculateur!V90*Calculateur!X90*VLOOKUP('Données projet'!$B$9,Paramètres!$A$1:$I$89,3,0)*0.475*44/12</f>
        <v>42.61620061435088</v>
      </c>
      <c r="AB90" s="21">
        <f>EXP(-LN(2)/2)*AB89+(1-EXP(-LN(2)/2))/(LN(2)/2)*V90*Y90*VLOOKUP('Données projet'!$B$9,Paramètres!$A$1:$I$89,3,0)*0.475*44/12</f>
        <v>6.2505272084351908</v>
      </c>
      <c r="AC90" s="22">
        <f t="shared" si="57"/>
        <v>182.2938104602031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64.87310393170354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>
        <f>VLOOKUP(A90,'Données projet'!$A$61:$I$81,2,0)</f>
        <v>528.16</v>
      </c>
      <c r="AG90" s="12">
        <f>VLOOKUP(A90,'Données projet'!$A$61:$I$81,9,0)</f>
        <v>14.393749999999997</v>
      </c>
      <c r="AH90" s="12">
        <f t="array" ref="AH90">INDEX(AG:AG,MIN(IF(ISNUMBER(AG90:AG286),ROW(AG90:AG286),"")))</f>
        <v>14.393749999999997</v>
      </c>
      <c r="AI90" s="13">
        <f>IF('Données projet'!$A$62&gt;35,AI89+AH90-AQ89,IF(A90&lt;'Données projet'!$A$62,$AF$205^A90,IF(A90='Données projet'!$A$62,'Données projet'!$B$62,AI89+AH90-AQ89)))</f>
        <v>528.15999999999963</v>
      </c>
      <c r="AJ90" s="13">
        <f>AI90*VLOOKUP('Données projet'!$B$10,Paramètres!$A$1:$I$89,3,0)*VLOOKUP('Données projet'!$B$10,Paramètres!$A$1:$I$89,5,0)</f>
        <v>247.17887999999982</v>
      </c>
      <c r="AK90" s="13">
        <f t="shared" si="89"/>
        <v>59.981442040949325</v>
      </c>
      <c r="AL90" s="20">
        <f t="shared" si="58"/>
        <v>534.97089422131978</v>
      </c>
      <c r="AM90" s="59">
        <f t="shared" si="59"/>
        <v>809.50560863756618</v>
      </c>
      <c r="AN90" s="59">
        <f ca="1">AVERAGE(OFFSET($AM$3,0,0,'Données projet'!$E$10+1,1))-AVERAGE(OFFSET($H$3,0,0,'Données projet'!$E$10+1,1))</f>
        <v>382.89338473200229</v>
      </c>
      <c r="AO90" s="59">
        <f t="shared" si="90"/>
        <v>360.46248248971744</v>
      </c>
      <c r="AP90" s="15">
        <f>IF(ISNA(VLOOKUP(A90,'Données projet'!$A$61:$I$81,3,0)),0,VLOOKUP(A90,'Données projet'!$A$61:$I$81,3,0))</f>
        <v>7</v>
      </c>
      <c r="AQ90" s="15">
        <f>IF(ISNA(VLOOKUP(A90,'Données projet'!$A$61:$I$81,4,0)),0,VLOOKUP(A90,'Données projet'!$A$61:$I$81,4,0))</f>
        <v>89.649999999999977</v>
      </c>
      <c r="AR90" s="16">
        <f>IF(ISNA(VLOOKUP(A90,'Données projet'!$A$61:$I$81,5,0)),0%,VLOOKUP(A90,'Données projet'!$A$61:$I$81,5,0)*VLOOKUP('Données projet'!$B$10,Paramètres!$A$1:$I$89,7,0))</f>
        <v>0.33</v>
      </c>
      <c r="AS90" s="16">
        <f>IF(ISNA(VLOOKUP(A90,'Données projet'!$A$61:$I$81,6,0)),0%,VLOOKUP(A90,'Données projet'!$A$61:$I$81,6,0)*VLOOKUP('Données projet'!$B$10,Paramètres!$A$1:$I$89,7,0))</f>
        <v>0.11000000000000001</v>
      </c>
      <c r="AT90" s="16">
        <f>IF(ISNA(VLOOKUP(A90,'Données projet'!$A$61:$I$81,7,0)),0%,VLOOKUP(A90,'Données projet'!$A$61:$I$81,7,0))</f>
        <v>0.2</v>
      </c>
      <c r="AU90" s="21">
        <f>EXP(-LN(2)/35)*AU89+(1-EXP(-LN(2)/35))/(LN(2)/35)*AQ90*AR90*VLOOKUP('Données projet'!$B$10,Paramètres!$A$1:$I$89,3,0)*0.475*44/12</f>
        <v>92.02452092207092</v>
      </c>
      <c r="AV90" s="21">
        <f>EXP(-LN(2)/25)*AV89+(1-EXP(-LN(2)/25))/(LN(2)/25)*Calculateur!AQ90*Calculateur!AS90*VLOOKUP('Données projet'!$B$10,Paramètres!$A$1:$I$89,3,0)*0.475*44/12</f>
        <v>26.075047521214991</v>
      </c>
      <c r="AW90" s="21">
        <f>EXP(-LN(2)/2)*AW89+(1-EXP(-LN(2)/2))/(LN(2)/2)*AQ90*AT90*VLOOKUP('Données projet'!$B$10,Paramètres!$A$1:$I$89,3,0)*0.475*44/12</f>
        <v>10.130644373750957</v>
      </c>
      <c r="AX90" s="21">
        <f t="shared" si="60"/>
        <v>128.23021281703686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64.87310393170354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1.7948717948717956</v>
      </c>
      <c r="BD90" s="12">
        <f>IF('Données projet'!$A$88&gt;35,BD89+BC90-BL89,IF(A90&lt;'Données projet'!$A$88,$BA$205^A90,IF(A90='Données projet'!$A$88,'Données projet'!$B$88,BD89+BC90-BL89)))</f>
        <v>132.43589743589737</v>
      </c>
      <c r="BE90" s="13">
        <f>BD90*VLOOKUP('Données projet'!$B$11,Paramètres!$A$1:$I$89,3,0)*VLOOKUP('Données projet'!$B$11,Paramètres!$A$1:$I$89,5,0)</f>
        <v>115.69599999999996</v>
      </c>
      <c r="BF90" s="13">
        <f t="shared" si="91"/>
        <v>30.669038012373807</v>
      </c>
      <c r="BG90" s="20">
        <f t="shared" si="61"/>
        <v>254.91910787155098</v>
      </c>
      <c r="BH90" s="59">
        <f t="shared" si="62"/>
        <v>529.45382228779727</v>
      </c>
      <c r="BI90" s="59">
        <f ca="1">AVERAGE(OFFSET($BH$3,0,0,'Données projet'!$E$11+1,1))-AVERAGE(OFFSET($H$3,0,0,'Données projet'!$E$11+1,1))</f>
        <v>225.75484198243581</v>
      </c>
      <c r="BJ90" s="59">
        <f t="shared" si="92"/>
        <v>199.49566488421061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1.2870560430653819</v>
      </c>
      <c r="BQ90" s="21">
        <f>EXP(-LN(2)/25)*BQ89+(1-EXP(-LN(2)/25))/(LN(2)/25)*Calculateur!BL90*Calculateur!BN90*VLOOKUP('Données projet'!$B$11,Paramètres!$A$1:$I$89,3,0)*0.475*44/12</f>
        <v>12.35286758638961</v>
      </c>
      <c r="BR90" s="21">
        <f>EXP(-LN(2)/2)*BR89+(1-EXP(-LN(2)/2))/(LN(2)/2)*BL90*BO90*VLOOKUP('Données projet'!$B$11,Paramètres!$A$1:$I$89,3,0)*0.475*44/12</f>
        <v>0</v>
      </c>
      <c r="BS90" s="22">
        <f t="shared" si="63"/>
        <v>13.639923629454993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64.87310393170354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5.4</v>
      </c>
      <c r="BY90" s="12">
        <f>IF('Données projet'!$A$114&gt;35,BY89+BX90-CG89,IF(A90&lt;'Données projet'!$A$114,$BV$205^A90,IF(A90='Données projet'!$A$114,'Données projet'!$B$114,BY89+BX90-CG89)))</f>
        <v>258.7999999999999</v>
      </c>
      <c r="BZ90" s="13">
        <f>BY90*VLOOKUP('Données projet'!$B$12,Paramètres!$A$1:$I$89,3,0)*VLOOKUP('Données projet'!$B$12,Paramètres!$A$1:$I$89,5,0)</f>
        <v>246.27407999999991</v>
      </c>
      <c r="CA90" s="13">
        <f t="shared" si="93"/>
        <v>59.787395242924475</v>
      </c>
      <c r="CB90" s="20">
        <f t="shared" si="64"/>
        <v>533.05706938142669</v>
      </c>
      <c r="CC90" s="59">
        <f t="shared" si="65"/>
        <v>807.59178379767309</v>
      </c>
      <c r="CD90" s="59">
        <f ca="1">AVERAGE(OFFSET($CC$3,0,0,'Données projet'!$E$12+1,1))-AVERAGE(OFFSET($H$3,0,0,'Données projet'!$E$12+1,1))</f>
        <v>413.9352601863377</v>
      </c>
      <c r="CE90" s="59">
        <f t="shared" si="94"/>
        <v>255.13997349799286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7.9184270477601464</v>
      </c>
      <c r="CL90" s="21">
        <f>EXP(-LN(2)/25)*CL89+(1-EXP(-LN(2)/25))/(LN(2)/25)*Calculateur!CG90*Calculateur!CI90*VLOOKUP('Données projet'!$B$12,Paramètres!$A$1:$I$89,3,0)*0.475*44/12</f>
        <v>14.173691735344107</v>
      </c>
      <c r="CM90" s="21">
        <f>EXP(-LN(2)/2)*CM89+(1-EXP(-LN(2)/2))/(LN(2)/2)*CG90*CJ90*VLOOKUP('Données projet'!$B$12,Paramètres!$A$1:$I$89,3,0)*0.475*44/12</f>
        <v>2.8629936025452514</v>
      </c>
      <c r="CN90" s="22">
        <f t="shared" si="66"/>
        <v>24.955112385649507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64.87310393170354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2.8421709430404007E-14</v>
      </c>
      <c r="CU90" s="17">
        <f>CT90*VLOOKUP('Données projet'!$B$13,Paramètres!$A$1:$I$89,3,0)*VLOOKUP('Données projet'!$B$13,Paramètres!$A$1:$I$89,5,0)</f>
        <v>2.4829205358400945E-14</v>
      </c>
      <c r="CV90" s="13">
        <f t="shared" si="95"/>
        <v>4.3867331143352915E-13</v>
      </c>
      <c r="CW90" s="20">
        <f t="shared" si="67"/>
        <v>8.0726688341261168E-13</v>
      </c>
      <c r="CX90" s="59">
        <f t="shared" si="68"/>
        <v>274.53471441624714</v>
      </c>
      <c r="CY90" s="59">
        <f ca="1">AVERAGE(OFFSET($CX$3,0,0,'Données projet'!$E$13+1,1))-AVERAGE(OFFSET($H$3,0,0,'Données projet'!$E$13+1,1))</f>
        <v>280.59827778697775</v>
      </c>
      <c r="CZ90" s="59">
        <f t="shared" si="96"/>
        <v>270.86588231964726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>
        <f>EXP(-LN(2)/35)*DF89+(1-EXP(-LN(2)/35))/(LN(2)/35)*DB90*DC90*VLOOKUP('Données projet'!$B$13,Paramètres!$A$1:$I$89,3,0)*0.475*44/12</f>
        <v>28.716155965499222</v>
      </c>
      <c r="DG90" s="21">
        <f>EXP(-LN(2)/25)*DG89+(1-EXP(-LN(2)/25))/(LN(2)/25)*Calculateur!DB90*Calculateur!DD90*VLOOKUP('Données projet'!$B$13,Paramètres!$A$1:$I$89,3,0)*0.475*44/12</f>
        <v>30.057753971931675</v>
      </c>
      <c r="DH90" s="21">
        <f>EXP(-LN(2)/2)*DH89+(1-EXP(-LN(2)/2))/(LN(2)/2)*DB90*DE90*VLOOKUP('Données projet'!$B$13,Paramètres!$A$1:$I$89,3,0)*0.475*44/12</f>
        <v>4.0169358831108539</v>
      </c>
      <c r="DI90" s="22">
        <f t="shared" si="69"/>
        <v>62.790845820541755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64.87310393170354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3.5897435897435912</v>
      </c>
      <c r="DO90" s="12">
        <f>IF('Données projet'!$A$166&gt;35,DO89+DN90-DW89,IF(A90&lt;'Données projet'!$A$166,$DL$205^A90,IF(A90='Données projet'!$A$166,'Données projet'!$B$166,DO89+DN90-DW89)))</f>
        <v>155.25641025641033</v>
      </c>
      <c r="DP90" s="17">
        <f>DO90*VLOOKUP('Données projet'!$B$14,Paramètres!$A$1:$I$89,3,0)*VLOOKUP('Données projet'!$B$14,Paramètres!$A$1:$I$89,5,0)</f>
        <v>104.14600000000006</v>
      </c>
      <c r="DQ90" s="13">
        <f t="shared" si="97"/>
        <v>27.947377503641359</v>
      </c>
      <c r="DR90" s="20">
        <f t="shared" si="70"/>
        <v>230.06263248550883</v>
      </c>
      <c r="DS90" s="59">
        <f t="shared" si="71"/>
        <v>504.59734690175515</v>
      </c>
      <c r="DT90" s="59">
        <f ca="1">AVERAGE(OFFSET($DS$3,0,0,'Données projet'!$E$14+1,1))-AVERAGE(OFFSET($H$3,0,0,'Données projet'!$E$14+1,1))</f>
        <v>211.42385430331873</v>
      </c>
      <c r="DU90" s="59">
        <f t="shared" si="98"/>
        <v>146.84623106782686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>
        <f>EXP(-LN(2)/35)*EA89+(1-EXP(-LN(2)/35))/(LN(2)/35)*DW90*DX90*VLOOKUP('Données projet'!$B$14,Paramètres!$A$1:$I$89,3,0)*0.475*44/12</f>
        <v>3.4547700566162263</v>
      </c>
      <c r="EB90" s="21">
        <f>EXP(-LN(2)/25)*EB89+(1-EXP(-LN(2)/25))/(LN(2)/25)*Calculateur!DW90*Calculateur!DY90*VLOOKUP('Données projet'!$B$14,Paramètres!$A$1:$I$89,3,0)*0.475*44/12</f>
        <v>8.1190184907364173</v>
      </c>
      <c r="EC90" s="21">
        <f>EXP(-LN(2)/2)*EC89+(1-EXP(-LN(2)/2))/(LN(2)/2)*DW90*DZ90*VLOOKUP('Données projet'!$B$14,Paramètres!$A$1:$I$89,3,0)*0.475*44/12</f>
        <v>1.2449129573791726</v>
      </c>
      <c r="ED90" s="22">
        <f t="shared" si="72"/>
        <v>12.818701504731816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64.87310393170354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2.0512820512820524</v>
      </c>
      <c r="EJ90" s="12">
        <f>IF('Données projet'!$A$192&gt;35,EJ89+EI90-ER89,IF(A90&lt;'Données projet'!$A$192,$EG$205^A90,IF(A90='Données projet'!$A$192,'Données projet'!$B$192,EJ89+EI90-ER89)))</f>
        <v>95.769230769230731</v>
      </c>
      <c r="EK90" s="17">
        <f>EJ90*VLOOKUP('Données projet'!$B$15,Paramètres!$A$1:$I$89,3,0)*VLOOKUP('Données projet'!$B$15,Paramètres!$A$1:$I$89,5,0)</f>
        <v>103.08599999999994</v>
      </c>
      <c r="EL90" s="13">
        <f t="shared" si="99"/>
        <v>27.695888962687679</v>
      </c>
      <c r="EM90" s="20">
        <f t="shared" si="73"/>
        <v>227.77845661001425</v>
      </c>
      <c r="EN90" s="59">
        <f t="shared" si="74"/>
        <v>502.31317102626059</v>
      </c>
      <c r="EO90" s="59">
        <f ca="1">AVERAGE(OFFSET($EN$3,0,0,'Données projet'!$E$15+1,1))-AVERAGE(OFFSET($H$3,0,0,'Données projet'!$E$15+1,1))</f>
        <v>212.00478362779876</v>
      </c>
      <c r="EP90" s="59">
        <f t="shared" si="100"/>
        <v>133.62262474506707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>
        <f>EXP(-LN(2)/35)*EV89+(1-EXP(-LN(2)/35))/(LN(2)/35)*ER90*ES90*VLOOKUP('Données projet'!$B$15,Paramètres!$A$1:$I$89,3,0)*0.475*44/12</f>
        <v>0</v>
      </c>
      <c r="EW90" s="21">
        <f>EXP(-LN(2)/25)*EW89+(1-EXP(-LN(2)/25))/(LN(2)/25)*Calculateur!ER90*Calculateur!ET90*VLOOKUP('Données projet'!$B$15,Paramètres!$A$1:$I$89,3,0)*0.475*44/12</f>
        <v>4.7247574146398463</v>
      </c>
      <c r="EX90" s="21">
        <f>EXP(-LN(2)/2)*EX89+(1-EXP(-LN(2)/2))/(LN(2)/2)*ER90*EU90*VLOOKUP('Données projet'!$B$15,Paramètres!$A$1:$I$89,3,0)*0.475*44/12</f>
        <v>0.89277816245922537</v>
      </c>
      <c r="EY90" s="22">
        <f t="shared" si="75"/>
        <v>5.6175355770990718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64.87310393170354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2.0512820512820524</v>
      </c>
      <c r="FE90" s="12">
        <f>IF('Données projet'!$A$218&gt;35,FE89+FD90-FM89,IF(A90&lt;'Données projet'!$A$218,$FB$205^A90,IF(A90='Données projet'!$A$218,'Données projet'!$B$218,FE89+FD90-FM89)))</f>
        <v>95.769230769230731</v>
      </c>
      <c r="FF90" s="17">
        <f>FE90*VLOOKUP('Données projet'!$B$16,Paramètres!$A$1:$I$89,3,0)*VLOOKUP('Données projet'!$B$16,Paramètres!$A$1:$I$89,5,0)</f>
        <v>92.627999999999972</v>
      </c>
      <c r="FG90" s="13">
        <f t="shared" si="101"/>
        <v>25.197969715925712</v>
      </c>
      <c r="FH90" s="20">
        <f t="shared" si="76"/>
        <v>205.2135639219039</v>
      </c>
      <c r="FI90" s="59">
        <f t="shared" si="77"/>
        <v>479.74827833815027</v>
      </c>
      <c r="FJ90" s="59">
        <f ca="1">AVERAGE(OFFSET($FI$3,0,0,'Données projet'!$E$16+1,1))-AVERAGE(OFFSET($H$3,0,0,'Données projet'!$E$16+1,1))</f>
        <v>196.65742339093146</v>
      </c>
      <c r="FK90" s="59">
        <f t="shared" si="102"/>
        <v>125.41980634506001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>
        <f>EXP(-LN(2)/35)*FQ89+(1-EXP(-LN(2)/35))/(LN(2)/35)*FM90*FN90*VLOOKUP('Données projet'!$B$16,Paramètres!$A$1:$I$89,3,0)*0.475*44/12</f>
        <v>0</v>
      </c>
      <c r="FR90" s="21">
        <f>EXP(-LN(2)/25)*FR89+(1-EXP(-LN(2)/25))/(LN(2)/25)*Calculateur!FM90*Calculateur!FO90*VLOOKUP('Données projet'!$B$16,Paramètres!$A$1:$I$89,3,0)*0.475*44/12</f>
        <v>4.2454341986618926</v>
      </c>
      <c r="FS90" s="21">
        <f>EXP(-LN(2)/2)*FS89+(1-EXP(-LN(2)/2))/(LN(2)/2)*FM90*FP90*VLOOKUP('Données projet'!$B$16,Paramètres!$A$1:$I$89,3,0)*0.475*44/12</f>
        <v>0.80220646481843449</v>
      </c>
      <c r="FT90" s="22">
        <f t="shared" si="78"/>
        <v>5.047640663480327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64.87310393170354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64.87310393170354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>
      <c r="A91" s="10">
        <f t="shared" si="85"/>
        <v>88</v>
      </c>
      <c r="B91" s="73">
        <f>'Scénario référence'!$B$16*5+'Scénario référence'!$B$17*0+'Scénario référence'!$B$18*5</f>
        <v>4.6999999999999993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4.6949759999999987</v>
      </c>
      <c r="D91" s="11">
        <f t="shared" si="86"/>
        <v>1.8072045710620337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19.210869597825219</v>
      </c>
      <c r="H91" s="67">
        <f t="shared" si="56"/>
        <v>199.05796449459973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64.962044116466018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-2.2737367544323206E-13</v>
      </c>
      <c r="O91" s="13">
        <f>N91*VLOOKUP('Données projet'!$B$9,Paramètres!$A$1:$I$89,3,0)*VLOOKUP('Données projet'!$B$9,Paramètres!$A$1:$I$89,5,0)</f>
        <v>-1.3596945791505279E-13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366.93249569585623</v>
      </c>
      <c r="T91" s="59">
        <f t="shared" si="88"/>
        <v>272.47262353368501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130.81065892938184</v>
      </c>
      <c r="AA91" s="21">
        <f>EXP(-LN(2)/25)*AA90+(1-EXP(-LN(2)/25))/(LN(2)/25)*Calculateur!V91*Calculateur!X91*VLOOKUP('Données projet'!$B$9,Paramètres!$A$1:$I$89,3,0)*0.475*44/12</f>
        <v>41.450858367462864</v>
      </c>
      <c r="AB91" s="21">
        <f>EXP(-LN(2)/2)*AB90+(1-EXP(-LN(2)/2))/(LN(2)/2)*V91*Y91*VLOOKUP('Données projet'!$B$9,Paramètres!$A$1:$I$89,3,0)*0.475*44/12</f>
        <v>4.4197901750755442</v>
      </c>
      <c r="AC91" s="22">
        <f t="shared" si="57"/>
        <v>176.68130747192026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64.962044116466018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13.340000000000003</v>
      </c>
      <c r="AI91" s="13">
        <f>IF('Données projet'!$A$62&gt;35,AI90+AH91-AQ90,IF(A91&lt;'Données projet'!$A$62,$AF$205^A91,IF(A91='Données projet'!$A$62,'Données projet'!$B$62,AI90+AH91-AQ90)))</f>
        <v>451.84999999999968</v>
      </c>
      <c r="AJ91" s="13">
        <f>AI91*VLOOKUP('Données projet'!$B$10,Paramètres!$A$1:$I$89,3,0)*VLOOKUP('Données projet'!$B$10,Paramètres!$A$1:$I$89,5,0)</f>
        <v>211.46579999999986</v>
      </c>
      <c r="AK91" s="13">
        <f t="shared" si="89"/>
        <v>52.255770090891588</v>
      </c>
      <c r="AL91" s="20">
        <f t="shared" si="58"/>
        <v>459.31506790830252</v>
      </c>
      <c r="AM91" s="59">
        <f t="shared" si="59"/>
        <v>734.17589633534453</v>
      </c>
      <c r="AN91" s="59">
        <f ca="1">AVERAGE(OFFSET($AM$3,0,0,'Données projet'!$E$10+1,1))-AVERAGE(OFFSET($H$3,0,0,'Données projet'!$E$10+1,1))</f>
        <v>382.89338473200229</v>
      </c>
      <c r="AO91" s="59">
        <f t="shared" si="90"/>
        <v>360.46248248971744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90.219976196204556</v>
      </c>
      <c r="AV91" s="21">
        <f>EXP(-LN(2)/25)*AV90+(1-EXP(-LN(2)/25))/(LN(2)/25)*Calculateur!AQ91*Calculateur!AS91*VLOOKUP('Données projet'!$B$10,Paramètres!$A$1:$I$89,3,0)*0.475*44/12</f>
        <v>25.362023975520213</v>
      </c>
      <c r="AW91" s="21">
        <f>EXP(-LN(2)/2)*AW90+(1-EXP(-LN(2)/2))/(LN(2)/2)*AQ91*AT91*VLOOKUP('Données projet'!$B$10,Paramètres!$A$1:$I$89,3,0)*0.475*44/12</f>
        <v>7.163447334468648</v>
      </c>
      <c r="AX91" s="21">
        <f t="shared" si="60"/>
        <v>122.74544750619341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64.962044116466018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1.7948717948717956</v>
      </c>
      <c r="BD91" s="12">
        <f>IF('Données projet'!$A$88&gt;35,BD90+BC91-BL90,IF(A91&lt;'Données projet'!$A$88,$BA$205^A91,IF(A91='Données projet'!$A$88,'Données projet'!$B$88,BD90+BC91-BL90)))</f>
        <v>134.23076923076917</v>
      </c>
      <c r="BE91" s="13">
        <f>BD91*VLOOKUP('Données projet'!$B$11,Paramètres!$A$1:$I$89,3,0)*VLOOKUP('Données projet'!$B$11,Paramètres!$A$1:$I$89,5,0)</f>
        <v>117.26399999999995</v>
      </c>
      <c r="BF91" s="13">
        <f t="shared" si="91"/>
        <v>31.03601818279456</v>
      </c>
      <c r="BG91" s="20">
        <f t="shared" si="61"/>
        <v>258.28919833503375</v>
      </c>
      <c r="BH91" s="59">
        <f t="shared" si="62"/>
        <v>533.15002676207587</v>
      </c>
      <c r="BI91" s="59">
        <f ca="1">AVERAGE(OFFSET($BH$3,0,0,'Données projet'!$E$11+1,1))-AVERAGE(OFFSET($H$3,0,0,'Données projet'!$E$11+1,1))</f>
        <v>225.75484198243581</v>
      </c>
      <c r="BJ91" s="59">
        <f t="shared" si="92"/>
        <v>199.49566488421061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1.2618176590875412</v>
      </c>
      <c r="BQ91" s="21">
        <f>EXP(-LN(2)/25)*BQ90+(1-EXP(-LN(2)/25))/(LN(2)/25)*Calculateur!BL91*Calculateur!BN91*VLOOKUP('Données projet'!$B$11,Paramètres!$A$1:$I$89,3,0)*0.475*44/12</f>
        <v>12.015077772630713</v>
      </c>
      <c r="BR91" s="21">
        <f>EXP(-LN(2)/2)*BR90+(1-EXP(-LN(2)/2))/(LN(2)/2)*BL91*BO91*VLOOKUP('Données projet'!$B$11,Paramètres!$A$1:$I$89,3,0)*0.475*44/12</f>
        <v>0</v>
      </c>
      <c r="BS91" s="22">
        <f t="shared" si="63"/>
        <v>13.276895431718254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64.962044116466018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5.4</v>
      </c>
      <c r="BY91" s="12">
        <f>IF('Données projet'!$A$114&gt;35,BY90+BX91-CG90,IF(A91&lt;'Données projet'!$A$114,$BV$205^A91,IF(A91='Données projet'!$A$114,'Données projet'!$B$114,BY90+BX91-CG90)))</f>
        <v>264.19999999999987</v>
      </c>
      <c r="BZ91" s="13">
        <f>BY91*VLOOKUP('Données projet'!$B$12,Paramètres!$A$1:$I$89,3,0)*VLOOKUP('Données projet'!$B$12,Paramètres!$A$1:$I$89,5,0)</f>
        <v>251.41271999999989</v>
      </c>
      <c r="CA91" s="13">
        <f t="shared" si="93"/>
        <v>60.888354295829195</v>
      </c>
      <c r="CB91" s="20">
        <f t="shared" si="64"/>
        <v>543.92437106523562</v>
      </c>
      <c r="CC91" s="59">
        <f t="shared" si="65"/>
        <v>818.78519949227768</v>
      </c>
      <c r="CD91" s="59">
        <f ca="1">AVERAGE(OFFSET($CC$3,0,0,'Données projet'!$E$12+1,1))-AVERAGE(OFFSET($H$3,0,0,'Données projet'!$E$12+1,1))</f>
        <v>413.9352601863377</v>
      </c>
      <c r="CE91" s="59">
        <f t="shared" si="94"/>
        <v>255.13997349799286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7.7631515231171697</v>
      </c>
      <c r="CL91" s="21">
        <f>EXP(-LN(2)/25)*CL90+(1-EXP(-LN(2)/25))/(LN(2)/25)*Calculateur!CG91*Calculateur!CI91*VLOOKUP('Données projet'!$B$12,Paramètres!$A$1:$I$89,3,0)*0.475*44/12</f>
        <v>13.786111389479069</v>
      </c>
      <c r="CM91" s="21">
        <f>EXP(-LN(2)/2)*CM90+(1-EXP(-LN(2)/2))/(LN(2)/2)*CG91*CJ91*VLOOKUP('Données projet'!$B$12,Paramètres!$A$1:$I$89,3,0)*0.475*44/12</f>
        <v>2.0244421908534505</v>
      </c>
      <c r="CN91" s="22">
        <f t="shared" si="66"/>
        <v>23.57370510344969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64.962044116466018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2.8421709430404007E-14</v>
      </c>
      <c r="CU91" s="17">
        <f>CT91*VLOOKUP('Données projet'!$B$13,Paramètres!$A$1:$I$89,3,0)*VLOOKUP('Données projet'!$B$13,Paramètres!$A$1:$I$89,5,0)</f>
        <v>2.4829205358400945E-14</v>
      </c>
      <c r="CV91" s="13">
        <f t="shared" si="95"/>
        <v>4.3867331143352915E-13</v>
      </c>
      <c r="CW91" s="20">
        <f t="shared" si="67"/>
        <v>8.0726688341261168E-13</v>
      </c>
      <c r="CX91" s="59">
        <f t="shared" si="68"/>
        <v>274.86082842704286</v>
      </c>
      <c r="CY91" s="59">
        <f ca="1">AVERAGE(OFFSET($CX$3,0,0,'Données projet'!$E$13+1,1))-AVERAGE(OFFSET($H$3,0,0,'Données projet'!$E$13+1,1))</f>
        <v>280.59827778697775</v>
      </c>
      <c r="CZ91" s="59">
        <f t="shared" si="96"/>
        <v>270.86588231964726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>
        <f>EXP(-LN(2)/35)*DF90+(1-EXP(-LN(2)/35))/(LN(2)/35)*DB91*DC91*VLOOKUP('Données projet'!$B$13,Paramètres!$A$1:$I$89,3,0)*0.475*44/12</f>
        <v>28.153049662141445</v>
      </c>
      <c r="DG91" s="21">
        <f>EXP(-LN(2)/25)*DG90+(1-EXP(-LN(2)/25))/(LN(2)/25)*Calculateur!DB91*Calculateur!DD91*VLOOKUP('Données projet'!$B$13,Paramètres!$A$1:$I$89,3,0)*0.475*44/12</f>
        <v>29.235823108900618</v>
      </c>
      <c r="DH91" s="21">
        <f>EXP(-LN(2)/2)*DH90+(1-EXP(-LN(2)/2))/(LN(2)/2)*DB91*DE91*VLOOKUP('Données projet'!$B$13,Paramètres!$A$1:$I$89,3,0)*0.475*44/12</f>
        <v>2.8404026025392577</v>
      </c>
      <c r="DI91" s="22">
        <f t="shared" si="69"/>
        <v>60.229275373581316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64.962044116466018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3.5897435897435912</v>
      </c>
      <c r="DO91" s="12">
        <f>IF('Données projet'!$A$166&gt;35,DO90+DN91-DW90,IF(A91&lt;'Données projet'!$A$166,$DL$205^A91,IF(A91='Données projet'!$A$166,'Données projet'!$B$166,DO90+DN91-DW90)))</f>
        <v>158.84615384615392</v>
      </c>
      <c r="DP91" s="17">
        <f>DO91*VLOOKUP('Données projet'!$B$14,Paramètres!$A$1:$I$89,3,0)*VLOOKUP('Données projet'!$B$14,Paramètres!$A$1:$I$89,5,0)</f>
        <v>106.55400000000004</v>
      </c>
      <c r="DQ91" s="13">
        <f t="shared" si="97"/>
        <v>28.517582243122174</v>
      </c>
      <c r="DR91" s="20">
        <f t="shared" si="70"/>
        <v>235.2496724067712</v>
      </c>
      <c r="DS91" s="59">
        <f t="shared" si="71"/>
        <v>510.11050083381326</v>
      </c>
      <c r="DT91" s="59">
        <f ca="1">AVERAGE(OFFSET($DS$3,0,0,'Données projet'!$E$14+1,1))-AVERAGE(OFFSET($H$3,0,0,'Données projet'!$E$14+1,1))</f>
        <v>211.42385430331873</v>
      </c>
      <c r="DU91" s="59">
        <f t="shared" si="98"/>
        <v>146.84623106782686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>
        <f>EXP(-LN(2)/35)*EA90+(1-EXP(-LN(2)/35))/(LN(2)/35)*DW91*DX91*VLOOKUP('Données projet'!$B$14,Paramètres!$A$1:$I$89,3,0)*0.475*44/12</f>
        <v>3.3870241230076479</v>
      </c>
      <c r="EB91" s="21">
        <f>EXP(-LN(2)/25)*EB90+(1-EXP(-LN(2)/25))/(LN(2)/25)*Calculateur!DW91*Calculateur!DY91*VLOOKUP('Données projet'!$B$14,Paramètres!$A$1:$I$89,3,0)*0.475*44/12</f>
        <v>7.8970035031466042</v>
      </c>
      <c r="EC91" s="21">
        <f>EXP(-LN(2)/2)*EC90+(1-EXP(-LN(2)/2))/(LN(2)/2)*DW91*DZ91*VLOOKUP('Données projet'!$B$14,Paramètres!$A$1:$I$89,3,0)*0.475*44/12</f>
        <v>0.88028639414981247</v>
      </c>
      <c r="ED91" s="22">
        <f t="shared" si="72"/>
        <v>12.164314020304065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64.962044116466018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2.0512820512820524</v>
      </c>
      <c r="EJ91" s="12">
        <f>IF('Données projet'!$A$192&gt;35,EJ90+EI91-ER90,IF(A91&lt;'Données projet'!$A$192,$EG$205^A91,IF(A91='Données projet'!$A$192,'Données projet'!$B$192,EJ90+EI91-ER90)))</f>
        <v>97.820512820512789</v>
      </c>
      <c r="EK91" s="17">
        <f>EJ91*VLOOKUP('Données projet'!$B$15,Paramètres!$A$1:$I$89,3,0)*VLOOKUP('Données projet'!$B$15,Paramètres!$A$1:$I$89,5,0)</f>
        <v>105.29399999999995</v>
      </c>
      <c r="EL91" s="13">
        <f t="shared" si="99"/>
        <v>28.219408563382867</v>
      </c>
      <c r="EM91" s="20">
        <f t="shared" si="73"/>
        <v>232.53585324789174</v>
      </c>
      <c r="EN91" s="59">
        <f t="shared" si="74"/>
        <v>507.3966816749338</v>
      </c>
      <c r="EO91" s="59">
        <f ca="1">AVERAGE(OFFSET($EN$3,0,0,'Données projet'!$E$15+1,1))-AVERAGE(OFFSET($H$3,0,0,'Données projet'!$E$15+1,1))</f>
        <v>212.00478362779876</v>
      </c>
      <c r="EP91" s="59">
        <f t="shared" si="100"/>
        <v>133.62262474506707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>
        <f>EXP(-LN(2)/35)*EV90+(1-EXP(-LN(2)/35))/(LN(2)/35)*ER91*ES91*VLOOKUP('Données projet'!$B$15,Paramètres!$A$1:$I$89,3,0)*0.475*44/12</f>
        <v>0</v>
      </c>
      <c r="EW91" s="21">
        <f>EXP(-LN(2)/25)*EW90+(1-EXP(-LN(2)/25))/(LN(2)/25)*Calculateur!ER91*Calculateur!ET91*VLOOKUP('Données projet'!$B$15,Paramètres!$A$1:$I$89,3,0)*0.475*44/12</f>
        <v>4.5955586746723256</v>
      </c>
      <c r="EX91" s="21">
        <f>EXP(-LN(2)/2)*EX90+(1-EXP(-LN(2)/2))/(LN(2)/2)*ER91*EU91*VLOOKUP('Données projet'!$B$15,Paramètres!$A$1:$I$89,3,0)*0.475*44/12</f>
        <v>0.63128949277018354</v>
      </c>
      <c r="EY91" s="22">
        <f t="shared" si="75"/>
        <v>5.2268481674425091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64.962044116466018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2.0512820512820524</v>
      </c>
      <c r="FE91" s="12">
        <f>IF('Données projet'!$A$218&gt;35,FE90+FD91-FM90,IF(A91&lt;'Données projet'!$A$218,$FB$205^A91,IF(A91='Données projet'!$A$218,'Données projet'!$B$218,FE90+FD91-FM90)))</f>
        <v>97.820512820512789</v>
      </c>
      <c r="FF91" s="17">
        <f>FE91*VLOOKUP('Données projet'!$B$16,Paramètres!$A$1:$I$89,3,0)*VLOOKUP('Données projet'!$B$16,Paramètres!$A$1:$I$89,5,0)</f>
        <v>94.611999999999981</v>
      </c>
      <c r="FG91" s="13">
        <f t="shared" si="101"/>
        <v>25.67427257306754</v>
      </c>
      <c r="FH91" s="20">
        <f t="shared" si="76"/>
        <v>209.49859139809257</v>
      </c>
      <c r="FI91" s="59">
        <f t="shared" si="77"/>
        <v>484.35941982513464</v>
      </c>
      <c r="FJ91" s="59">
        <f ca="1">AVERAGE(OFFSET($FI$3,0,0,'Données projet'!$E$16+1,1))-AVERAGE(OFFSET($H$3,0,0,'Données projet'!$E$16+1,1))</f>
        <v>196.65742339093146</v>
      </c>
      <c r="FK91" s="59">
        <f t="shared" si="102"/>
        <v>125.41980634506001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>
        <f>EXP(-LN(2)/35)*FQ90+(1-EXP(-LN(2)/35))/(LN(2)/35)*FM91*FN91*VLOOKUP('Données projet'!$B$16,Paramètres!$A$1:$I$89,3,0)*0.475*44/12</f>
        <v>0</v>
      </c>
      <c r="FR91" s="21">
        <f>EXP(-LN(2)/25)*FR90+(1-EXP(-LN(2)/25))/(LN(2)/25)*Calculateur!FM91*Calculateur!FO91*VLOOKUP('Données projet'!$B$16,Paramètres!$A$1:$I$89,3,0)*0.475*44/12</f>
        <v>4.1293425772418013</v>
      </c>
      <c r="FS91" s="21">
        <f>EXP(-LN(2)/2)*FS90+(1-EXP(-LN(2)/2))/(LN(2)/2)*FM91*FP91*VLOOKUP('Données projet'!$B$16,Paramètres!$A$1:$I$89,3,0)*0.475*44/12</f>
        <v>0.56724563118480265</v>
      </c>
      <c r="FT91" s="22">
        <f t="shared" si="78"/>
        <v>4.6965882084266042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64.962044116466018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64.962044116466018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>
      <c r="A92" s="10">
        <f t="shared" si="85"/>
        <v>89</v>
      </c>
      <c r="B92" s="73">
        <f>'Scénario référence'!$B$16*5+'Scénario référence'!$B$17*0+'Scénario référence'!$B$18*5</f>
        <v>4.6999999999999993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4.748327999999999</v>
      </c>
      <c r="D92" s="11">
        <f t="shared" si="86"/>
        <v>1.8253385972266072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19.243978915206707</v>
      </c>
      <c r="H92" s="67">
        <f t="shared" si="56"/>
        <v>199.18246932350303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65.049441387863325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-2.2737367544323206E-13</v>
      </c>
      <c r="O92" s="13">
        <f>N92*VLOOKUP('Données projet'!$B$9,Paramètres!$A$1:$I$89,3,0)*VLOOKUP('Données projet'!$B$9,Paramètres!$A$1:$I$89,5,0)</f>
        <v>-1.3596945791505279E-13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366.93249569585623</v>
      </c>
      <c r="T92" s="59">
        <f t="shared" si="88"/>
        <v>272.47262353368501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128.24554169440034</v>
      </c>
      <c r="AA92" s="21">
        <f>EXP(-LN(2)/25)*AA91+(1-EXP(-LN(2)/25))/(LN(2)/25)*Calculateur!V92*Calculateur!X92*VLOOKUP('Données projet'!$B$9,Paramètres!$A$1:$I$89,3,0)*0.475*44/12</f>
        <v>40.317382465598691</v>
      </c>
      <c r="AB92" s="21">
        <f>EXP(-LN(2)/2)*AB91+(1-EXP(-LN(2)/2))/(LN(2)/2)*V92*Y92*VLOOKUP('Données projet'!$B$9,Paramètres!$A$1:$I$89,3,0)*0.475*44/12</f>
        <v>3.1252636042175954</v>
      </c>
      <c r="AC92" s="22">
        <f t="shared" si="57"/>
        <v>171.68818776421662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65.049441387863325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13.340000000000003</v>
      </c>
      <c r="AI92" s="13">
        <f>IF('Données projet'!$A$62&gt;35,AI91+AH92-AQ91,IF(A92&lt;'Données projet'!$A$62,$AF$205^A92,IF(A92='Données projet'!$A$62,'Données projet'!$B$62,AI91+AH92-AQ91)))</f>
        <v>465.18999999999971</v>
      </c>
      <c r="AJ92" s="13">
        <f>AI92*VLOOKUP('Données projet'!$B$10,Paramètres!$A$1:$I$89,3,0)*VLOOKUP('Données projet'!$B$10,Paramètres!$A$1:$I$89,5,0)</f>
        <v>217.70891999999986</v>
      </c>
      <c r="AK92" s="13">
        <f t="shared" si="89"/>
        <v>53.616627818378738</v>
      </c>
      <c r="AL92" s="20">
        <f t="shared" si="58"/>
        <v>472.55866245034264</v>
      </c>
      <c r="AM92" s="59">
        <f t="shared" si="59"/>
        <v>747.73994753917486</v>
      </c>
      <c r="AN92" s="59">
        <f ca="1">AVERAGE(OFFSET($AM$3,0,0,'Données projet'!$E$10+1,1))-AVERAGE(OFFSET($H$3,0,0,'Données projet'!$E$10+1,1))</f>
        <v>382.89338473200229</v>
      </c>
      <c r="AO92" s="59">
        <f t="shared" si="90"/>
        <v>360.46248248971744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88.450817491748822</v>
      </c>
      <c r="AV92" s="21">
        <f>EXP(-LN(2)/25)*AV91+(1-EXP(-LN(2)/25))/(LN(2)/25)*Calculateur!AQ92*Calculateur!AS92*VLOOKUP('Données projet'!$B$10,Paramètres!$A$1:$I$89,3,0)*0.475*44/12</f>
        <v>24.668498096178737</v>
      </c>
      <c r="AW92" s="21">
        <f>EXP(-LN(2)/2)*AW91+(1-EXP(-LN(2)/2))/(LN(2)/2)*AQ92*AT92*VLOOKUP('Données projet'!$B$10,Paramètres!$A$1:$I$89,3,0)*0.475*44/12</f>
        <v>5.0653221868754796</v>
      </c>
      <c r="AX92" s="21">
        <f t="shared" si="60"/>
        <v>118.18463777480304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65.049441387863325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1.7948717948717956</v>
      </c>
      <c r="BD92" s="12">
        <f>IF('Données projet'!$A$88&gt;35,BD91+BC92-BL91,IF(A92&lt;'Données projet'!$A$88,$BA$205^A92,IF(A92='Données projet'!$A$88,'Données projet'!$B$88,BD91+BC92-BL91)))</f>
        <v>136.02564102564097</v>
      </c>
      <c r="BE92" s="13">
        <f>BD92*VLOOKUP('Données projet'!$B$11,Paramètres!$A$1:$I$89,3,0)*VLOOKUP('Données projet'!$B$11,Paramètres!$A$1:$I$89,5,0)</f>
        <v>118.83199999999997</v>
      </c>
      <c r="BF92" s="13">
        <f t="shared" si="91"/>
        <v>31.402427594327239</v>
      </c>
      <c r="BG92" s="20">
        <f t="shared" si="61"/>
        <v>261.65829472678655</v>
      </c>
      <c r="BH92" s="59">
        <f t="shared" si="62"/>
        <v>536.83957981561878</v>
      </c>
      <c r="BI92" s="59">
        <f ca="1">AVERAGE(OFFSET($BH$3,0,0,'Données projet'!$E$11+1,1))-AVERAGE(OFFSET($H$3,0,0,'Données projet'!$E$11+1,1))</f>
        <v>225.75484198243581</v>
      </c>
      <c r="BJ92" s="59">
        <f t="shared" si="92"/>
        <v>199.49566488421061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1.2370741844256117</v>
      </c>
      <c r="BQ92" s="21">
        <f>EXP(-LN(2)/25)*BQ91+(1-EXP(-LN(2)/25))/(LN(2)/25)*Calculateur!BL92*Calculateur!BN92*VLOOKUP('Données projet'!$B$11,Paramètres!$A$1:$I$89,3,0)*0.475*44/12</f>
        <v>11.686524839092646</v>
      </c>
      <c r="BR92" s="21">
        <f>EXP(-LN(2)/2)*BR91+(1-EXP(-LN(2)/2))/(LN(2)/2)*BL92*BO92*VLOOKUP('Données projet'!$B$11,Paramètres!$A$1:$I$89,3,0)*0.475*44/12</f>
        <v>0</v>
      </c>
      <c r="BS92" s="22">
        <f t="shared" si="63"/>
        <v>12.923599023518259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65.049441387863325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5.4</v>
      </c>
      <c r="BY92" s="12">
        <f>IF('Données projet'!$A$114&gt;35,BY91+BX92-CG91,IF(A92&lt;'Données projet'!$A$114,$BV$205^A92,IF(A92='Données projet'!$A$114,'Données projet'!$B$114,BY91+BX92-CG91)))</f>
        <v>269.59999999999985</v>
      </c>
      <c r="BZ92" s="13">
        <f>BY92*VLOOKUP('Données projet'!$B$12,Paramètres!$A$1:$I$89,3,0)*VLOOKUP('Données projet'!$B$12,Paramètres!$A$1:$I$89,5,0)</f>
        <v>256.55135999999987</v>
      </c>
      <c r="CA92" s="13">
        <f t="shared" si="93"/>
        <v>61.986696970400146</v>
      </c>
      <c r="CB92" s="20">
        <f t="shared" si="64"/>
        <v>554.78711589011334</v>
      </c>
      <c r="CC92" s="59">
        <f t="shared" si="65"/>
        <v>829.96840097894551</v>
      </c>
      <c r="CD92" s="59">
        <f ca="1">AVERAGE(OFFSET($CC$3,0,0,'Données projet'!$E$12+1,1))-AVERAGE(OFFSET($H$3,0,0,'Données projet'!$E$12+1,1))</f>
        <v>413.9352601863377</v>
      </c>
      <c r="CE92" s="59">
        <f t="shared" si="94"/>
        <v>255.13997349799286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7.6109208568037232</v>
      </c>
      <c r="CL92" s="21">
        <f>EXP(-LN(2)/25)*CL91+(1-EXP(-LN(2)/25))/(LN(2)/25)*Calculateur!CG92*Calculateur!CI92*VLOOKUP('Données projet'!$B$12,Paramètres!$A$1:$I$89,3,0)*0.475*44/12</f>
        <v>13.409129448553674</v>
      </c>
      <c r="CM92" s="21">
        <f>EXP(-LN(2)/2)*CM91+(1-EXP(-LN(2)/2))/(LN(2)/2)*CG92*CJ92*VLOOKUP('Données projet'!$B$12,Paramètres!$A$1:$I$89,3,0)*0.475*44/12</f>
        <v>1.4314968012726257</v>
      </c>
      <c r="CN92" s="22">
        <f t="shared" si="66"/>
        <v>22.451547106630024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65.049441387863325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2.8421709430404007E-14</v>
      </c>
      <c r="CU92" s="17">
        <f>CT92*VLOOKUP('Données projet'!$B$13,Paramètres!$A$1:$I$89,3,0)*VLOOKUP('Données projet'!$B$13,Paramètres!$A$1:$I$89,5,0)</f>
        <v>2.4829205358400945E-14</v>
      </c>
      <c r="CV92" s="13">
        <f t="shared" si="95"/>
        <v>4.3867331143352915E-13</v>
      </c>
      <c r="CW92" s="20">
        <f t="shared" si="67"/>
        <v>8.0726688341261168E-13</v>
      </c>
      <c r="CX92" s="59">
        <f t="shared" si="68"/>
        <v>275.18128508883302</v>
      </c>
      <c r="CY92" s="59">
        <f ca="1">AVERAGE(OFFSET($CX$3,0,0,'Données projet'!$E$13+1,1))-AVERAGE(OFFSET($H$3,0,0,'Données projet'!$E$13+1,1))</f>
        <v>280.59827778697775</v>
      </c>
      <c r="CZ92" s="59">
        <f t="shared" si="96"/>
        <v>270.86588231964726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>
        <f>EXP(-LN(2)/35)*DF91+(1-EXP(-LN(2)/35))/(LN(2)/35)*DB92*DC92*VLOOKUP('Données projet'!$B$13,Paramètres!$A$1:$I$89,3,0)*0.475*44/12</f>
        <v>27.600985529931584</v>
      </c>
      <c r="DG92" s="21">
        <f>EXP(-LN(2)/25)*DG91+(1-EXP(-LN(2)/25))/(LN(2)/25)*Calculateur!DB92*Calculateur!DD92*VLOOKUP('Données projet'!$B$13,Paramètres!$A$1:$I$89,3,0)*0.475*44/12</f>
        <v>28.436367988542614</v>
      </c>
      <c r="DH92" s="21">
        <f>EXP(-LN(2)/2)*DH91+(1-EXP(-LN(2)/2))/(LN(2)/2)*DB92*DE92*VLOOKUP('Données projet'!$B$13,Paramètres!$A$1:$I$89,3,0)*0.475*44/12</f>
        <v>2.008467941555427</v>
      </c>
      <c r="DI92" s="22">
        <f t="shared" si="69"/>
        <v>58.045821460029629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65.049441387863325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3.5897435897435912</v>
      </c>
      <c r="DO92" s="12">
        <f>IF('Données projet'!$A$166&gt;35,DO91+DN92-DW91,IF(A92&lt;'Données projet'!$A$166,$DL$205^A92,IF(A92='Données projet'!$A$166,'Données projet'!$B$166,DO91+DN92-DW91)))</f>
        <v>162.43589743589752</v>
      </c>
      <c r="DP92" s="17">
        <f>DO92*VLOOKUP('Données projet'!$B$14,Paramètres!$A$1:$I$89,3,0)*VLOOKUP('Données projet'!$B$14,Paramètres!$A$1:$I$89,5,0)</f>
        <v>108.96200000000006</v>
      </c>
      <c r="DQ92" s="13">
        <f t="shared" si="97"/>
        <v>29.086288890486539</v>
      </c>
      <c r="DR92" s="20">
        <f t="shared" si="70"/>
        <v>240.43410315093078</v>
      </c>
      <c r="DS92" s="59">
        <f t="shared" si="71"/>
        <v>515.61538823976298</v>
      </c>
      <c r="DT92" s="59">
        <f ca="1">AVERAGE(OFFSET($DS$3,0,0,'Données projet'!$E$14+1,1))-AVERAGE(OFFSET($H$3,0,0,'Données projet'!$E$14+1,1))</f>
        <v>211.42385430331873</v>
      </c>
      <c r="DU92" s="59">
        <f t="shared" si="98"/>
        <v>146.84623106782686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>
        <f>EXP(-LN(2)/35)*EA91+(1-EXP(-LN(2)/35))/(LN(2)/35)*DW92*DX92*VLOOKUP('Données projet'!$B$14,Paramètres!$A$1:$I$89,3,0)*0.475*44/12</f>
        <v>3.320606645836194</v>
      </c>
      <c r="EB92" s="21">
        <f>EXP(-LN(2)/25)*EB91+(1-EXP(-LN(2)/25))/(LN(2)/25)*Calculateur!DW92*Calculateur!DY92*VLOOKUP('Données projet'!$B$14,Paramètres!$A$1:$I$89,3,0)*0.475*44/12</f>
        <v>7.6810595270676947</v>
      </c>
      <c r="EC92" s="21">
        <f>EXP(-LN(2)/2)*EC91+(1-EXP(-LN(2)/2))/(LN(2)/2)*DW92*DZ92*VLOOKUP('Données projet'!$B$14,Paramètres!$A$1:$I$89,3,0)*0.475*44/12</f>
        <v>0.62245647868958642</v>
      </c>
      <c r="ED92" s="22">
        <f t="shared" si="72"/>
        <v>11.624122651593476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65.049441387863325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2.0512820512820524</v>
      </c>
      <c r="EJ92" s="12">
        <f>IF('Données projet'!$A$192&gt;35,EJ91+EI92-ER91,IF(A92&lt;'Données projet'!$A$192,$EG$205^A92,IF(A92='Données projet'!$A$192,'Données projet'!$B$192,EJ91+EI92-ER91)))</f>
        <v>99.871794871794847</v>
      </c>
      <c r="EK92" s="17">
        <f>EJ92*VLOOKUP('Données projet'!$B$15,Paramètres!$A$1:$I$89,3,0)*VLOOKUP('Données projet'!$B$15,Paramètres!$A$1:$I$89,5,0)</f>
        <v>107.50199999999997</v>
      </c>
      <c r="EL92" s="13">
        <f t="shared" si="99"/>
        <v>28.741651769085443</v>
      </c>
      <c r="EM92" s="20">
        <f t="shared" si="73"/>
        <v>237.29102683115707</v>
      </c>
      <c r="EN92" s="59">
        <f t="shared" si="74"/>
        <v>512.47231191998935</v>
      </c>
      <c r="EO92" s="59">
        <f ca="1">AVERAGE(OFFSET($EN$3,0,0,'Données projet'!$E$15+1,1))-AVERAGE(OFFSET($H$3,0,0,'Données projet'!$E$15+1,1))</f>
        <v>212.00478362779876</v>
      </c>
      <c r="EP92" s="59">
        <f t="shared" si="100"/>
        <v>133.62262474506707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>
        <f>EXP(-LN(2)/35)*EV91+(1-EXP(-LN(2)/35))/(LN(2)/35)*ER92*ES92*VLOOKUP('Données projet'!$B$15,Paramètres!$A$1:$I$89,3,0)*0.475*44/12</f>
        <v>0</v>
      </c>
      <c r="EW92" s="21">
        <f>EXP(-LN(2)/25)*EW91+(1-EXP(-LN(2)/25))/(LN(2)/25)*Calculateur!ER92*Calculateur!ET92*VLOOKUP('Données projet'!$B$15,Paramètres!$A$1:$I$89,3,0)*0.475*44/12</f>
        <v>4.4698928810434833</v>
      </c>
      <c r="EX92" s="21">
        <f>EXP(-LN(2)/2)*EX91+(1-EXP(-LN(2)/2))/(LN(2)/2)*ER92*EU92*VLOOKUP('Données projet'!$B$15,Paramètres!$A$1:$I$89,3,0)*0.475*44/12</f>
        <v>0.44638908122961279</v>
      </c>
      <c r="EY92" s="22">
        <f t="shared" si="75"/>
        <v>4.9162819622730964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65.049441387863325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2.0512820512820524</v>
      </c>
      <c r="FE92" s="12">
        <f>IF('Données projet'!$A$218&gt;35,FE91+FD92-FM91,IF(A92&lt;'Données projet'!$A$218,$FB$205^A92,IF(A92='Données projet'!$A$218,'Données projet'!$B$218,FE91+FD92-FM91)))</f>
        <v>99.871794871794847</v>
      </c>
      <c r="FF92" s="17">
        <f>FE92*VLOOKUP('Données projet'!$B$16,Paramètres!$A$1:$I$89,3,0)*VLOOKUP('Données projet'!$B$16,Paramètres!$A$1:$I$89,5,0)</f>
        <v>96.595999999999975</v>
      </c>
      <c r="FG92" s="13">
        <f t="shared" si="101"/>
        <v>26.14941415452644</v>
      </c>
      <c r="FH92" s="20">
        <f t="shared" si="76"/>
        <v>213.78159631913351</v>
      </c>
      <c r="FI92" s="59">
        <f t="shared" si="77"/>
        <v>488.96288140796571</v>
      </c>
      <c r="FJ92" s="59">
        <f ca="1">AVERAGE(OFFSET($FI$3,0,0,'Données projet'!$E$16+1,1))-AVERAGE(OFFSET($H$3,0,0,'Données projet'!$E$16+1,1))</f>
        <v>196.65742339093146</v>
      </c>
      <c r="FK92" s="59">
        <f t="shared" si="102"/>
        <v>125.41980634506001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>
        <f>EXP(-LN(2)/35)*FQ91+(1-EXP(-LN(2)/35))/(LN(2)/35)*FM92*FN92*VLOOKUP('Données projet'!$B$16,Paramètres!$A$1:$I$89,3,0)*0.475*44/12</f>
        <v>0</v>
      </c>
      <c r="FR92" s="21">
        <f>EXP(-LN(2)/25)*FR91+(1-EXP(-LN(2)/25))/(LN(2)/25)*Calculateur!FM92*Calculateur!FO92*VLOOKUP('Données projet'!$B$16,Paramètres!$A$1:$I$89,3,0)*0.475*44/12</f>
        <v>4.0164254873144358</v>
      </c>
      <c r="FS92" s="21">
        <f>EXP(-LN(2)/2)*FS91+(1-EXP(-LN(2)/2))/(LN(2)/2)*FM92*FP92*VLOOKUP('Données projet'!$B$16,Paramètres!$A$1:$I$89,3,0)*0.475*44/12</f>
        <v>0.4011032324092173</v>
      </c>
      <c r="FT92" s="22">
        <f t="shared" si="78"/>
        <v>4.417528719723653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65.049441387863325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65.049441387863325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>
      <c r="A93" s="10">
        <f t="shared" si="85"/>
        <v>90</v>
      </c>
      <c r="B93" s="73">
        <f>'Scénario référence'!$B$16*5+'Scénario référence'!$B$17*0+'Scénario référence'!$B$18*5</f>
        <v>4.6999999999999993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4.8016799999999993</v>
      </c>
      <c r="D93" s="11">
        <f t="shared" si="86"/>
        <v>1.8434489215050531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19.277077254872513</v>
      </c>
      <c r="H93" s="67">
        <f t="shared" si="56"/>
        <v>199.30693287162131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65.135322511992911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-2.2737367544323206E-13</v>
      </c>
      <c r="O93" s="13">
        <f>N93*VLOOKUP('Données projet'!$B$9,Paramètres!$A$1:$I$89,3,0)*VLOOKUP('Données projet'!$B$9,Paramètres!$A$1:$I$89,5,0)</f>
        <v>-1.3596945791505279E-13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366.93249569585623</v>
      </c>
      <c r="T93" s="59">
        <f t="shared" si="88"/>
        <v>272.47262353368501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125.7307248438298</v>
      </c>
      <c r="AA93" s="21">
        <f>EXP(-LN(2)/25)*AA92+(1-EXP(-LN(2)/25))/(LN(2)/25)*Calculateur!V93*Calculateur!X93*VLOOKUP('Données projet'!$B$9,Paramètres!$A$1:$I$89,3,0)*0.475*44/12</f>
        <v>39.214901521877898</v>
      </c>
      <c r="AB93" s="21">
        <f>EXP(-LN(2)/2)*AB92+(1-EXP(-LN(2)/2))/(LN(2)/2)*V93*Y93*VLOOKUP('Données projet'!$B$9,Paramètres!$A$1:$I$89,3,0)*0.475*44/12</f>
        <v>2.2098950875377721</v>
      </c>
      <c r="AC93" s="22">
        <f t="shared" si="57"/>
        <v>167.15552145324548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65.135322511992911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13.340000000000003</v>
      </c>
      <c r="AI93" s="13">
        <f>IF('Données projet'!$A$62&gt;35,AI92+AH93-AQ92,IF(A93&lt;'Données projet'!$A$62,$AF$205^A93,IF(A93='Données projet'!$A$62,'Données projet'!$B$62,AI92+AH93-AQ92)))</f>
        <v>478.52999999999975</v>
      </c>
      <c r="AJ93" s="13">
        <f>AI93*VLOOKUP('Données projet'!$B$10,Paramètres!$A$1:$I$89,3,0)*VLOOKUP('Données projet'!$B$10,Paramètres!$A$1:$I$89,5,0)</f>
        <v>223.95203999999987</v>
      </c>
      <c r="AK93" s="13">
        <f t="shared" si="89"/>
        <v>54.972950001288204</v>
      </c>
      <c r="AL93" s="20">
        <f t="shared" si="58"/>
        <v>485.79435758557662</v>
      </c>
      <c r="AM93" s="59">
        <f t="shared" si="59"/>
        <v>761.29054012955066</v>
      </c>
      <c r="AN93" s="59">
        <f ca="1">AVERAGE(OFFSET($AM$3,0,0,'Données projet'!$E$10+1,1))-AVERAGE(OFFSET($H$3,0,0,'Données projet'!$E$10+1,1))</f>
        <v>382.89338473200229</v>
      </c>
      <c r="AO93" s="59">
        <f t="shared" si="90"/>
        <v>360.46248248971744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86.716350910407215</v>
      </c>
      <c r="AV93" s="21">
        <f>EXP(-LN(2)/25)*AV92+(1-EXP(-LN(2)/25))/(LN(2)/25)*Calculateur!AQ93*Calculateur!AS93*VLOOKUP('Données projet'!$B$10,Paramètres!$A$1:$I$89,3,0)*0.475*44/12</f>
        <v>23.993936718478796</v>
      </c>
      <c r="AW93" s="21">
        <f>EXP(-LN(2)/2)*AW92+(1-EXP(-LN(2)/2))/(LN(2)/2)*AQ93*AT93*VLOOKUP('Données projet'!$B$10,Paramètres!$A$1:$I$89,3,0)*0.475*44/12</f>
        <v>3.5817236672343244</v>
      </c>
      <c r="AX93" s="21">
        <f t="shared" si="60"/>
        <v>114.29201129612034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65.135322511992911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>
        <f>VLOOKUP(A93,'Données projet'!$A$87:$I$107,2,0)</f>
        <v>137.82051282051282</v>
      </c>
      <c r="BB93" s="12">
        <f>VLOOKUP(A93,'Données projet'!$A$87:$I$107,9,0)</f>
        <v>1.7948717948717956</v>
      </c>
      <c r="BC93" s="12">
        <f t="array" ref="BC93">INDEX(BB:BB,MIN(IF(ISNUMBER(BB93:BB289),ROW(BB93:BB289),"")))</f>
        <v>1.7948717948717956</v>
      </c>
      <c r="BD93" s="12">
        <f>IF('Données projet'!$A$88&gt;35,BD92+BC93-BL92,IF(A93&lt;'Données projet'!$A$88,$BA$205^A93,IF(A93='Données projet'!$A$88,'Données projet'!$B$88,BD92+BC93-BL92)))</f>
        <v>137.82051282051276</v>
      </c>
      <c r="BE93" s="13">
        <f>BD93*VLOOKUP('Données projet'!$B$11,Paramètres!$A$1:$I$89,3,0)*VLOOKUP('Données projet'!$B$11,Paramètres!$A$1:$I$89,5,0)</f>
        <v>120.39999999999996</v>
      </c>
      <c r="BF93" s="13">
        <f t="shared" si="91"/>
        <v>31.768274648862857</v>
      </c>
      <c r="BG93" s="20">
        <f t="shared" si="61"/>
        <v>265.02641168010274</v>
      </c>
      <c r="BH93" s="59">
        <f t="shared" si="62"/>
        <v>540.52259422407678</v>
      </c>
      <c r="BI93" s="59">
        <f ca="1">AVERAGE(OFFSET($BH$3,0,0,'Données projet'!$E$11+1,1))-AVERAGE(OFFSET($H$3,0,0,'Données projet'!$E$11+1,1))</f>
        <v>225.75484198243581</v>
      </c>
      <c r="BJ93" s="59">
        <f t="shared" si="92"/>
        <v>199.49566488421061</v>
      </c>
      <c r="BK93" s="15">
        <f>IF(ISNA(VLOOKUP(A93,'Données projet'!$A$87:$I$107,3,0)),0,VLOOKUP(A93,'Données projet'!$A$87:$I$107,3,0))</f>
        <v>15</v>
      </c>
      <c r="BL93" s="15">
        <f>IF(ISNA(VLOOKUP(A93,'Données projet'!$A$87:$I$107,4,0)),0,VLOOKUP(A93,'Données projet'!$A$87:$I$107,4,0))</f>
        <v>6.4102564102564097</v>
      </c>
      <c r="BM93" s="16">
        <f>IF(ISNA(VLOOKUP(A93,'Données projet'!$A$87:$I$107,5,0)),0%,VLOOKUP(A93,'Données projet'!$A$87:$I$107,5,0)*VLOOKUP('Données projet'!$B$11,Paramètres!$A$1:$I$89,7,0))</f>
        <v>4.3000000000000003E-2</v>
      </c>
      <c r="BN93" s="16">
        <f>IF(ISNA(VLOOKUP(A93,'Données projet'!$A$87:$I$107,6,0)),0%,VLOOKUP(A93,'Données projet'!$A$87:$I$107,6,0)*VLOOKUP('Données projet'!$B$11,Paramètres!$A$1:$I$89,7,0))</f>
        <v>0.215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1.4790131816013075</v>
      </c>
      <c r="BQ93" s="21">
        <f>EXP(-LN(2)/25)*BQ92+(1-EXP(-LN(2)/25))/(LN(2)/25)*Calculateur!BL93*Calculateur!BN93*VLOOKUP('Données projet'!$B$11,Paramètres!$A$1:$I$89,3,0)*0.475*44/12</f>
        <v>12.692701939403541</v>
      </c>
      <c r="BR93" s="21">
        <f>EXP(-LN(2)/2)*BR92+(1-EXP(-LN(2)/2))/(LN(2)/2)*BL93*BO93*VLOOKUP('Données projet'!$B$11,Paramètres!$A$1:$I$89,3,0)*0.475*44/12</f>
        <v>0</v>
      </c>
      <c r="BS93" s="22">
        <f t="shared" si="63"/>
        <v>14.171715121004848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65.135322511992911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>
        <f>VLOOKUP(A93,'Données projet'!$A$113:$I$133,2,0)</f>
        <v>275</v>
      </c>
      <c r="BW93" s="12">
        <f>VLOOKUP(A93,'Données projet'!$A$113:$I$133,9,0)</f>
        <v>5.4</v>
      </c>
      <c r="BX93" s="12">
        <f t="array" ref="BX93">INDEX(BW:BW,MIN(IF(ISNUMBER(BW93:BW289),ROW(BW93:BW289),"")))</f>
        <v>5.4</v>
      </c>
      <c r="BY93" s="12">
        <f>IF('Données projet'!$A$114&gt;35,BY92+BX93-CG92,IF(A93&lt;'Données projet'!$A$114,$BV$205^A93,IF(A93='Données projet'!$A$114,'Données projet'!$B$114,BY92+BX93-CG92)))</f>
        <v>274.99999999999983</v>
      </c>
      <c r="BZ93" s="13">
        <f>BY93*VLOOKUP('Données projet'!$B$12,Paramètres!$A$1:$I$89,3,0)*VLOOKUP('Données projet'!$B$12,Paramètres!$A$1:$I$89,5,0)</f>
        <v>261.68999999999983</v>
      </c>
      <c r="CA93" s="13">
        <f t="shared" si="93"/>
        <v>63.082481711546343</v>
      </c>
      <c r="CB93" s="20">
        <f t="shared" si="64"/>
        <v>565.64540564760955</v>
      </c>
      <c r="CC93" s="59">
        <f t="shared" si="65"/>
        <v>841.14158819158365</v>
      </c>
      <c r="CD93" s="59">
        <f ca="1">AVERAGE(OFFSET($CC$3,0,0,'Données projet'!$E$12+1,1))-AVERAGE(OFFSET($H$3,0,0,'Données projet'!$E$12+1,1))</f>
        <v>413.9352601863377</v>
      </c>
      <c r="CE93" s="59">
        <f t="shared" si="94"/>
        <v>255.13997349799286</v>
      </c>
      <c r="CF93" s="15">
        <f>IF(ISNA(VLOOKUP(A93,'Données projet'!$A$113:$I$133,3,0)),0,VLOOKUP(A93,'Données projet'!$A$113:$I$133,3,0))</f>
        <v>14</v>
      </c>
      <c r="CG93" s="15">
        <f>IF(ISNA(VLOOKUP(A93,'Données projet'!$A$113:$I$133,4,0)),0,VLOOKUP(A93,'Données projet'!$A$113:$I$133,4,0))</f>
        <v>21</v>
      </c>
      <c r="CH93" s="16">
        <f>IF(ISNA(VLOOKUP(A93,'Données projet'!$A$113:$I$133,5,0)),0%,VLOOKUP(A93,'Données projet'!$A$113:$I$133,5,0)*VLOOKUP('Données projet'!$B$12,Paramètres!$A$1:$I$89,7,0))</f>
        <v>0.1075</v>
      </c>
      <c r="CI93" s="16">
        <f>IF(ISNA(VLOOKUP(A93,'Données projet'!$A$113:$I$133,6,0)),0%,VLOOKUP(A93,'Données projet'!$A$113:$I$133,6,0)*VLOOKUP('Données projet'!$B$12,Paramètres!$A$1:$I$89,7,0))</f>
        <v>0.1075</v>
      </c>
      <c r="CJ93" s="16">
        <f>IF(ISNA(VLOOKUP(A93,'Données projet'!$A$113:$I$133,7,0)),0%,VLOOKUP(A93,'Données projet'!$A$113:$I$133,7,0))</f>
        <v>0.25</v>
      </c>
      <c r="CK93" s="21">
        <f>EXP(-LN(2)/35)*CK92+(1-EXP(-LN(2)/35))/(LN(2)/35)*CG93*CH93*VLOOKUP('Données projet'!$B$12,Paramètres!$A$1:$I$89,3,0)*0.475*44/12</f>
        <v>9.8364877127218708</v>
      </c>
      <c r="CL93" s="21">
        <f>EXP(-LN(2)/25)*CL92+(1-EXP(-LN(2)/25))/(LN(2)/25)*Calculateur!CG93*Calculateur!CI93*VLOOKUP('Données projet'!$B$12,Paramètres!$A$1:$I$89,3,0)*0.475*44/12</f>
        <v>15.407917929162327</v>
      </c>
      <c r="CM93" s="21">
        <f>EXP(-LN(2)/2)*CM92+(1-EXP(-LN(2)/2))/(LN(2)/2)*CG93*CJ93*VLOOKUP('Données projet'!$B$12,Paramètres!$A$1:$I$89,3,0)*0.475*44/12</f>
        <v>5.7259872081037848</v>
      </c>
      <c r="CN93" s="22">
        <f t="shared" si="66"/>
        <v>30.970392849987984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65.135322511992911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2.8421709430404007E-14</v>
      </c>
      <c r="CU93" s="17">
        <f>CT93*VLOOKUP('Données projet'!$B$13,Paramètres!$A$1:$I$89,3,0)*VLOOKUP('Données projet'!$B$13,Paramètres!$A$1:$I$89,5,0)</f>
        <v>2.4829205358400945E-14</v>
      </c>
      <c r="CV93" s="13">
        <f t="shared" si="95"/>
        <v>4.3867331143352915E-13</v>
      </c>
      <c r="CW93" s="20">
        <f t="shared" si="67"/>
        <v>8.0726688341261168E-13</v>
      </c>
      <c r="CX93" s="59">
        <f t="shared" si="68"/>
        <v>275.49618254397484</v>
      </c>
      <c r="CY93" s="59">
        <f ca="1">AVERAGE(OFFSET($CX$3,0,0,'Données projet'!$E$13+1,1))-AVERAGE(OFFSET($H$3,0,0,'Données projet'!$E$13+1,1))</f>
        <v>280.59827778697775</v>
      </c>
      <c r="CZ93" s="59">
        <f t="shared" si="96"/>
        <v>270.86588231964726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>
        <f>EXP(-LN(2)/35)*DF92+(1-EXP(-LN(2)/35))/(LN(2)/35)*DB93*DC93*VLOOKUP('Données projet'!$B$13,Paramètres!$A$1:$I$89,3,0)*0.475*44/12</f>
        <v>27.059747038628487</v>
      </c>
      <c r="DG93" s="21">
        <f>EXP(-LN(2)/25)*DG92+(1-EXP(-LN(2)/25))/(LN(2)/25)*Calculateur!DB93*Calculateur!DD93*VLOOKUP('Données projet'!$B$13,Paramètres!$A$1:$I$89,3,0)*0.475*44/12</f>
        <v>27.658774010492316</v>
      </c>
      <c r="DH93" s="21">
        <f>EXP(-LN(2)/2)*DH92+(1-EXP(-LN(2)/2))/(LN(2)/2)*DB93*DE93*VLOOKUP('Données projet'!$B$13,Paramètres!$A$1:$I$89,3,0)*0.475*44/12</f>
        <v>1.4202013012696288</v>
      </c>
      <c r="DI93" s="22">
        <f t="shared" si="69"/>
        <v>56.138722350390431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65.135322511992911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>
        <f>VLOOKUP(A93,'Données projet'!$A$165:$I$185,2,0)</f>
        <v>166.02564102564102</v>
      </c>
      <c r="DM93" s="12">
        <f>VLOOKUP(A93,'Données projet'!$A$165:$I$185,9,0)</f>
        <v>3.5897435897435912</v>
      </c>
      <c r="DN93" s="12">
        <f t="array" ref="DN93">INDEX(DM:DM,MIN(IF(ISNUMBER(DM93:DM289),ROW(DM93:DM289),"")))</f>
        <v>3.5897435897435912</v>
      </c>
      <c r="DO93" s="12">
        <f>IF('Données projet'!$A$166&gt;35,DO92+DN93-DW92,IF(A93&lt;'Données projet'!$A$166,$DL$205^A93,IF(A93='Données projet'!$A$166,'Données projet'!$B$166,DO92+DN93-DW92)))</f>
        <v>166.02564102564111</v>
      </c>
      <c r="DP93" s="17">
        <f>DO93*VLOOKUP('Données projet'!$B$14,Paramètres!$A$1:$I$89,3,0)*VLOOKUP('Données projet'!$B$14,Paramètres!$A$1:$I$89,5,0)</f>
        <v>111.37000000000006</v>
      </c>
      <c r="DQ93" s="13">
        <f t="shared" si="97"/>
        <v>29.653534364971829</v>
      </c>
      <c r="DR93" s="20">
        <f t="shared" si="70"/>
        <v>245.61598901899268</v>
      </c>
      <c r="DS93" s="59">
        <f t="shared" si="71"/>
        <v>521.11217156296675</v>
      </c>
      <c r="DT93" s="59">
        <f ca="1">AVERAGE(OFFSET($DS$3,0,0,'Données projet'!$E$14+1,1))-AVERAGE(OFFSET($H$3,0,0,'Données projet'!$E$14+1,1))</f>
        <v>211.42385430331873</v>
      </c>
      <c r="DU93" s="59">
        <f t="shared" si="98"/>
        <v>146.84623106782686</v>
      </c>
      <c r="DV93" s="15">
        <f>IF(ISNA(VLOOKUP(A93,'Données projet'!$A$165:$I$185,3,0)),0,VLOOKUP(A93,'Données projet'!$A$165:$I$185,3,0))</f>
        <v>15</v>
      </c>
      <c r="DW93" s="15">
        <f>IF(ISNA(VLOOKUP(A93,'Données projet'!$A$165:$I$185,4,0)),0,VLOOKUP(A93,'Données projet'!$A$165:$I$185,4,0))</f>
        <v>12.820512820512819</v>
      </c>
      <c r="DX93" s="16">
        <f>IF(ISNA(VLOOKUP(A93,'Données projet'!$A$165:$I$185,5,0)),0%,VLOOKUP(A93,'Données projet'!$A$165:$I$185,5,0)*VLOOKUP('Données projet'!$B$14,Paramètres!$A$1:$I$89,7,0))</f>
        <v>0.13250000000000001</v>
      </c>
      <c r="DY93" s="16">
        <f>IF(ISNA(VLOOKUP(A93,'Données projet'!$A$165:$I$185,6,0)),0%,VLOOKUP(A93,'Données projet'!$A$165:$I$185,6,0)*VLOOKUP('Données projet'!$B$14,Paramètres!$A$1:$I$89,7,0))</f>
        <v>0.13250000000000001</v>
      </c>
      <c r="DZ93" s="16">
        <f>IF(ISNA(VLOOKUP(A93,'Données projet'!$A$165:$I$185,7,0)),0%,VLOOKUP(A93,'Données projet'!$A$165:$I$185,7,0))</f>
        <v>0.25</v>
      </c>
      <c r="EA93" s="21">
        <f>EXP(-LN(2)/35)*EA92+(1-EXP(-LN(2)/35))/(LN(2)/35)*DW93*DX93*VLOOKUP('Données projet'!$B$14,Paramètres!$A$1:$I$89,3,0)*0.475*44/12</f>
        <v>4.5151750723592077</v>
      </c>
      <c r="EB93" s="21">
        <f>EXP(-LN(2)/25)*EB92+(1-EXP(-LN(2)/25))/(LN(2)/25)*Calculateur!DW93*Calculateur!DY93*VLOOKUP('Données projet'!$B$14,Paramètres!$A$1:$I$89,3,0)*0.475*44/12</f>
        <v>8.7257441939418481</v>
      </c>
      <c r="EC93" s="21">
        <f>EXP(-LN(2)/2)*EC92+(1-EXP(-LN(2)/2))/(LN(2)/2)*DW93*DZ93*VLOOKUP('Données projet'!$B$14,Paramètres!$A$1:$I$89,3,0)*0.475*44/12</f>
        <v>2.4687260634764909</v>
      </c>
      <c r="ED93" s="22">
        <f t="shared" si="72"/>
        <v>15.709645329777548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65.135322511992911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>
        <f>VLOOKUP(A93,'Données projet'!$A$191:$I$211,2,0)</f>
        <v>101.92307692307692</v>
      </c>
      <c r="EH93" s="12">
        <f>VLOOKUP(A93,'Données projet'!$A$191:$I$211,9,0)</f>
        <v>2.0512820512820524</v>
      </c>
      <c r="EI93" s="12">
        <f t="array" ref="EI93">INDEX(EH:EH,MIN(IF(ISNUMBER(EH93:EH289),ROW(EH93:EH289),"")))</f>
        <v>2.0512820512820524</v>
      </c>
      <c r="EJ93" s="12">
        <f>IF('Données projet'!$A$192&gt;35,EJ92+EI93-ER92,IF(A93&lt;'Données projet'!$A$192,$EG$205^A93,IF(A93='Données projet'!$A$192,'Données projet'!$B$192,EJ92+EI93-ER92)))</f>
        <v>101.92307692307691</v>
      </c>
      <c r="EK93" s="17">
        <f>EJ93*VLOOKUP('Données projet'!$B$15,Paramètres!$A$1:$I$89,3,0)*VLOOKUP('Données projet'!$B$15,Paramètres!$A$1:$I$89,5,0)</f>
        <v>109.71</v>
      </c>
      <c r="EL93" s="13">
        <f t="shared" si="99"/>
        <v>29.262647816609658</v>
      </c>
      <c r="EM93" s="20">
        <f t="shared" si="73"/>
        <v>242.04402828059514</v>
      </c>
      <c r="EN93" s="59">
        <f t="shared" si="74"/>
        <v>517.54021082456916</v>
      </c>
      <c r="EO93" s="59">
        <f ca="1">AVERAGE(OFFSET($EN$3,0,0,'Données projet'!$E$15+1,1))-AVERAGE(OFFSET($H$3,0,0,'Données projet'!$E$15+1,1))</f>
        <v>212.00478362779876</v>
      </c>
      <c r="EP93" s="59">
        <f t="shared" si="100"/>
        <v>133.62262474506707</v>
      </c>
      <c r="EQ93" s="15">
        <f>IF(ISNA(VLOOKUP(A93,'Données projet'!$A$191:$I$211,3,0)),0,VLOOKUP(A93,'Données projet'!$A$191:$I$211,3,0))</f>
        <v>14</v>
      </c>
      <c r="ER93" s="15">
        <f>IF(ISNA(VLOOKUP(A93,'Données projet'!$A$191:$I$211,4,0)),0,VLOOKUP(A93,'Données projet'!$A$191:$I$211,4,0))</f>
        <v>5.7692307692307692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0.1075</v>
      </c>
      <c r="EU93" s="16">
        <f>IF(ISNA(VLOOKUP(A93,'Données projet'!$A$191:$I$211,7,0)),0%,VLOOKUP(A93,'Données projet'!$A$191:$I$211,7,0))</f>
        <v>0.25</v>
      </c>
      <c r="EV93" s="21">
        <f>EXP(-LN(2)/35)*EV92+(1-EXP(-LN(2)/35))/(LN(2)/35)*ER93*ES93*VLOOKUP('Données projet'!$B$15,Paramètres!$A$1:$I$89,3,0)*0.475*44/12</f>
        <v>0</v>
      </c>
      <c r="EW93" s="21">
        <f>EXP(-LN(2)/25)*EW92+(1-EXP(-LN(2)/25))/(LN(2)/25)*Calculateur!ER93*Calculateur!ET93*VLOOKUP('Données projet'!$B$15,Paramètres!$A$1:$I$89,3,0)*0.475*44/12</f>
        <v>5.082742088034526</v>
      </c>
      <c r="EX93" s="21">
        <f>EXP(-LN(2)/2)*EX92+(1-EXP(-LN(2)/2))/(LN(2)/2)*ER93*EU93*VLOOKUP('Données projet'!$B$15,Paramètres!$A$1:$I$89,3,0)*0.475*44/12</f>
        <v>1.7804702813099567</v>
      </c>
      <c r="EY93" s="22">
        <f t="shared" si="75"/>
        <v>6.8632123693444829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65.135322511992911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>
        <f>VLOOKUP(A93,'Données projet'!$A$217:$I$237,2,0)</f>
        <v>101.92307692307692</v>
      </c>
      <c r="FC93" s="12">
        <f>VLOOKUP(A93,'Données projet'!$A$217:$I$237,9,0)</f>
        <v>2.0512820512820524</v>
      </c>
      <c r="FD93" s="12">
        <f t="array" ref="FD93">INDEX(FC:FC,MIN(IF(ISNUMBER(FC93:FC289),ROW(FC93:FC289),"")))</f>
        <v>2.0512820512820524</v>
      </c>
      <c r="FE93" s="12">
        <f>IF('Données projet'!$A$218&gt;35,FE92+FD93-FM92,IF(A93&lt;'Données projet'!$A$218,$FB$205^A93,IF(A93='Données projet'!$A$218,'Données projet'!$B$218,FE92+FD93-FM92)))</f>
        <v>101.92307692307691</v>
      </c>
      <c r="FF93" s="17">
        <f>FE93*VLOOKUP('Données projet'!$B$16,Paramètres!$A$1:$I$89,3,0)*VLOOKUP('Données projet'!$B$16,Paramètres!$A$1:$I$89,5,0)</f>
        <v>98.579999999999984</v>
      </c>
      <c r="FG93" s="13">
        <f t="shared" si="101"/>
        <v>26.623421060219858</v>
      </c>
      <c r="FH93" s="20">
        <f t="shared" si="76"/>
        <v>218.06262501321623</v>
      </c>
      <c r="FI93" s="59">
        <f t="shared" si="77"/>
        <v>493.55880755719028</v>
      </c>
      <c r="FJ93" s="59">
        <f ca="1">AVERAGE(OFFSET($FI$3,0,0,'Données projet'!$E$16+1,1))-AVERAGE(OFFSET($H$3,0,0,'Données projet'!$E$16+1,1))</f>
        <v>196.65742339093146</v>
      </c>
      <c r="FK93" s="59">
        <f t="shared" si="102"/>
        <v>125.41980634506001</v>
      </c>
      <c r="FL93" s="15">
        <f>IF(ISNA(VLOOKUP(A93,'Données projet'!$A$217:$I$237,3,0)),0,VLOOKUP(A93,'Données projet'!$A$217:$I$237,3,0))</f>
        <v>14</v>
      </c>
      <c r="FM93" s="15">
        <f>IF(ISNA(VLOOKUP(A93,'Données projet'!$A$217:$I$237,4,0)),0,VLOOKUP(A93,'Données projet'!$A$217:$I$237,4,0))</f>
        <v>5.7692307692307692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0.1075</v>
      </c>
      <c r="FP93" s="16">
        <f>IF(ISNA(VLOOKUP(A93,'Données projet'!$A$217:$I$237,7,0)),0%,VLOOKUP(A93,'Données projet'!$A$217:$I$237,7,0))</f>
        <v>0.25</v>
      </c>
      <c r="FQ93" s="21">
        <f>EXP(-LN(2)/35)*FQ92+(1-EXP(-LN(2)/35))/(LN(2)/35)*FM93*FN93*VLOOKUP('Données projet'!$B$16,Paramètres!$A$1:$I$89,3,0)*0.475*44/12</f>
        <v>0</v>
      </c>
      <c r="FR93" s="21">
        <f>EXP(-LN(2)/25)*FR92+(1-EXP(-LN(2)/25))/(LN(2)/25)*Calculateur!FM93*Calculateur!FO93*VLOOKUP('Données projet'!$B$16,Paramètres!$A$1:$I$89,3,0)*0.475*44/12</f>
        <v>4.5671015863498656</v>
      </c>
      <c r="FS93" s="21">
        <f>EXP(-LN(2)/2)*FS92+(1-EXP(-LN(2)/2))/(LN(2)/2)*FM93*FP93*VLOOKUP('Données projet'!$B$16,Paramètres!$A$1:$I$89,3,0)*0.475*44/12</f>
        <v>1.5998428614669178</v>
      </c>
      <c r="FT93" s="22">
        <f t="shared" si="78"/>
        <v>6.1669444478167836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65.135322511992911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65.135322511992911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>
      <c r="A94" s="10">
        <f t="shared" si="85"/>
        <v>91</v>
      </c>
      <c r="B94" s="73">
        <f>'Scénario référence'!$B$16*5+'Scénario référence'!$B$17*0+'Scénario référence'!$B$18*5</f>
        <v>4.6999999999999993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4.8550319999999996</v>
      </c>
      <c r="D94" s="11">
        <f t="shared" si="86"/>
        <v>1.8615358377282103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19.310164752912712</v>
      </c>
      <c r="H94" s="67">
        <f t="shared" si="56"/>
        <v>199.43135565070997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65.219713790620276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-2.2737367544323206E-13</v>
      </c>
      <c r="O94" s="13">
        <f>N94*VLOOKUP('Données projet'!$B$9,Paramètres!$A$1:$I$89,3,0)*VLOOKUP('Données projet'!$B$9,Paramètres!$A$1:$I$89,5,0)</f>
        <v>-1.3596945791505279E-13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366.93249569585623</v>
      </c>
      <c r="T94" s="59">
        <f t="shared" si="88"/>
        <v>272.47262353368501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123.26522201781214</v>
      </c>
      <c r="AA94" s="21">
        <f>EXP(-LN(2)/25)*AA93+(1-EXP(-LN(2)/25))/(LN(2)/25)*Calculateur!V94*Calculateur!X94*VLOOKUP('Données projet'!$B$9,Paramètres!$A$1:$I$89,3,0)*0.475*44/12</f>
        <v>38.142567977540104</v>
      </c>
      <c r="AB94" s="21">
        <f>EXP(-LN(2)/2)*AB93+(1-EXP(-LN(2)/2))/(LN(2)/2)*V94*Y94*VLOOKUP('Données projet'!$B$9,Paramètres!$A$1:$I$89,3,0)*0.475*44/12</f>
        <v>1.5626318021087977</v>
      </c>
      <c r="AC94" s="22">
        <f t="shared" si="57"/>
        <v>162.97042179746103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65.219713790620276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13.340000000000003</v>
      </c>
      <c r="AI94" s="13">
        <f>IF('Données projet'!$A$62&gt;35,AI93+AH94-AQ93,IF(A94&lt;'Données projet'!$A$62,$AF$205^A94,IF(A94='Données projet'!$A$62,'Données projet'!$B$62,AI93+AH94-AQ93)))</f>
        <v>491.86999999999978</v>
      </c>
      <c r="AJ94" s="13">
        <f>AI94*VLOOKUP('Données projet'!$B$10,Paramètres!$A$1:$I$89,3,0)*VLOOKUP('Données projet'!$B$10,Paramètres!$A$1:$I$89,5,0)</f>
        <v>230.19515999999987</v>
      </c>
      <c r="AK94" s="13">
        <f t="shared" si="89"/>
        <v>56.324877602728051</v>
      </c>
      <c r="AL94" s="20">
        <f t="shared" si="58"/>
        <v>499.02239882475118</v>
      </c>
      <c r="AM94" s="59">
        <f t="shared" si="59"/>
        <v>774.82801605702548</v>
      </c>
      <c r="AN94" s="59">
        <f ca="1">AVERAGE(OFFSET($AM$3,0,0,'Données projet'!$E$10+1,1))-AVERAGE(OFFSET($H$3,0,0,'Données projet'!$E$10+1,1))</f>
        <v>382.89338473200229</v>
      </c>
      <c r="AO94" s="59">
        <f t="shared" si="90"/>
        <v>360.46248248971744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85.015896160805553</v>
      </c>
      <c r="AV94" s="21">
        <f>EXP(-LN(2)/25)*AV93+(1-EXP(-LN(2)/25))/(LN(2)/25)*Calculateur!AQ94*Calculateur!AS94*VLOOKUP('Données projet'!$B$10,Paramètres!$A$1:$I$89,3,0)*0.475*44/12</f>
        <v>23.3378212571257</v>
      </c>
      <c r="AW94" s="21">
        <f>EXP(-LN(2)/2)*AW93+(1-EXP(-LN(2)/2))/(LN(2)/2)*AQ94*AT94*VLOOKUP('Données projet'!$B$10,Paramètres!$A$1:$I$89,3,0)*0.475*44/12</f>
        <v>2.5326610934377403</v>
      </c>
      <c r="AX94" s="21">
        <f t="shared" si="60"/>
        <v>110.88637851136899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65.219713790620276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1.7948717948717956</v>
      </c>
      <c r="BD94" s="12">
        <f>IF('Données projet'!$A$88&gt;35,BD93+BC94-BL93,IF(A94&lt;'Données projet'!$A$88,$BA$205^A94,IF(A94='Données projet'!$A$88,'Données projet'!$B$88,BD93+BC94-BL93)))</f>
        <v>133.20512820512815</v>
      </c>
      <c r="BE94" s="13">
        <f>BD94*VLOOKUP('Données projet'!$B$11,Paramètres!$A$1:$I$89,3,0)*VLOOKUP('Données projet'!$B$11,Paramètres!$A$1:$I$89,5,0)</f>
        <v>116.36799999999995</v>
      </c>
      <c r="BF94" s="13">
        <f t="shared" si="91"/>
        <v>30.826385665835112</v>
      </c>
      <c r="BG94" s="20">
        <f t="shared" si="61"/>
        <v>256.36355503466274</v>
      </c>
      <c r="BH94" s="59">
        <f t="shared" si="62"/>
        <v>532.16917226693704</v>
      </c>
      <c r="BI94" s="59">
        <f ca="1">AVERAGE(OFFSET($BH$3,0,0,'Données projet'!$E$11+1,1))-AVERAGE(OFFSET($H$3,0,0,'Données projet'!$E$11+1,1))</f>
        <v>225.75484198243581</v>
      </c>
      <c r="BJ94" s="59">
        <f t="shared" si="92"/>
        <v>199.49566488421061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1.4500106352190707</v>
      </c>
      <c r="BQ94" s="21">
        <f>EXP(-LN(2)/25)*BQ93+(1-EXP(-LN(2)/25))/(LN(2)/25)*Calculateur!BL94*Calculateur!BN94*VLOOKUP('Données projet'!$B$11,Paramètres!$A$1:$I$89,3,0)*0.475*44/12</f>
        <v>12.345619337390366</v>
      </c>
      <c r="BR94" s="21">
        <f>EXP(-LN(2)/2)*BR93+(1-EXP(-LN(2)/2))/(LN(2)/2)*BL94*BO94*VLOOKUP('Données projet'!$B$11,Paramètres!$A$1:$I$89,3,0)*0.475*44/12</f>
        <v>0</v>
      </c>
      <c r="BS94" s="22">
        <f t="shared" si="63"/>
        <v>13.795629972609436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65.219713790620276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5</v>
      </c>
      <c r="BY94" s="12">
        <f>IF('Données projet'!$A$114&gt;35,BY93+BX94-CG93,IF(A94&lt;'Données projet'!$A$114,$BV$205^A94,IF(A94='Données projet'!$A$114,'Données projet'!$B$114,BY93+BX94-CG93)))</f>
        <v>258.99999999999983</v>
      </c>
      <c r="BZ94" s="13">
        <f>BY94*VLOOKUP('Données projet'!$B$12,Paramètres!$A$1:$I$89,3,0)*VLOOKUP('Données projet'!$B$12,Paramètres!$A$1:$I$89,5,0)</f>
        <v>246.46439999999984</v>
      </c>
      <c r="CA94" s="13">
        <f t="shared" si="93"/>
        <v>59.828218865086768</v>
      </c>
      <c r="CB94" s="20">
        <f t="shared" si="64"/>
        <v>533.45964452335909</v>
      </c>
      <c r="CC94" s="59">
        <f t="shared" si="65"/>
        <v>809.26526175563345</v>
      </c>
      <c r="CD94" s="59">
        <f ca="1">AVERAGE(OFFSET($CC$3,0,0,'Données projet'!$E$12+1,1))-AVERAGE(OFFSET($H$3,0,0,'Données projet'!$E$12+1,1))</f>
        <v>413.9352601863377</v>
      </c>
      <c r="CE94" s="59">
        <f t="shared" si="94"/>
        <v>255.13997349799286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9.643600188340482</v>
      </c>
      <c r="CL94" s="21">
        <f>EXP(-LN(2)/25)*CL93+(1-EXP(-LN(2)/25))/(LN(2)/25)*Calculateur!CG94*Calculateur!CI94*VLOOKUP('Données projet'!$B$12,Paramètres!$A$1:$I$89,3,0)*0.475*44/12</f>
        <v>14.986587603122194</v>
      </c>
      <c r="CM94" s="21">
        <f>EXP(-LN(2)/2)*CM93+(1-EXP(-LN(2)/2))/(LN(2)/2)*CG94*CJ94*VLOOKUP('Données projet'!$B$12,Paramètres!$A$1:$I$89,3,0)*0.475*44/12</f>
        <v>4.0488843838376134</v>
      </c>
      <c r="CN94" s="22">
        <f t="shared" si="66"/>
        <v>28.679072175300288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65.219713790620276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2.8421709430404007E-14</v>
      </c>
      <c r="CU94" s="17">
        <f>CT94*VLOOKUP('Données projet'!$B$13,Paramètres!$A$1:$I$89,3,0)*VLOOKUP('Données projet'!$B$13,Paramètres!$A$1:$I$89,5,0)</f>
        <v>2.4829205358400945E-14</v>
      </c>
      <c r="CV94" s="13">
        <f t="shared" si="95"/>
        <v>4.3867331143352915E-13</v>
      </c>
      <c r="CW94" s="20">
        <f t="shared" si="67"/>
        <v>8.0726688341261168E-13</v>
      </c>
      <c r="CX94" s="59">
        <f t="shared" si="68"/>
        <v>275.80561723227515</v>
      </c>
      <c r="CY94" s="59">
        <f ca="1">AVERAGE(OFFSET($CX$3,0,0,'Données projet'!$E$13+1,1))-AVERAGE(OFFSET($H$3,0,0,'Données projet'!$E$13+1,1))</f>
        <v>280.59827778697775</v>
      </c>
      <c r="CZ94" s="59">
        <f t="shared" si="96"/>
        <v>270.86588231964726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>
        <f>EXP(-LN(2)/35)*DF93+(1-EXP(-LN(2)/35))/(LN(2)/35)*DB94*DC94*VLOOKUP('Données projet'!$B$13,Paramètres!$A$1:$I$89,3,0)*0.475*44/12</f>
        <v>26.529121904016961</v>
      </c>
      <c r="DG94" s="21">
        <f>EXP(-LN(2)/25)*DG93+(1-EXP(-LN(2)/25))/(LN(2)/25)*Calculateur!DB94*Calculateur!DD94*VLOOKUP('Données projet'!$B$13,Paramètres!$A$1:$I$89,3,0)*0.475*44/12</f>
        <v>26.902443380663694</v>
      </c>
      <c r="DH94" s="21">
        <f>EXP(-LN(2)/2)*DH93+(1-EXP(-LN(2)/2))/(LN(2)/2)*DB94*DE94*VLOOKUP('Données projet'!$B$13,Paramètres!$A$1:$I$89,3,0)*0.475*44/12</f>
        <v>1.0042339707777135</v>
      </c>
      <c r="DI94" s="22">
        <f t="shared" si="69"/>
        <v>54.43579925545837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65.219713790620276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3.4615384615384586</v>
      </c>
      <c r="DO94" s="12">
        <f>IF('Données projet'!$A$166&gt;35,DO93+DN94-DW93,IF(A94&lt;'Données projet'!$A$166,$DL$205^A94,IF(A94='Données projet'!$A$166,'Données projet'!$B$166,DO93+DN94-DW93)))</f>
        <v>156.66666666666674</v>
      </c>
      <c r="DP94" s="17">
        <f>DO94*VLOOKUP('Données projet'!$B$14,Paramètres!$A$1:$I$89,3,0)*VLOOKUP('Données projet'!$B$14,Paramètres!$A$1:$I$89,5,0)</f>
        <v>105.09200000000006</v>
      </c>
      <c r="DQ94" s="13">
        <f t="shared" si="97"/>
        <v>28.171567603815863</v>
      </c>
      <c r="DR94" s="20">
        <f t="shared" si="70"/>
        <v>232.10071357664606</v>
      </c>
      <c r="DS94" s="59">
        <f t="shared" si="71"/>
        <v>507.90633080892042</v>
      </c>
      <c r="DT94" s="59">
        <f ca="1">AVERAGE(OFFSET($DS$3,0,0,'Données projet'!$E$14+1,1))-AVERAGE(OFFSET($H$3,0,0,'Données projet'!$E$14+1,1))</f>
        <v>211.42385430331873</v>
      </c>
      <c r="DU94" s="59">
        <f t="shared" si="98"/>
        <v>146.84623106782686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>
        <f>EXP(-LN(2)/35)*EA93+(1-EXP(-LN(2)/35))/(LN(2)/35)*DW94*DX94*VLOOKUP('Données projet'!$B$14,Paramètres!$A$1:$I$89,3,0)*0.475*44/12</f>
        <v>4.4266352431751042</v>
      </c>
      <c r="EB94" s="21">
        <f>EXP(-LN(2)/25)*EB93+(1-EXP(-LN(2)/25))/(LN(2)/25)*Calculateur!DW94*Calculateur!DY94*VLOOKUP('Données projet'!$B$14,Paramètres!$A$1:$I$89,3,0)*0.475*44/12</f>
        <v>8.4871382600915641</v>
      </c>
      <c r="EC94" s="21">
        <f>EXP(-LN(2)/2)*EC93+(1-EXP(-LN(2)/2))/(LN(2)/2)*DW94*DZ94*VLOOKUP('Données projet'!$B$14,Paramètres!$A$1:$I$89,3,0)*0.475*44/12</f>
        <v>1.745652940376198</v>
      </c>
      <c r="ED94" s="22">
        <f t="shared" si="72"/>
        <v>14.659426443642866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65.219713790620276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1.7948717948717956</v>
      </c>
      <c r="EJ94" s="12">
        <f>IF('Données projet'!$A$192&gt;35,EJ93+EI94-ER93,IF(A94&lt;'Données projet'!$A$192,$EG$205^A94,IF(A94='Données projet'!$A$192,'Données projet'!$B$192,EJ93+EI94-ER93)))</f>
        <v>97.948717948717928</v>
      </c>
      <c r="EK94" s="17">
        <f>EJ94*VLOOKUP('Données projet'!$B$15,Paramètres!$A$1:$I$89,3,0)*VLOOKUP('Données projet'!$B$15,Paramètres!$A$1:$I$89,5,0)</f>
        <v>105.43199999999997</v>
      </c>
      <c r="EL94" s="13">
        <f t="shared" si="99"/>
        <v>28.252085848272284</v>
      </c>
      <c r="EM94" s="20">
        <f t="shared" si="73"/>
        <v>232.83311618574081</v>
      </c>
      <c r="EN94" s="59">
        <f t="shared" si="74"/>
        <v>508.63873341801514</v>
      </c>
      <c r="EO94" s="59">
        <f ca="1">AVERAGE(OFFSET($EN$3,0,0,'Données projet'!$E$15+1,1))-AVERAGE(OFFSET($H$3,0,0,'Données projet'!$E$15+1,1))</f>
        <v>212.00478362779876</v>
      </c>
      <c r="EP94" s="59">
        <f t="shared" si="100"/>
        <v>133.62262474506707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>
        <f>EXP(-LN(2)/35)*EV93+(1-EXP(-LN(2)/35))/(LN(2)/35)*ER94*ES94*VLOOKUP('Données projet'!$B$15,Paramètres!$A$1:$I$89,3,0)*0.475*44/12</f>
        <v>0</v>
      </c>
      <c r="EW94" s="21">
        <f>EXP(-LN(2)/25)*EW93+(1-EXP(-LN(2)/25))/(LN(2)/25)*Calculateur!ER94*Calculateur!ET94*VLOOKUP('Données projet'!$B$15,Paramètres!$A$1:$I$89,3,0)*0.475*44/12</f>
        <v>4.9437542383474327</v>
      </c>
      <c r="EX94" s="21">
        <f>EXP(-LN(2)/2)*EX93+(1-EXP(-LN(2)/2))/(LN(2)/2)*ER94*EU94*VLOOKUP('Données projet'!$B$15,Paramètres!$A$1:$I$89,3,0)*0.475*44/12</f>
        <v>1.2589826096153904</v>
      </c>
      <c r="EY94" s="22">
        <f t="shared" si="75"/>
        <v>6.2027368479628233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65.219713790620276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1.7948717948717956</v>
      </c>
      <c r="FE94" s="12">
        <f>IF('Données projet'!$A$218&gt;35,FE93+FD94-FM93,IF(A94&lt;'Données projet'!$A$218,$FB$205^A94,IF(A94='Données projet'!$A$218,'Données projet'!$B$218,FE93+FD94-FM93)))</f>
        <v>97.948717948717928</v>
      </c>
      <c r="FF94" s="17">
        <f>FE94*VLOOKUP('Données projet'!$B$16,Paramètres!$A$1:$I$89,3,0)*VLOOKUP('Données projet'!$B$16,Paramètres!$A$1:$I$89,5,0)</f>
        <v>94.735999999999976</v>
      </c>
      <c r="FG94" s="13">
        <f t="shared" si="101"/>
        <v>25.704002661751492</v>
      </c>
      <c r="FH94" s="20">
        <f t="shared" si="76"/>
        <v>209.76633796921715</v>
      </c>
      <c r="FI94" s="59">
        <f t="shared" si="77"/>
        <v>485.57195520149151</v>
      </c>
      <c r="FJ94" s="59">
        <f ca="1">AVERAGE(OFFSET($FI$3,0,0,'Données projet'!$E$16+1,1))-AVERAGE(OFFSET($H$3,0,0,'Données projet'!$E$16+1,1))</f>
        <v>196.65742339093146</v>
      </c>
      <c r="FK94" s="59">
        <f t="shared" si="102"/>
        <v>125.41980634506001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>
        <f>EXP(-LN(2)/35)*FQ93+(1-EXP(-LN(2)/35))/(LN(2)/35)*FM94*FN94*VLOOKUP('Données projet'!$B$16,Paramètres!$A$1:$I$89,3,0)*0.475*44/12</f>
        <v>0</v>
      </c>
      <c r="FR94" s="21">
        <f>EXP(-LN(2)/25)*FR93+(1-EXP(-LN(2)/25))/(LN(2)/25)*Calculateur!FM94*Calculateur!FO94*VLOOKUP('Données projet'!$B$16,Paramètres!$A$1:$I$89,3,0)*0.475*44/12</f>
        <v>4.4422139532976948</v>
      </c>
      <c r="FS94" s="21">
        <f>EXP(-LN(2)/2)*FS93+(1-EXP(-LN(2)/2))/(LN(2)/2)*FM94*FP94*VLOOKUP('Données projet'!$B$16,Paramètres!$A$1:$I$89,3,0)*0.475*44/12</f>
        <v>1.1312597361761481</v>
      </c>
      <c r="FT94" s="22">
        <f t="shared" si="78"/>
        <v>5.5734736894738433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65.219713790620276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65.219713790620276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>
      <c r="A95" s="10">
        <f t="shared" si="85"/>
        <v>92</v>
      </c>
      <c r="B95" s="73">
        <f>'Scénario référence'!$B$16*5+'Scénario référence'!$B$17*0+'Scénario référence'!$B$18*5</f>
        <v>4.6999999999999993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4.9083839999999999</v>
      </c>
      <c r="D95" s="11">
        <f t="shared" si="86"/>
        <v>1.8795996328972104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19.343241542254145</v>
      </c>
      <c r="H95" s="67">
        <f t="shared" si="56"/>
        <v>199.55573816062932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65.302641069234099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-2.2737367544323206E-13</v>
      </c>
      <c r="O95" s="13">
        <f>N95*VLOOKUP('Données projet'!$B$9,Paramètres!$A$1:$I$89,3,0)*VLOOKUP('Données projet'!$B$9,Paramètres!$A$1:$I$89,5,0)</f>
        <v>-1.3596945791505279E-13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366.93249569585623</v>
      </c>
      <c r="T95" s="59">
        <f t="shared" si="88"/>
        <v>272.47262353368501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120.84806619840442</v>
      </c>
      <c r="AA95" s="21">
        <f>EXP(-LN(2)/25)*AA94+(1-EXP(-LN(2)/25))/(LN(2)/25)*Calculateur!V95*Calculateur!X95*VLOOKUP('Données projet'!$B$9,Paramètres!$A$1:$I$89,3,0)*0.475*44/12</f>
        <v>37.099557450363797</v>
      </c>
      <c r="AB95" s="21">
        <f>EXP(-LN(2)/2)*AB94+(1-EXP(-LN(2)/2))/(LN(2)/2)*V95*Y95*VLOOKUP('Données projet'!$B$9,Paramètres!$A$1:$I$89,3,0)*0.475*44/12</f>
        <v>1.104947543768886</v>
      </c>
      <c r="AC95" s="22">
        <f t="shared" si="57"/>
        <v>159.0525711925371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65.302641069234099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13.340000000000003</v>
      </c>
      <c r="AI95" s="13">
        <f>IF('Données projet'!$A$62&gt;35,AI94+AH95-AQ94,IF(A95&lt;'Données projet'!$A$62,$AF$205^A95,IF(A95='Données projet'!$A$62,'Données projet'!$B$62,AI94+AH95-AQ94)))</f>
        <v>505.20999999999981</v>
      </c>
      <c r="AJ95" s="13">
        <f>AI95*VLOOKUP('Données projet'!$B$10,Paramètres!$A$1:$I$89,3,0)*VLOOKUP('Données projet'!$B$10,Paramètres!$A$1:$I$89,5,0)</f>
        <v>236.43827999999993</v>
      </c>
      <c r="AK95" s="13">
        <f t="shared" si="89"/>
        <v>57.67254350444987</v>
      </c>
      <c r="AL95" s="20">
        <f t="shared" si="58"/>
        <v>512.24301760358333</v>
      </c>
      <c r="AM95" s="59">
        <f t="shared" si="59"/>
        <v>788.3527015241084</v>
      </c>
      <c r="AN95" s="59">
        <f ca="1">AVERAGE(OFFSET($AM$3,0,0,'Données projet'!$E$10+1,1))-AVERAGE(OFFSET($H$3,0,0,'Données projet'!$E$10+1,1))</f>
        <v>382.89338473200229</v>
      </c>
      <c r="AO95" s="59">
        <f t="shared" si="90"/>
        <v>360.46248248971744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83.348786291668603</v>
      </c>
      <c r="AV95" s="21">
        <f>EXP(-LN(2)/25)*AV94+(1-EXP(-LN(2)/25))/(LN(2)/25)*Calculateur!AQ95*Calculateur!AS95*VLOOKUP('Données projet'!$B$10,Paramètres!$A$1:$I$89,3,0)*0.475*44/12</f>
        <v>22.699647307566917</v>
      </c>
      <c r="AW95" s="21">
        <f>EXP(-LN(2)/2)*AW94+(1-EXP(-LN(2)/2))/(LN(2)/2)*AQ95*AT95*VLOOKUP('Données projet'!$B$10,Paramètres!$A$1:$I$89,3,0)*0.475*44/12</f>
        <v>1.7908618336171624</v>
      </c>
      <c r="AX95" s="21">
        <f t="shared" si="60"/>
        <v>107.83929543285268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65.302641069234099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1.7948717948717956</v>
      </c>
      <c r="BD95" s="12">
        <f>IF('Données projet'!$A$88&gt;35,BD94+BC95-BL94,IF(A95&lt;'Données projet'!$A$88,$BA$205^A95,IF(A95='Données projet'!$A$88,'Données projet'!$B$88,BD94+BC95-BL94)))</f>
        <v>134.99999999999994</v>
      </c>
      <c r="BE95" s="13">
        <f>BD95*VLOOKUP('Données projet'!$B$11,Paramètres!$A$1:$I$89,3,0)*VLOOKUP('Données projet'!$B$11,Paramètres!$A$1:$I$89,5,0)</f>
        <v>117.93599999999998</v>
      </c>
      <c r="BF95" s="13">
        <f t="shared" si="91"/>
        <v>31.1931201812605</v>
      </c>
      <c r="BG95" s="20">
        <f t="shared" si="61"/>
        <v>259.73321764902863</v>
      </c>
      <c r="BH95" s="59">
        <f t="shared" si="62"/>
        <v>535.84290156955365</v>
      </c>
      <c r="BI95" s="59">
        <f ca="1">AVERAGE(OFFSET($BH$3,0,0,'Données projet'!$E$11+1,1))-AVERAGE(OFFSET($H$3,0,0,'Données projet'!$E$11+1,1))</f>
        <v>225.75484198243581</v>
      </c>
      <c r="BJ95" s="59">
        <f t="shared" si="92"/>
        <v>199.49566488421061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1.421576811081583</v>
      </c>
      <c r="BQ95" s="21">
        <f>EXP(-LN(2)/25)*BQ94+(1-EXP(-LN(2)/25))/(LN(2)/25)*Calculateur!BL95*Calculateur!BN95*VLOOKUP('Données projet'!$B$11,Paramètres!$A$1:$I$89,3,0)*0.475*44/12</f>
        <v>12.008027727381521</v>
      </c>
      <c r="BR95" s="21">
        <f>EXP(-LN(2)/2)*BR94+(1-EXP(-LN(2)/2))/(LN(2)/2)*BL95*BO95*VLOOKUP('Données projet'!$B$11,Paramètres!$A$1:$I$89,3,0)*0.475*44/12</f>
        <v>0</v>
      </c>
      <c r="BS95" s="22">
        <f t="shared" si="63"/>
        <v>13.429604538463103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65.302641069234099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5</v>
      </c>
      <c r="BY95" s="12">
        <f>IF('Données projet'!$A$114&gt;35,BY94+BX95-CG94,IF(A95&lt;'Données projet'!$A$114,$BV$205^A95,IF(A95='Données projet'!$A$114,'Données projet'!$B$114,BY94+BX95-CG94)))</f>
        <v>263.99999999999983</v>
      </c>
      <c r="BZ95" s="13">
        <f>BY95*VLOOKUP('Données projet'!$B$12,Paramètres!$A$1:$I$89,3,0)*VLOOKUP('Données projet'!$B$12,Paramètres!$A$1:$I$89,5,0)</f>
        <v>251.22239999999982</v>
      </c>
      <c r="CA95" s="13">
        <f t="shared" si="93"/>
        <v>60.84762505974976</v>
      </c>
      <c r="CB95" s="20">
        <f t="shared" si="64"/>
        <v>543.52196031239725</v>
      </c>
      <c r="CC95" s="59">
        <f t="shared" si="65"/>
        <v>819.63164423292233</v>
      </c>
      <c r="CD95" s="59">
        <f ca="1">AVERAGE(OFFSET($CC$3,0,0,'Données projet'!$E$12+1,1))-AVERAGE(OFFSET($H$3,0,0,'Données projet'!$E$12+1,1))</f>
        <v>413.9352601863377</v>
      </c>
      <c r="CE95" s="59">
        <f t="shared" si="94"/>
        <v>255.13997349799286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9.4544950706624391</v>
      </c>
      <c r="CL95" s="21">
        <f>EXP(-LN(2)/25)*CL94+(1-EXP(-LN(2)/25))/(LN(2)/25)*Calculateur!CG95*Calculateur!CI95*VLOOKUP('Données projet'!$B$12,Paramètres!$A$1:$I$89,3,0)*0.475*44/12</f>
        <v>14.576778577004427</v>
      </c>
      <c r="CM95" s="21">
        <f>EXP(-LN(2)/2)*CM94+(1-EXP(-LN(2)/2))/(LN(2)/2)*CG95*CJ95*VLOOKUP('Données projet'!$B$12,Paramètres!$A$1:$I$89,3,0)*0.475*44/12</f>
        <v>2.8629936040518928</v>
      </c>
      <c r="CN95" s="22">
        <f t="shared" si="66"/>
        <v>26.894267251718759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65.302641069234099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2.8421709430404007E-14</v>
      </c>
      <c r="CU95" s="17">
        <f>CT95*VLOOKUP('Données projet'!$B$13,Paramètres!$A$1:$I$89,3,0)*VLOOKUP('Données projet'!$B$13,Paramètres!$A$1:$I$89,5,0)</f>
        <v>2.4829205358400945E-14</v>
      </c>
      <c r="CV95" s="13">
        <f t="shared" si="95"/>
        <v>4.3867331143352915E-13</v>
      </c>
      <c r="CW95" s="20">
        <f t="shared" si="67"/>
        <v>8.0726688341261168E-13</v>
      </c>
      <c r="CX95" s="59">
        <f t="shared" si="68"/>
        <v>276.10968392052581</v>
      </c>
      <c r="CY95" s="59">
        <f ca="1">AVERAGE(OFFSET($CX$3,0,0,'Données projet'!$E$13+1,1))-AVERAGE(OFFSET($H$3,0,0,'Données projet'!$E$13+1,1))</f>
        <v>280.59827778697775</v>
      </c>
      <c r="CZ95" s="59">
        <f t="shared" si="96"/>
        <v>270.86588231964726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>
        <f>EXP(-LN(2)/35)*DF94+(1-EXP(-LN(2)/35))/(LN(2)/35)*DB95*DC95*VLOOKUP('Données projet'!$B$13,Paramètres!$A$1:$I$89,3,0)*0.475*44/12</f>
        <v>26.00890200464579</v>
      </c>
      <c r="DG95" s="21">
        <f>EXP(-LN(2)/25)*DG94+(1-EXP(-LN(2)/25))/(LN(2)/25)*Calculateur!DB95*Calculateur!DD95*VLOOKUP('Données projet'!$B$13,Paramètres!$A$1:$I$89,3,0)*0.475*44/12</f>
        <v>26.166794651681435</v>
      </c>
      <c r="DH95" s="21">
        <f>EXP(-LN(2)/2)*DH94+(1-EXP(-LN(2)/2))/(LN(2)/2)*DB95*DE95*VLOOKUP('Données projet'!$B$13,Paramètres!$A$1:$I$89,3,0)*0.475*44/12</f>
        <v>0.71010065063481442</v>
      </c>
      <c r="DI95" s="22">
        <f t="shared" si="69"/>
        <v>52.88579730696204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65.302641069234099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3.4615384615384586</v>
      </c>
      <c r="DO95" s="12">
        <f>IF('Données projet'!$A$166&gt;35,DO94+DN95-DW94,IF(A95&lt;'Données projet'!$A$166,$DL$205^A95,IF(A95='Données projet'!$A$166,'Données projet'!$B$166,DO94+DN95-DW94)))</f>
        <v>160.1282051282052</v>
      </c>
      <c r="DP95" s="17">
        <f>DO95*VLOOKUP('Données projet'!$B$14,Paramètres!$A$1:$I$89,3,0)*VLOOKUP('Données projet'!$B$14,Paramètres!$A$1:$I$89,5,0)</f>
        <v>107.41400000000006</v>
      </c>
      <c r="DQ95" s="13">
        <f t="shared" si="97"/>
        <v>28.720861780307029</v>
      </c>
      <c r="DR95" s="20">
        <f t="shared" si="70"/>
        <v>237.10155093403486</v>
      </c>
      <c r="DS95" s="59">
        <f t="shared" si="71"/>
        <v>513.21123485455985</v>
      </c>
      <c r="DT95" s="59">
        <f ca="1">AVERAGE(OFFSET($DS$3,0,0,'Données projet'!$E$14+1,1))-AVERAGE(OFFSET($H$3,0,0,'Données projet'!$E$14+1,1))</f>
        <v>211.42385430331873</v>
      </c>
      <c r="DU95" s="59">
        <f t="shared" si="98"/>
        <v>146.84623106782686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>
        <f>EXP(-LN(2)/35)*EA94+(1-EXP(-LN(2)/35))/(LN(2)/35)*DW95*DX95*VLOOKUP('Données projet'!$B$14,Paramètres!$A$1:$I$89,3,0)*0.475*44/12</f>
        <v>4.3398316260373377</v>
      </c>
      <c r="EB95" s="21">
        <f>EXP(-LN(2)/25)*EB94+(1-EXP(-LN(2)/25))/(LN(2)/25)*Calculateur!DW95*Calculateur!DY95*VLOOKUP('Données projet'!$B$14,Paramètres!$A$1:$I$89,3,0)*0.475*44/12</f>
        <v>8.2550570180501577</v>
      </c>
      <c r="EC95" s="21">
        <f>EXP(-LN(2)/2)*EC94+(1-EXP(-LN(2)/2))/(LN(2)/2)*DW95*DZ95*VLOOKUP('Données projet'!$B$14,Paramètres!$A$1:$I$89,3,0)*0.475*44/12</f>
        <v>1.2343630317382457</v>
      </c>
      <c r="ED95" s="22">
        <f t="shared" si="72"/>
        <v>13.829251675825741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65.302641069234099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1.7948717948717956</v>
      </c>
      <c r="EJ95" s="12">
        <f>IF('Données projet'!$A$192&gt;35,EJ94+EI95-ER94,IF(A95&lt;'Données projet'!$A$192,$EG$205^A95,IF(A95='Données projet'!$A$192,'Données projet'!$B$192,EJ94+EI95-ER94)))</f>
        <v>99.743589743589723</v>
      </c>
      <c r="EK95" s="17">
        <f>EJ95*VLOOKUP('Données projet'!$B$15,Paramètres!$A$1:$I$89,3,0)*VLOOKUP('Données projet'!$B$15,Paramètres!$A$1:$I$89,5,0)</f>
        <v>107.36399999999996</v>
      </c>
      <c r="EL95" s="13">
        <f t="shared" si="99"/>
        <v>28.709048403508778</v>
      </c>
      <c r="EM95" s="20">
        <f t="shared" si="73"/>
        <v>236.9938926361111</v>
      </c>
      <c r="EN95" s="59">
        <f t="shared" si="74"/>
        <v>513.10357655663609</v>
      </c>
      <c r="EO95" s="59">
        <f ca="1">AVERAGE(OFFSET($EN$3,0,0,'Données projet'!$E$15+1,1))-AVERAGE(OFFSET($H$3,0,0,'Données projet'!$E$15+1,1))</f>
        <v>212.00478362779876</v>
      </c>
      <c r="EP95" s="59">
        <f t="shared" si="100"/>
        <v>133.62262474506707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>
        <f>EXP(-LN(2)/35)*EV94+(1-EXP(-LN(2)/35))/(LN(2)/35)*ER95*ES95*VLOOKUP('Données projet'!$B$15,Paramètres!$A$1:$I$89,3,0)*0.475*44/12</f>
        <v>0</v>
      </c>
      <c r="EW95" s="21">
        <f>EXP(-LN(2)/25)*EW94+(1-EXP(-LN(2)/25))/(LN(2)/25)*Calculateur!ER95*Calculateur!ET95*VLOOKUP('Données projet'!$B$15,Paramètres!$A$1:$I$89,3,0)*0.475*44/12</f>
        <v>4.8085670187190859</v>
      </c>
      <c r="EX95" s="21">
        <f>EXP(-LN(2)/2)*EX94+(1-EXP(-LN(2)/2))/(LN(2)/2)*ER95*EU95*VLOOKUP('Données projet'!$B$15,Paramètres!$A$1:$I$89,3,0)*0.475*44/12</f>
        <v>0.89023514065497855</v>
      </c>
      <c r="EY95" s="22">
        <f t="shared" si="75"/>
        <v>5.6988021593740648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65.302641069234099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1.7948717948717956</v>
      </c>
      <c r="FE95" s="12">
        <f>IF('Données projet'!$A$218&gt;35,FE94+FD95-FM94,IF(A95&lt;'Données projet'!$A$218,$FB$205^A95,IF(A95='Données projet'!$A$218,'Données projet'!$B$218,FE94+FD95-FM94)))</f>
        <v>99.743589743589723</v>
      </c>
      <c r="FF95" s="17">
        <f>FE95*VLOOKUP('Données projet'!$B$16,Paramètres!$A$1:$I$89,3,0)*VLOOKUP('Données projet'!$B$16,Paramètres!$A$1:$I$89,5,0)</f>
        <v>96.471999999999994</v>
      </c>
      <c r="FG95" s="13">
        <f t="shared" si="101"/>
        <v>26.119751318300278</v>
      </c>
      <c r="FH95" s="20">
        <f t="shared" si="76"/>
        <v>213.51396687937299</v>
      </c>
      <c r="FI95" s="59">
        <f t="shared" si="77"/>
        <v>489.62365079989797</v>
      </c>
      <c r="FJ95" s="59">
        <f ca="1">AVERAGE(OFFSET($FI$3,0,0,'Données projet'!$E$16+1,1))-AVERAGE(OFFSET($H$3,0,0,'Données projet'!$E$16+1,1))</f>
        <v>196.65742339093146</v>
      </c>
      <c r="FK95" s="59">
        <f t="shared" si="102"/>
        <v>125.41980634506001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>
        <f>EXP(-LN(2)/35)*FQ94+(1-EXP(-LN(2)/35))/(LN(2)/35)*FM95*FN95*VLOOKUP('Données projet'!$B$16,Paramètres!$A$1:$I$89,3,0)*0.475*44/12</f>
        <v>0</v>
      </c>
      <c r="FR95" s="21">
        <f>EXP(-LN(2)/25)*FR94+(1-EXP(-LN(2)/25))/(LN(2)/25)*Calculateur!FM95*Calculateur!FO95*VLOOKUP('Données projet'!$B$16,Paramètres!$A$1:$I$89,3,0)*0.475*44/12</f>
        <v>4.32074137913889</v>
      </c>
      <c r="FS95" s="21">
        <f>EXP(-LN(2)/2)*FS94+(1-EXP(-LN(2)/2))/(LN(2)/2)*FM95*FP95*VLOOKUP('Données projet'!$B$16,Paramètres!$A$1:$I$89,3,0)*0.475*44/12</f>
        <v>0.799921430733459</v>
      </c>
      <c r="FT95" s="22">
        <f t="shared" si="78"/>
        <v>5.120662809872349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65.302641069234099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65.302641069234099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>
      <c r="A96" s="10">
        <f t="shared" si="85"/>
        <v>93</v>
      </c>
      <c r="B96" s="73">
        <f>'Scénario référence'!$B$16*5+'Scénario référence'!$B$17*0+'Scénario référence'!$B$18*5</f>
        <v>4.6999999999999993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4.9617360000000001</v>
      </c>
      <c r="D96" s="11">
        <f t="shared" si="86"/>
        <v>1.8976405874147015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19.376307752767509</v>
      </c>
      <c r="H96" s="67">
        <f t="shared" si="56"/>
        <v>199.68008088974727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65.384129744961584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-2.2737367544323206E-13</v>
      </c>
      <c r="O96" s="13">
        <f>N96*VLOOKUP('Données projet'!$B$9,Paramètres!$A$1:$I$89,3,0)*VLOOKUP('Données projet'!$B$9,Paramètres!$A$1:$I$89,5,0)</f>
        <v>-1.3596945791505279E-13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366.93249569585623</v>
      </c>
      <c r="T96" s="59">
        <f t="shared" si="88"/>
        <v>272.47262353368501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118.47830933029583</v>
      </c>
      <c r="AA96" s="21">
        <f>EXP(-LN(2)/25)*AA95+(1-EXP(-LN(2)/25))/(LN(2)/25)*Calculateur!V96*Calculateur!X96*VLOOKUP('Données projet'!$B$9,Paramètres!$A$1:$I$89,3,0)*0.475*44/12</f>
        <v>36.085068100902667</v>
      </c>
      <c r="AB96" s="21">
        <f>EXP(-LN(2)/2)*AB95+(1-EXP(-LN(2)/2))/(LN(2)/2)*V96*Y96*VLOOKUP('Données projet'!$B$9,Paramètres!$A$1:$I$89,3,0)*0.475*44/12</f>
        <v>0.78131590105439885</v>
      </c>
      <c r="AC96" s="22">
        <f t="shared" si="57"/>
        <v>155.34469333225289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65.384129744961584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13.340000000000003</v>
      </c>
      <c r="AI96" s="13">
        <f>IF('Données projet'!$A$62&gt;35,AI95+AH96-AQ95,IF(A96&lt;'Données projet'!$A$62,$AF$205^A96,IF(A96='Données projet'!$A$62,'Données projet'!$B$62,AI95+AH96-AQ95)))</f>
        <v>518.54999999999984</v>
      </c>
      <c r="AJ96" s="13">
        <f>AI96*VLOOKUP('Données projet'!$B$10,Paramètres!$A$1:$I$89,3,0)*VLOOKUP('Données projet'!$B$10,Paramètres!$A$1:$I$89,5,0)</f>
        <v>242.68139999999994</v>
      </c>
      <c r="AK96" s="13">
        <f t="shared" si="89"/>
        <v>59.016073171139041</v>
      </c>
      <c r="AL96" s="20">
        <f t="shared" si="58"/>
        <v>525.4564324397337</v>
      </c>
      <c r="AM96" s="59">
        <f t="shared" si="59"/>
        <v>801.86490817125946</v>
      </c>
      <c r="AN96" s="59">
        <f ca="1">AVERAGE(OFFSET($AM$3,0,0,'Données projet'!$E$10+1,1))-AVERAGE(OFFSET($H$3,0,0,'Données projet'!$E$10+1,1))</f>
        <v>382.89338473200229</v>
      </c>
      <c r="AO96" s="59">
        <f t="shared" si="90"/>
        <v>360.46248248971744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81.714367430228805</v>
      </c>
      <c r="AV96" s="21">
        <f>EXP(-LN(2)/25)*AV95+(1-EXP(-LN(2)/25))/(LN(2)/25)*Calculateur!AQ96*Calculateur!AS96*VLOOKUP('Données projet'!$B$10,Paramètres!$A$1:$I$89,3,0)*0.475*44/12</f>
        <v>22.07892425821893</v>
      </c>
      <c r="AW96" s="21">
        <f>EXP(-LN(2)/2)*AW95+(1-EXP(-LN(2)/2))/(LN(2)/2)*AQ96*AT96*VLOOKUP('Données projet'!$B$10,Paramètres!$A$1:$I$89,3,0)*0.475*44/12</f>
        <v>1.2663305467188704</v>
      </c>
      <c r="AX96" s="21">
        <f t="shared" si="60"/>
        <v>105.05962223516661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65.384129744961584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1.7948717948717956</v>
      </c>
      <c r="BD96" s="12">
        <f>IF('Données projet'!$A$88&gt;35,BD95+BC96-BL95,IF(A96&lt;'Données projet'!$A$88,$BA$205^A96,IF(A96='Données projet'!$A$88,'Données projet'!$B$88,BD95+BC96-BL95)))</f>
        <v>136.79487179487174</v>
      </c>
      <c r="BE96" s="13">
        <f>BD96*VLOOKUP('Données projet'!$B$11,Paramètres!$A$1:$I$89,3,0)*VLOOKUP('Données projet'!$B$11,Paramètres!$A$1:$I$89,5,0)</f>
        <v>119.50399999999996</v>
      </c>
      <c r="BF96" s="13">
        <f t="shared" si="91"/>
        <v>31.55928756756072</v>
      </c>
      <c r="BG96" s="20">
        <f t="shared" si="61"/>
        <v>263.10189251350153</v>
      </c>
      <c r="BH96" s="59">
        <f t="shared" si="62"/>
        <v>539.51036824502739</v>
      </c>
      <c r="BI96" s="59">
        <f ca="1">AVERAGE(OFFSET($BH$3,0,0,'Données projet'!$E$11+1,1))-AVERAGE(OFFSET($H$3,0,0,'Données projet'!$E$11+1,1))</f>
        <v>225.75484198243581</v>
      </c>
      <c r="BJ96" s="59">
        <f t="shared" si="92"/>
        <v>199.49566488421061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1.3937005568925112</v>
      </c>
      <c r="BQ96" s="21">
        <f>EXP(-LN(2)/25)*BQ95+(1-EXP(-LN(2)/25))/(LN(2)/25)*Calculateur!BL96*Calculateur!BN96*VLOOKUP('Données projet'!$B$11,Paramètres!$A$1:$I$89,3,0)*0.475*44/12</f>
        <v>11.67966757770154</v>
      </c>
      <c r="BR96" s="21">
        <f>EXP(-LN(2)/2)*BR95+(1-EXP(-LN(2)/2))/(LN(2)/2)*BL96*BO96*VLOOKUP('Données projet'!$B$11,Paramètres!$A$1:$I$89,3,0)*0.475*44/12</f>
        <v>0</v>
      </c>
      <c r="BS96" s="22">
        <f t="shared" si="63"/>
        <v>13.073368134594052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65.384129744961584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5</v>
      </c>
      <c r="BY96" s="12">
        <f>IF('Données projet'!$A$114&gt;35,BY95+BX96-CG95,IF(A96&lt;'Données projet'!$A$114,$BV$205^A96,IF(A96='Données projet'!$A$114,'Données projet'!$B$114,BY95+BX96-CG95)))</f>
        <v>268.99999999999983</v>
      </c>
      <c r="BZ96" s="13">
        <f>BY96*VLOOKUP('Données projet'!$B$12,Paramètres!$A$1:$I$89,3,0)*VLOOKUP('Données projet'!$B$12,Paramètres!$A$1:$I$89,5,0)</f>
        <v>255.98039999999983</v>
      </c>
      <c r="CA96" s="13">
        <f t="shared" si="93"/>
        <v>61.864786260587735</v>
      </c>
      <c r="CB96" s="20">
        <f t="shared" si="64"/>
        <v>553.58036607052338</v>
      </c>
      <c r="CC96" s="59">
        <f t="shared" si="65"/>
        <v>829.98884180204914</v>
      </c>
      <c r="CD96" s="59">
        <f ca="1">AVERAGE(OFFSET($CC$3,0,0,'Données projet'!$E$12+1,1))-AVERAGE(OFFSET($H$3,0,0,'Données projet'!$E$12+1,1))</f>
        <v>413.9352601863377</v>
      </c>
      <c r="CE96" s="59">
        <f t="shared" si="94"/>
        <v>255.13997349799286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9.2690981889993296</v>
      </c>
      <c r="CL96" s="21">
        <f>EXP(-LN(2)/25)*CL95+(1-EXP(-LN(2)/25))/(LN(2)/25)*Calculateur!CG96*Calculateur!CI96*VLOOKUP('Données projet'!$B$12,Paramètres!$A$1:$I$89,3,0)*0.475*44/12</f>
        <v>14.178175800256772</v>
      </c>
      <c r="CM96" s="21">
        <f>EXP(-LN(2)/2)*CM95+(1-EXP(-LN(2)/2))/(LN(2)/2)*CG96*CJ96*VLOOKUP('Données projet'!$B$12,Paramètres!$A$1:$I$89,3,0)*0.475*44/12</f>
        <v>2.0244421919188071</v>
      </c>
      <c r="CN96" s="22">
        <f t="shared" si="66"/>
        <v>25.471716181174912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65.384129744961584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2.8421709430404007E-14</v>
      </c>
      <c r="CU96" s="17">
        <f>CT96*VLOOKUP('Données projet'!$B$13,Paramètres!$A$1:$I$89,3,0)*VLOOKUP('Données projet'!$B$13,Paramètres!$A$1:$I$89,5,0)</f>
        <v>2.4829205358400945E-14</v>
      </c>
      <c r="CV96" s="13">
        <f t="shared" si="95"/>
        <v>4.3867331143352915E-13</v>
      </c>
      <c r="CW96" s="20">
        <f t="shared" si="67"/>
        <v>8.0726688341261168E-13</v>
      </c>
      <c r="CX96" s="59">
        <f t="shared" si="68"/>
        <v>276.40847573152661</v>
      </c>
      <c r="CY96" s="59">
        <f ca="1">AVERAGE(OFFSET($CX$3,0,0,'Données projet'!$E$13+1,1))-AVERAGE(OFFSET($H$3,0,0,'Données projet'!$E$13+1,1))</f>
        <v>280.59827778697775</v>
      </c>
      <c r="CZ96" s="59">
        <f t="shared" si="96"/>
        <v>270.86588231964726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>
        <f>EXP(-LN(2)/35)*DF95+(1-EXP(-LN(2)/35))/(LN(2)/35)*DB96*DC96*VLOOKUP('Données projet'!$B$13,Paramètres!$A$1:$I$89,3,0)*0.475*44/12</f>
        <v>25.498883300198482</v>
      </c>
      <c r="DG96" s="21">
        <f>EXP(-LN(2)/25)*DG95+(1-EXP(-LN(2)/25))/(LN(2)/25)*Calculateur!DB96*Calculateur!DD96*VLOOKUP('Données projet'!$B$13,Paramètres!$A$1:$I$89,3,0)*0.475*44/12</f>
        <v>25.45126227587928</v>
      </c>
      <c r="DH96" s="21">
        <f>EXP(-LN(2)/2)*DH95+(1-EXP(-LN(2)/2))/(LN(2)/2)*DB96*DE96*VLOOKUP('Données projet'!$B$13,Paramètres!$A$1:$I$89,3,0)*0.475*44/12</f>
        <v>0.50211698538885674</v>
      </c>
      <c r="DI96" s="22">
        <f t="shared" si="69"/>
        <v>51.452262561466618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65.384129744961584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3.4615384615384586</v>
      </c>
      <c r="DO96" s="12">
        <f>IF('Données projet'!$A$166&gt;35,DO95+DN96-DW95,IF(A96&lt;'Données projet'!$A$166,$DL$205^A96,IF(A96='Données projet'!$A$166,'Données projet'!$B$166,DO95+DN96-DW95)))</f>
        <v>163.58974358974365</v>
      </c>
      <c r="DP96" s="17">
        <f>DO96*VLOOKUP('Données projet'!$B$14,Paramètres!$A$1:$I$89,3,0)*VLOOKUP('Données projet'!$B$14,Paramètres!$A$1:$I$89,5,0)</f>
        <v>109.73600000000005</v>
      </c>
      <c r="DQ96" s="13">
        <f t="shared" si="97"/>
        <v>29.268775417505548</v>
      </c>
      <c r="DR96" s="20">
        <f t="shared" si="70"/>
        <v>242.09998385215556</v>
      </c>
      <c r="DS96" s="59">
        <f t="shared" si="71"/>
        <v>518.50845958368132</v>
      </c>
      <c r="DT96" s="59">
        <f ca="1">AVERAGE(OFFSET($DS$3,0,0,'Données projet'!$E$14+1,1))-AVERAGE(OFFSET($H$3,0,0,'Données projet'!$E$14+1,1))</f>
        <v>211.42385430331873</v>
      </c>
      <c r="DU96" s="59">
        <f t="shared" si="98"/>
        <v>146.84623106782686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>
        <f>EXP(-LN(2)/35)*EA95+(1-EXP(-LN(2)/35))/(LN(2)/35)*DW96*DX96*VLOOKUP('Données projet'!$B$14,Paramètres!$A$1:$I$89,3,0)*0.475*44/12</f>
        <v>4.2547301748866646</v>
      </c>
      <c r="EB96" s="21">
        <f>EXP(-LN(2)/25)*EB95+(1-EXP(-LN(2)/25))/(LN(2)/25)*Calculateur!DW96*Calculateur!DY96*VLOOKUP('Données projet'!$B$14,Paramètres!$A$1:$I$89,3,0)*0.475*44/12</f>
        <v>8.0293220497769955</v>
      </c>
      <c r="EC96" s="21">
        <f>EXP(-LN(2)/2)*EC95+(1-EXP(-LN(2)/2))/(LN(2)/2)*DW96*DZ96*VLOOKUP('Données projet'!$B$14,Paramètres!$A$1:$I$89,3,0)*0.475*44/12</f>
        <v>0.87282647018809922</v>
      </c>
      <c r="ED96" s="22">
        <f t="shared" si="72"/>
        <v>13.156878694851761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65.384129744961584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1.7948717948717956</v>
      </c>
      <c r="EJ96" s="12">
        <f>IF('Données projet'!$A$192&gt;35,EJ95+EI96-ER95,IF(A96&lt;'Données projet'!$A$192,$EG$205^A96,IF(A96='Données projet'!$A$192,'Données projet'!$B$192,EJ95+EI96-ER95)))</f>
        <v>101.53846153846152</v>
      </c>
      <c r="EK96" s="17">
        <f>EJ96*VLOOKUP('Données projet'!$B$15,Paramètres!$A$1:$I$89,3,0)*VLOOKUP('Données projet'!$B$15,Paramètres!$A$1:$I$89,5,0)</f>
        <v>109.29599999999998</v>
      </c>
      <c r="EL96" s="13">
        <f t="shared" si="99"/>
        <v>29.165054751445091</v>
      </c>
      <c r="EM96" s="20">
        <f t="shared" si="73"/>
        <v>241.15300369210016</v>
      </c>
      <c r="EN96" s="59">
        <f t="shared" si="74"/>
        <v>517.561479423626</v>
      </c>
      <c r="EO96" s="59">
        <f ca="1">AVERAGE(OFFSET($EN$3,0,0,'Données projet'!$E$15+1,1))-AVERAGE(OFFSET($H$3,0,0,'Données projet'!$E$15+1,1))</f>
        <v>212.00478362779876</v>
      </c>
      <c r="EP96" s="59">
        <f t="shared" si="100"/>
        <v>133.62262474506707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>
        <f>EXP(-LN(2)/35)*EV95+(1-EXP(-LN(2)/35))/(LN(2)/35)*ER96*ES96*VLOOKUP('Données projet'!$B$15,Paramètres!$A$1:$I$89,3,0)*0.475*44/12</f>
        <v>0</v>
      </c>
      <c r="EW96" s="21">
        <f>EXP(-LN(2)/25)*EW95+(1-EXP(-LN(2)/25))/(LN(2)/25)*Calculateur!ER96*Calculateur!ET96*VLOOKUP('Données projet'!$B$15,Paramètres!$A$1:$I$89,3,0)*0.475*44/12</f>
        <v>4.6770765007206627</v>
      </c>
      <c r="EX96" s="21">
        <f>EXP(-LN(2)/2)*EX95+(1-EXP(-LN(2)/2))/(LN(2)/2)*ER96*EU96*VLOOKUP('Données projet'!$B$15,Paramètres!$A$1:$I$89,3,0)*0.475*44/12</f>
        <v>0.62949130480769533</v>
      </c>
      <c r="EY96" s="22">
        <f t="shared" si="75"/>
        <v>5.3065678055283581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65.384129744961584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1.7948717948717956</v>
      </c>
      <c r="FE96" s="12">
        <f>IF('Données projet'!$A$218&gt;35,FE95+FD96-FM95,IF(A96&lt;'Données projet'!$A$218,$FB$205^A96,IF(A96='Données projet'!$A$218,'Données projet'!$B$218,FE95+FD96-FM95)))</f>
        <v>101.53846153846152</v>
      </c>
      <c r="FF96" s="17">
        <f>FE96*VLOOKUP('Données projet'!$B$16,Paramètres!$A$1:$I$89,3,0)*VLOOKUP('Données projet'!$B$16,Paramètres!$A$1:$I$89,5,0)</f>
        <v>98.207999999999984</v>
      </c>
      <c r="FG96" s="13">
        <f t="shared" si="101"/>
        <v>26.53463000881818</v>
      </c>
      <c r="FH96" s="20">
        <f t="shared" si="76"/>
        <v>217.26008059869164</v>
      </c>
      <c r="FI96" s="59">
        <f t="shared" si="77"/>
        <v>493.66855633021748</v>
      </c>
      <c r="FJ96" s="59">
        <f ca="1">AVERAGE(OFFSET($FI$3,0,0,'Données projet'!$E$16+1,1))-AVERAGE(OFFSET($H$3,0,0,'Données projet'!$E$16+1,1))</f>
        <v>196.65742339093146</v>
      </c>
      <c r="FK96" s="59">
        <f t="shared" si="102"/>
        <v>125.41980634506001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>
        <f>EXP(-LN(2)/35)*FQ95+(1-EXP(-LN(2)/35))/(LN(2)/35)*FM96*FN96*VLOOKUP('Données projet'!$B$16,Paramètres!$A$1:$I$89,3,0)*0.475*44/12</f>
        <v>0</v>
      </c>
      <c r="FR96" s="21">
        <f>EXP(-LN(2)/25)*FR95+(1-EXP(-LN(2)/25))/(LN(2)/25)*Calculateur!FM96*Calculateur!FO96*VLOOKUP('Données projet'!$B$16,Paramètres!$A$1:$I$89,3,0)*0.475*44/12</f>
        <v>4.202590478908423</v>
      </c>
      <c r="FS96" s="21">
        <f>EXP(-LN(2)/2)*FS95+(1-EXP(-LN(2)/2))/(LN(2)/2)*FM96*FP96*VLOOKUP('Données projet'!$B$16,Paramètres!$A$1:$I$89,3,0)*0.475*44/12</f>
        <v>0.56562986808807403</v>
      </c>
      <c r="FT96" s="22">
        <f t="shared" si="78"/>
        <v>4.7682203469964968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65.384129744961584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65.384129744961584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>
      <c r="A97" s="10">
        <f t="shared" si="85"/>
        <v>94</v>
      </c>
      <c r="B97" s="73">
        <f>'Scénario référence'!$B$16*5+'Scénario référence'!$B$17*0+'Scénario référence'!$B$18*5</f>
        <v>4.6999999999999993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5.0150880000000004</v>
      </c>
      <c r="D97" s="11">
        <f t="shared" si="86"/>
        <v>1.9156589753058364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19.409363511369719</v>
      </c>
      <c r="H97" s="67">
        <f t="shared" si="56"/>
        <v>199.80438431532434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65.464204774346598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-2.2737367544323206E-13</v>
      </c>
      <c r="O97" s="13">
        <f>N97*VLOOKUP('Données projet'!$B$9,Paramètres!$A$1:$I$89,3,0)*VLOOKUP('Données projet'!$B$9,Paramètres!$A$1:$I$89,5,0)</f>
        <v>-1.3596945791505279E-13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366.93249569585623</v>
      </c>
      <c r="T97" s="59">
        <f t="shared" si="88"/>
        <v>272.47262353368501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116.15502194896187</v>
      </c>
      <c r="AA97" s="21">
        <f>EXP(-LN(2)/25)*AA96+(1-EXP(-LN(2)/25))/(LN(2)/25)*Calculateur!V97*Calculateur!X97*VLOOKUP('Données projet'!$B$9,Paramètres!$A$1:$I$89,3,0)*0.475*44/12</f>
        <v>35.098320016052227</v>
      </c>
      <c r="AB97" s="21">
        <f>EXP(-LN(2)/2)*AB96+(1-EXP(-LN(2)/2))/(LN(2)/2)*V97*Y97*VLOOKUP('Données projet'!$B$9,Paramètres!$A$1:$I$89,3,0)*0.475*44/12</f>
        <v>0.55247377188444302</v>
      </c>
      <c r="AC97" s="22">
        <f t="shared" si="57"/>
        <v>151.80581573689855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65.464204774346598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13.340000000000003</v>
      </c>
      <c r="AI97" s="13">
        <f>IF('Données projet'!$A$62&gt;35,AI96+AH97-AQ96,IF(A97&lt;'Données projet'!$A$62,$AF$205^A97,IF(A97='Données projet'!$A$62,'Données projet'!$B$62,AI96+AH97-AQ96)))</f>
        <v>531.88999999999987</v>
      </c>
      <c r="AJ97" s="13">
        <f>AI97*VLOOKUP('Données projet'!$B$10,Paramètres!$A$1:$I$89,3,0)*VLOOKUP('Données projet'!$B$10,Paramètres!$A$1:$I$89,5,0)</f>
        <v>248.92451999999994</v>
      </c>
      <c r="AK97" s="13">
        <f t="shared" si="89"/>
        <v>60.355585244425754</v>
      </c>
      <c r="AL97" s="20">
        <f t="shared" si="58"/>
        <v>538.66284996737477</v>
      </c>
      <c r="AM97" s="59">
        <f t="shared" si="59"/>
        <v>815.36493413997891</v>
      </c>
      <c r="AN97" s="59">
        <f ca="1">AVERAGE(OFFSET($AM$3,0,0,'Données projet'!$E$10+1,1))-AVERAGE(OFFSET($H$3,0,0,'Données projet'!$E$10+1,1))</f>
        <v>382.89338473200229</v>
      </c>
      <c r="AO97" s="59">
        <f t="shared" si="90"/>
        <v>360.46248248971744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80.111998525764776</v>
      </c>
      <c r="AV97" s="21">
        <f>EXP(-LN(2)/25)*AV96+(1-EXP(-LN(2)/25))/(LN(2)/25)*Calculateur!AQ97*Calculateur!AS97*VLOOKUP('Données projet'!$B$10,Paramètres!$A$1:$I$89,3,0)*0.475*44/12</f>
        <v>21.475174913297767</v>
      </c>
      <c r="AW97" s="21">
        <f>EXP(-LN(2)/2)*AW96+(1-EXP(-LN(2)/2))/(LN(2)/2)*AQ97*AT97*VLOOKUP('Données projet'!$B$10,Paramètres!$A$1:$I$89,3,0)*0.475*44/12</f>
        <v>0.89543091680858145</v>
      </c>
      <c r="AX97" s="21">
        <f t="shared" si="60"/>
        <v>102.48260435587112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65.464204774346598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1.7948717948717956</v>
      </c>
      <c r="BD97" s="12">
        <f>IF('Données projet'!$A$88&gt;35,BD96+BC97-BL96,IF(A97&lt;'Données projet'!$A$88,$BA$205^A97,IF(A97='Données projet'!$A$88,'Données projet'!$B$88,BD96+BC97-BL96)))</f>
        <v>138.58974358974353</v>
      </c>
      <c r="BE97" s="13">
        <f>BD97*VLOOKUP('Données projet'!$B$11,Paramètres!$A$1:$I$89,3,0)*VLOOKUP('Données projet'!$B$11,Paramètres!$A$1:$I$89,5,0)</f>
        <v>121.07199999999996</v>
      </c>
      <c r="BF97" s="13">
        <f t="shared" si="91"/>
        <v>31.924896126279531</v>
      </c>
      <c r="BG97" s="20">
        <f t="shared" si="61"/>
        <v>266.46959408660342</v>
      </c>
      <c r="BH97" s="59">
        <f t="shared" si="62"/>
        <v>543.17167825920762</v>
      </c>
      <c r="BI97" s="59">
        <f ca="1">AVERAGE(OFFSET($BH$3,0,0,'Données projet'!$E$11+1,1))-AVERAGE(OFFSET($H$3,0,0,'Données projet'!$E$11+1,1))</f>
        <v>225.75484198243581</v>
      </c>
      <c r="BJ97" s="59">
        <f t="shared" si="92"/>
        <v>199.49566488421061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1.366370939045251</v>
      </c>
      <c r="BQ97" s="21">
        <f>EXP(-LN(2)/25)*BQ96+(1-EXP(-LN(2)/25))/(LN(2)/25)*Calculateur!BL97*Calculateur!BN97*VLOOKUP('Données projet'!$B$11,Paramètres!$A$1:$I$89,3,0)*0.475*44/12</f>
        <v>11.360286453582267</v>
      </c>
      <c r="BR97" s="21">
        <f>EXP(-LN(2)/2)*BR96+(1-EXP(-LN(2)/2))/(LN(2)/2)*BL97*BO97*VLOOKUP('Données projet'!$B$11,Paramètres!$A$1:$I$89,3,0)*0.475*44/12</f>
        <v>0</v>
      </c>
      <c r="BS97" s="22">
        <f t="shared" si="63"/>
        <v>12.726657392627517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65.464204774346598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5</v>
      </c>
      <c r="BY97" s="12">
        <f>IF('Données projet'!$A$114&gt;35,BY96+BX97-CG96,IF(A97&lt;'Données projet'!$A$114,$BV$205^A97,IF(A97='Données projet'!$A$114,'Données projet'!$B$114,BY96+BX97-CG96)))</f>
        <v>273.99999999999983</v>
      </c>
      <c r="BZ97" s="13">
        <f>BY97*VLOOKUP('Données projet'!$B$12,Paramètres!$A$1:$I$89,3,0)*VLOOKUP('Données projet'!$B$12,Paramètres!$A$1:$I$89,5,0)</f>
        <v>260.73839999999984</v>
      </c>
      <c r="CA97" s="13">
        <f t="shared" si="93"/>
        <v>62.879749008354707</v>
      </c>
      <c r="CB97" s="20">
        <f t="shared" si="64"/>
        <v>563.63494285621744</v>
      </c>
      <c r="CC97" s="59">
        <f t="shared" si="65"/>
        <v>840.33702702882169</v>
      </c>
      <c r="CD97" s="59">
        <f ca="1">AVERAGE(OFFSET($CC$3,0,0,'Données projet'!$E$12+1,1))-AVERAGE(OFFSET($H$3,0,0,'Données projet'!$E$12+1,1))</f>
        <v>413.9352601863377</v>
      </c>
      <c r="CE97" s="59">
        <f t="shared" si="94"/>
        <v>255.13997349799286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9.0873368271047017</v>
      </c>
      <c r="CL97" s="21">
        <f>EXP(-LN(2)/25)*CL96+(1-EXP(-LN(2)/25))/(LN(2)/25)*Calculateur!CG97*Calculateur!CI97*VLOOKUP('Données projet'!$B$12,Paramètres!$A$1:$I$89,3,0)*0.475*44/12</f>
        <v>13.790472837400891</v>
      </c>
      <c r="CM97" s="21">
        <f>EXP(-LN(2)/2)*CM96+(1-EXP(-LN(2)/2))/(LN(2)/2)*CG97*CJ97*VLOOKUP('Données projet'!$B$12,Paramètres!$A$1:$I$89,3,0)*0.475*44/12</f>
        <v>1.4314968020259466</v>
      </c>
      <c r="CN97" s="22">
        <f t="shared" si="66"/>
        <v>24.309306466531538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65.464204774346598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2.8421709430404007E-14</v>
      </c>
      <c r="CU97" s="17">
        <f>CT97*VLOOKUP('Données projet'!$B$13,Paramètres!$A$1:$I$89,3,0)*VLOOKUP('Données projet'!$B$13,Paramètres!$A$1:$I$89,5,0)</f>
        <v>2.4829205358400945E-14</v>
      </c>
      <c r="CV97" s="13">
        <f t="shared" si="95"/>
        <v>4.3867331143352915E-13</v>
      </c>
      <c r="CW97" s="20">
        <f t="shared" si="67"/>
        <v>8.0726688341261168E-13</v>
      </c>
      <c r="CX97" s="59">
        <f t="shared" si="68"/>
        <v>276.702084172605</v>
      </c>
      <c r="CY97" s="59">
        <f ca="1">AVERAGE(OFFSET($CX$3,0,0,'Données projet'!$E$13+1,1))-AVERAGE(OFFSET($H$3,0,0,'Données projet'!$E$13+1,1))</f>
        <v>280.59827778697775</v>
      </c>
      <c r="CZ97" s="59">
        <f t="shared" si="96"/>
        <v>270.86588231964726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>
        <f>EXP(-LN(2)/35)*DF96+(1-EXP(-LN(2)/35))/(LN(2)/35)*DB97*DC97*VLOOKUP('Données projet'!$B$13,Paramètres!$A$1:$I$89,3,0)*0.475*44/12</f>
        <v>24.998865751464692</v>
      </c>
      <c r="DG97" s="21">
        <f>EXP(-LN(2)/25)*DG96+(1-EXP(-LN(2)/25))/(LN(2)/25)*Calculateur!DB97*Calculateur!DD97*VLOOKUP('Données projet'!$B$13,Paramètres!$A$1:$I$89,3,0)*0.475*44/12</f>
        <v>24.755296170521646</v>
      </c>
      <c r="DH97" s="21">
        <f>EXP(-LN(2)/2)*DH96+(1-EXP(-LN(2)/2))/(LN(2)/2)*DB97*DE97*VLOOKUP('Données projet'!$B$13,Paramètres!$A$1:$I$89,3,0)*0.475*44/12</f>
        <v>0.35505032531740721</v>
      </c>
      <c r="DI97" s="22">
        <f t="shared" si="69"/>
        <v>50.109212247303745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65.464204774346598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3.4615384615384586</v>
      </c>
      <c r="DO97" s="12">
        <f>IF('Données projet'!$A$166&gt;35,DO96+DN97-DW96,IF(A97&lt;'Données projet'!$A$166,$DL$205^A97,IF(A97='Données projet'!$A$166,'Données projet'!$B$166,DO96+DN97-DW96)))</f>
        <v>167.0512820512821</v>
      </c>
      <c r="DP97" s="17">
        <f>DO97*VLOOKUP('Données projet'!$B$14,Paramètres!$A$1:$I$89,3,0)*VLOOKUP('Données projet'!$B$14,Paramètres!$A$1:$I$89,5,0)</f>
        <v>112.05800000000002</v>
      </c>
      <c r="DQ97" s="13">
        <f t="shared" si="97"/>
        <v>29.815341092510714</v>
      </c>
      <c r="DR97" s="20">
        <f t="shared" si="70"/>
        <v>247.09606906945621</v>
      </c>
      <c r="DS97" s="59">
        <f t="shared" si="71"/>
        <v>523.79815324206038</v>
      </c>
      <c r="DT97" s="59">
        <f ca="1">AVERAGE(OFFSET($DS$3,0,0,'Données projet'!$E$14+1,1))-AVERAGE(OFFSET($H$3,0,0,'Données projet'!$E$14+1,1))</f>
        <v>211.42385430331873</v>
      </c>
      <c r="DU97" s="59">
        <f t="shared" si="98"/>
        <v>146.84623106782686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>
        <f>EXP(-LN(2)/35)*EA96+(1-EXP(-LN(2)/35))/(LN(2)/35)*DW97*DX97*VLOOKUP('Données projet'!$B$14,Paramètres!$A$1:$I$89,3,0)*0.475*44/12</f>
        <v>4.171297511286296</v>
      </c>
      <c r="EB97" s="21">
        <f>EXP(-LN(2)/25)*EB96+(1-EXP(-LN(2)/25))/(LN(2)/25)*Calculateur!DW97*Calculateur!DY97*VLOOKUP('Données projet'!$B$14,Paramètres!$A$1:$I$89,3,0)*0.475*44/12</f>
        <v>7.8097598160821482</v>
      </c>
      <c r="EC97" s="21">
        <f>EXP(-LN(2)/2)*EC96+(1-EXP(-LN(2)/2))/(LN(2)/2)*DW97*DZ97*VLOOKUP('Données projet'!$B$14,Paramètres!$A$1:$I$89,3,0)*0.475*44/12</f>
        <v>0.61718151586912295</v>
      </c>
      <c r="ED97" s="22">
        <f t="shared" si="72"/>
        <v>12.598238843237567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65.464204774346598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1.7948717948717956</v>
      </c>
      <c r="EJ97" s="12">
        <f>IF('Données projet'!$A$192&gt;35,EJ96+EI97-ER96,IF(A97&lt;'Données projet'!$A$192,$EG$205^A97,IF(A97='Données projet'!$A$192,'Données projet'!$B$192,EJ96+EI97-ER96)))</f>
        <v>103.33333333333331</v>
      </c>
      <c r="EK97" s="17">
        <f>EJ97*VLOOKUP('Données projet'!$B$15,Paramètres!$A$1:$I$89,3,0)*VLOOKUP('Données projet'!$B$15,Paramètres!$A$1:$I$89,5,0)</f>
        <v>111.22799999999998</v>
      </c>
      <c r="EL97" s="13">
        <f t="shared" si="99"/>
        <v>29.620123744783804</v>
      </c>
      <c r="EM97" s="20">
        <f t="shared" si="73"/>
        <v>245.31048218883168</v>
      </c>
      <c r="EN97" s="59">
        <f t="shared" si="74"/>
        <v>522.01256636143592</v>
      </c>
      <c r="EO97" s="59">
        <f ca="1">AVERAGE(OFFSET($EN$3,0,0,'Données projet'!$E$15+1,1))-AVERAGE(OFFSET($H$3,0,0,'Données projet'!$E$15+1,1))</f>
        <v>212.00478362779876</v>
      </c>
      <c r="EP97" s="59">
        <f t="shared" si="100"/>
        <v>133.62262474506707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>
        <f>EXP(-LN(2)/35)*EV96+(1-EXP(-LN(2)/35))/(LN(2)/35)*ER97*ES97*VLOOKUP('Données projet'!$B$15,Paramètres!$A$1:$I$89,3,0)*0.475*44/12</f>
        <v>0</v>
      </c>
      <c r="EW97" s="21">
        <f>EXP(-LN(2)/25)*EW96+(1-EXP(-LN(2)/25))/(LN(2)/25)*Calculateur!ER97*Calculateur!ET97*VLOOKUP('Données projet'!$B$15,Paramètres!$A$1:$I$89,3,0)*0.475*44/12</f>
        <v>4.5491815978516925</v>
      </c>
      <c r="EX97" s="21">
        <f>EXP(-LN(2)/2)*EX96+(1-EXP(-LN(2)/2))/(LN(2)/2)*ER97*EU97*VLOOKUP('Données projet'!$B$15,Paramètres!$A$1:$I$89,3,0)*0.475*44/12</f>
        <v>0.44511757032748933</v>
      </c>
      <c r="EY97" s="22">
        <f t="shared" si="75"/>
        <v>4.9942991681791815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65.464204774346598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1.7948717948717956</v>
      </c>
      <c r="FE97" s="12">
        <f>IF('Données projet'!$A$218&gt;35,FE96+FD97-FM96,IF(A97&lt;'Données projet'!$A$218,$FB$205^A97,IF(A97='Données projet'!$A$218,'Données projet'!$B$218,FE96+FD97-FM96)))</f>
        <v>103.33333333333331</v>
      </c>
      <c r="FF97" s="17">
        <f>FE97*VLOOKUP('Données projet'!$B$16,Paramètres!$A$1:$I$89,3,0)*VLOOKUP('Données projet'!$B$16,Paramètres!$A$1:$I$89,5,0)</f>
        <v>99.943999999999974</v>
      </c>
      <c r="FG97" s="13">
        <f t="shared" si="101"/>
        <v>26.948655885664159</v>
      </c>
      <c r="FH97" s="20">
        <f t="shared" si="76"/>
        <v>221.00470900086501</v>
      </c>
      <c r="FI97" s="59">
        <f t="shared" si="77"/>
        <v>497.70679317346924</v>
      </c>
      <c r="FJ97" s="59">
        <f ca="1">AVERAGE(OFFSET($FI$3,0,0,'Données projet'!$E$16+1,1))-AVERAGE(OFFSET($H$3,0,0,'Données projet'!$E$16+1,1))</f>
        <v>196.65742339093146</v>
      </c>
      <c r="FK97" s="59">
        <f t="shared" si="102"/>
        <v>125.41980634506001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>
        <f>EXP(-LN(2)/35)*FQ96+(1-EXP(-LN(2)/35))/(LN(2)/35)*FM97*FN97*VLOOKUP('Données projet'!$B$16,Paramètres!$A$1:$I$89,3,0)*0.475*44/12</f>
        <v>0</v>
      </c>
      <c r="FR97" s="21">
        <f>EXP(-LN(2)/25)*FR96+(1-EXP(-LN(2)/25))/(LN(2)/25)*Calculateur!FM97*Calculateur!FO97*VLOOKUP('Données projet'!$B$16,Paramètres!$A$1:$I$89,3,0)*0.475*44/12</f>
        <v>4.0876704212580437</v>
      </c>
      <c r="FS97" s="21">
        <f>EXP(-LN(2)/2)*FS96+(1-EXP(-LN(2)/2))/(LN(2)/2)*FM97*FP97*VLOOKUP('Données projet'!$B$16,Paramètres!$A$1:$I$89,3,0)*0.475*44/12</f>
        <v>0.3999607153667295</v>
      </c>
      <c r="FT97" s="22">
        <f t="shared" si="78"/>
        <v>4.4876311366247732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65.464204774346598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65.464204774346598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>
      <c r="A98" s="10">
        <f t="shared" si="85"/>
        <v>95</v>
      </c>
      <c r="B98" s="73">
        <f>'Scénario référence'!$B$16*5+'Scénario référence'!$B$17*0+'Scénario référence'!$B$18*5</f>
        <v>4.6999999999999993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5.0684400000000007</v>
      </c>
      <c r="D98" s="11">
        <f t="shared" si="86"/>
        <v>1.9336550644295942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19.442408942121777</v>
      </c>
      <c r="H98" s="67">
        <f t="shared" si="56"/>
        <v>199.92864890388157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65.542890680992713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-2.2737367544323206E-13</v>
      </c>
      <c r="O98" s="13">
        <f>N98*VLOOKUP('Données projet'!$B$9,Paramètres!$A$1:$I$89,3,0)*VLOOKUP('Données projet'!$B$9,Paramètres!$A$1:$I$89,5,0)</f>
        <v>-1.3596945791505279E-13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366.93249569585623</v>
      </c>
      <c r="T98" s="59">
        <f t="shared" si="88"/>
        <v>272.47262353368501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113.87729281611051</v>
      </c>
      <c r="AA98" s="21">
        <f>EXP(-LN(2)/25)*AA97+(1-EXP(-LN(2)/25))/(LN(2)/25)*Calculateur!V98*Calculateur!X98*VLOOKUP('Données projet'!$B$9,Paramètres!$A$1:$I$89,3,0)*0.475*44/12</f>
        <v>34.138554609472848</v>
      </c>
      <c r="AB98" s="21">
        <f>EXP(-LN(2)/2)*AB97+(1-EXP(-LN(2)/2))/(LN(2)/2)*V98*Y98*VLOOKUP('Données projet'!$B$9,Paramètres!$A$1:$I$89,3,0)*0.475*44/12</f>
        <v>0.39065795052719943</v>
      </c>
      <c r="AC98" s="22">
        <f t="shared" si="57"/>
        <v>148.40650537611057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65.542890680992713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>
        <f>VLOOKUP(A98,'Données projet'!$A$61:$I$81,2,0)</f>
        <v>545.23</v>
      </c>
      <c r="AG98" s="12">
        <f>VLOOKUP(A98,'Données projet'!$A$61:$I$81,9,0)</f>
        <v>13.340000000000003</v>
      </c>
      <c r="AH98" s="12">
        <f t="array" ref="AH98">INDEX(AG:AG,MIN(IF(ISNUMBER(AG98:AG294),ROW(AG98:AG294),"")))</f>
        <v>13.340000000000003</v>
      </c>
      <c r="AI98" s="13">
        <f>IF('Données projet'!$A$62&gt;35,AI97+AH98-AQ97,IF(A98&lt;'Données projet'!$A$62,$AF$205^A98,IF(A98='Données projet'!$A$62,'Données projet'!$B$62,AI97+AH98-AQ97)))</f>
        <v>545.2299999999999</v>
      </c>
      <c r="AJ98" s="13">
        <f>AI98*VLOOKUP('Données projet'!$B$10,Paramètres!$A$1:$I$89,3,0)*VLOOKUP('Données projet'!$B$10,Paramètres!$A$1:$I$89,5,0)</f>
        <v>255.16763999999995</v>
      </c>
      <c r="AK98" s="13">
        <f t="shared" si="89"/>
        <v>61.691192075625018</v>
      </c>
      <c r="AL98" s="20">
        <f t="shared" si="58"/>
        <v>551.86246586504683</v>
      </c>
      <c r="AM98" s="59">
        <f t="shared" si="59"/>
        <v>828.85306502868684</v>
      </c>
      <c r="AN98" s="59">
        <f ca="1">AVERAGE(OFFSET($AM$3,0,0,'Données projet'!$E$10+1,1))-AVERAGE(OFFSET($H$3,0,0,'Données projet'!$E$10+1,1))</f>
        <v>382.89338473200229</v>
      </c>
      <c r="AO98" s="59">
        <f t="shared" si="90"/>
        <v>360.46248248971744</v>
      </c>
      <c r="AP98" s="15">
        <f>IF(ISNA(VLOOKUP(A98,'Données projet'!$A$61:$I$81,3,0)),0,VLOOKUP(A98,'Données projet'!$A$61:$I$81,3,0))</f>
        <v>8</v>
      </c>
      <c r="AQ98" s="15">
        <f>IF(ISNA(VLOOKUP(A98,'Données projet'!$A$61:$I$81,4,0)),0,VLOOKUP(A98,'Données projet'!$A$61:$I$81,4,0))</f>
        <v>272.32</v>
      </c>
      <c r="AR98" s="16">
        <f>IF(ISNA(VLOOKUP(A98,'Données projet'!$A$61:$I$81,5,0)),0%,VLOOKUP(A98,'Données projet'!$A$61:$I$81,5,0)*VLOOKUP('Données projet'!$B$10,Paramètres!$A$1:$I$89,7,0))</f>
        <v>0.33</v>
      </c>
      <c r="AS98" s="16">
        <f>IF(ISNA(VLOOKUP(A98,'Données projet'!$A$61:$I$81,6,0)),0%,VLOOKUP(A98,'Données projet'!$A$61:$I$81,6,0)*VLOOKUP('Données projet'!$B$10,Paramètres!$A$1:$I$89,7,0))</f>
        <v>0.11000000000000001</v>
      </c>
      <c r="AT98" s="16">
        <f>IF(ISNA(VLOOKUP(A98,'Données projet'!$A$61:$I$81,7,0)),0%,VLOOKUP(A98,'Données projet'!$A$61:$I$81,7,0))</f>
        <v>0.2</v>
      </c>
      <c r="AU98" s="21">
        <f>EXP(-LN(2)/35)*AU97+(1-EXP(-LN(2)/35))/(LN(2)/35)*AQ98*AR98*VLOOKUP('Données projet'!$B$10,Paramètres!$A$1:$I$89,3,0)*0.475*44/12</f>
        <v>134.3325061182866</v>
      </c>
      <c r="AV98" s="21">
        <f>EXP(-LN(2)/25)*AV97+(1-EXP(-LN(2)/25))/(LN(2)/25)*Calculateur!AQ98*Calculateur!AS98*VLOOKUP('Données projet'!$B$10,Paramètres!$A$1:$I$89,3,0)*0.475*44/12</f>
        <v>39.411862727127499</v>
      </c>
      <c r="AW98" s="21">
        <f>EXP(-LN(2)/2)*AW97+(1-EXP(-LN(2)/2))/(LN(2)/2)*AQ98*AT98*VLOOKUP('Données projet'!$B$10,Paramètres!$A$1:$I$89,3,0)*0.475*44/12</f>
        <v>29.492806404320746</v>
      </c>
      <c r="AX98" s="21">
        <f t="shared" si="60"/>
        <v>203.23717524973483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65.542890680992713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>
        <f>VLOOKUP(A98,'Données projet'!$A$87:$I$107,2,0)</f>
        <v>140.38461538461539</v>
      </c>
      <c r="BB98" s="12">
        <f>VLOOKUP(A98,'Données projet'!$A$87:$I$107,9,0)</f>
        <v>1.7948717948717956</v>
      </c>
      <c r="BC98" s="12">
        <f t="array" ref="BC98">INDEX(BB:BB,MIN(IF(ISNUMBER(BB98:BB294),ROW(BB98:BB294),"")))</f>
        <v>1.7948717948717956</v>
      </c>
      <c r="BD98" s="12">
        <f>IF('Données projet'!$A$88&gt;35,BD97+BC98-BL97,IF(A98&lt;'Données projet'!$A$88,$BA$205^A98,IF(A98='Données projet'!$A$88,'Données projet'!$B$88,BD97+BC98-BL97)))</f>
        <v>140.38461538461533</v>
      </c>
      <c r="BE98" s="13">
        <f>BD98*VLOOKUP('Données projet'!$B$11,Paramètres!$A$1:$I$89,3,0)*VLOOKUP('Données projet'!$B$11,Paramètres!$A$1:$I$89,5,0)</f>
        <v>122.63999999999997</v>
      </c>
      <c r="BF98" s="13">
        <f t="shared" si="91"/>
        <v>32.289953931572668</v>
      </c>
      <c r="BG98" s="20">
        <f t="shared" si="61"/>
        <v>269.83633643082231</v>
      </c>
      <c r="BH98" s="59">
        <f t="shared" si="62"/>
        <v>546.82693559446227</v>
      </c>
      <c r="BI98" s="59">
        <f ca="1">AVERAGE(OFFSET($BH$3,0,0,'Données projet'!$E$11+1,1))-AVERAGE(OFFSET($H$3,0,0,'Données projet'!$E$11+1,1))</f>
        <v>225.75484198243581</v>
      </c>
      <c r="BJ98" s="59">
        <f t="shared" si="92"/>
        <v>199.49566488421061</v>
      </c>
      <c r="BK98" s="15">
        <f>IF(ISNA(VLOOKUP(A98,'Données projet'!$A$87:$I$107,3,0)),0,VLOOKUP(A98,'Données projet'!$A$87:$I$107,3,0))</f>
        <v>16</v>
      </c>
      <c r="BL98" s="15">
        <f>IF(ISNA(VLOOKUP(A98,'Données projet'!$A$87:$I$107,4,0)),0,VLOOKUP(A98,'Données projet'!$A$87:$I$107,4,0))</f>
        <v>7.0512820512820511</v>
      </c>
      <c r="BM98" s="16">
        <f>IF(ISNA(VLOOKUP(A98,'Données projet'!$A$87:$I$107,5,0)),0%,VLOOKUP(A98,'Données projet'!$A$87:$I$107,5,0)*VLOOKUP('Données projet'!$B$11,Paramètres!$A$1:$I$89,7,0))</f>
        <v>4.3000000000000003E-2</v>
      </c>
      <c r="BN98" s="16">
        <f>IF(ISNA(VLOOKUP(A98,'Données projet'!$A$87:$I$107,6,0)),0%,VLOOKUP(A98,'Données projet'!$A$87:$I$107,6,0)*VLOOKUP('Données projet'!$B$11,Paramètres!$A$1:$I$89,7,0))</f>
        <v>0.215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1.6323942324652425</v>
      </c>
      <c r="BQ98" s="21">
        <f>EXP(-LN(2)/25)*BQ97+(1-EXP(-LN(2)/25))/(LN(2)/25)*Calculateur!BL98*Calculateur!BN98*VLOOKUP('Données projet'!$B$11,Paramètres!$A$1:$I$89,3,0)*0.475*44/12</f>
        <v>12.507959133361426</v>
      </c>
      <c r="BR98" s="21">
        <f>EXP(-LN(2)/2)*BR97+(1-EXP(-LN(2)/2))/(LN(2)/2)*BL98*BO98*VLOOKUP('Données projet'!$B$11,Paramètres!$A$1:$I$89,3,0)*0.475*44/12</f>
        <v>0</v>
      </c>
      <c r="BS98" s="22">
        <f t="shared" si="63"/>
        <v>14.14035336582667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65.542890680992713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>
        <f>VLOOKUP(A98,'Données projet'!$A$113:$I$133,2,0)</f>
        <v>279</v>
      </c>
      <c r="BW98" s="12">
        <f>VLOOKUP(A98,'Données projet'!$A$113:$I$133,9,0)</f>
        <v>5</v>
      </c>
      <c r="BX98" s="12">
        <f t="array" ref="BX98">INDEX(BW:BW,MIN(IF(ISNUMBER(BW98:BW294),ROW(BW98:BW294),"")))</f>
        <v>5</v>
      </c>
      <c r="BY98" s="12">
        <f>IF('Données projet'!$A$114&gt;35,BY97+BX98-CG97,IF(A98&lt;'Données projet'!$A$114,$BV$205^A98,IF(A98='Données projet'!$A$114,'Données projet'!$B$114,BY97+BX98-CG97)))</f>
        <v>278.99999999999983</v>
      </c>
      <c r="BZ98" s="13">
        <f>BY98*VLOOKUP('Données projet'!$B$12,Paramètres!$A$1:$I$89,3,0)*VLOOKUP('Données projet'!$B$12,Paramètres!$A$1:$I$89,5,0)</f>
        <v>265.49639999999982</v>
      </c>
      <c r="CA98" s="13">
        <f t="shared" si="93"/>
        <v>63.892558047989532</v>
      </c>
      <c r="CB98" s="20">
        <f t="shared" si="64"/>
        <v>573.68576860024802</v>
      </c>
      <c r="CC98" s="59">
        <f t="shared" si="65"/>
        <v>850.67636776388804</v>
      </c>
      <c r="CD98" s="59">
        <f ca="1">AVERAGE(OFFSET($CC$3,0,0,'Données projet'!$E$12+1,1))-AVERAGE(OFFSET($H$3,0,0,'Données projet'!$E$12+1,1))</f>
        <v>413.9352601863377</v>
      </c>
      <c r="CE98" s="59">
        <f t="shared" si="94"/>
        <v>255.13997349799286</v>
      </c>
      <c r="CF98" s="15">
        <f>IF(ISNA(VLOOKUP(A98,'Données projet'!$A$113:$I$133,3,0)),0,VLOOKUP(A98,'Données projet'!$A$113:$I$133,3,0))</f>
        <v>15</v>
      </c>
      <c r="CG98" s="15">
        <f>IF(ISNA(VLOOKUP(A98,'Données projet'!$A$113:$I$133,4,0)),0,VLOOKUP(A98,'Données projet'!$A$113:$I$133,4,0))</f>
        <v>21</v>
      </c>
      <c r="CH98" s="16">
        <f>IF(ISNA(VLOOKUP(A98,'Données projet'!$A$113:$I$133,5,0)),0%,VLOOKUP(A98,'Données projet'!$A$113:$I$133,5,0)*VLOOKUP('Données projet'!$B$12,Paramètres!$A$1:$I$89,7,0))</f>
        <v>0.1075</v>
      </c>
      <c r="CI98" s="16">
        <f>IF(ISNA(VLOOKUP(A98,'Données projet'!$A$113:$I$133,6,0)),0%,VLOOKUP(A98,'Données projet'!$A$113:$I$133,6,0)*VLOOKUP('Données projet'!$B$12,Paramètres!$A$1:$I$89,7,0))</f>
        <v>0.1075</v>
      </c>
      <c r="CJ98" s="16">
        <f>IF(ISNA(VLOOKUP(A98,'Données projet'!$A$113:$I$133,7,0)),0%,VLOOKUP(A98,'Données projet'!$A$113:$I$133,7,0))</f>
        <v>0.25</v>
      </c>
      <c r="CK98" s="21">
        <f>EXP(-LN(2)/35)*CK97+(1-EXP(-LN(2)/35))/(LN(2)/35)*CG98*CH98*VLOOKUP('Données projet'!$B$12,Paramètres!$A$1:$I$89,3,0)*0.475*44/12</f>
        <v>11.28395206637007</v>
      </c>
      <c r="CL98" s="21">
        <f>EXP(-LN(2)/25)*CL97+(1-EXP(-LN(2)/25))/(LN(2)/25)*Calculateur!CG98*Calculateur!CI98*VLOOKUP('Données projet'!$B$12,Paramètres!$A$1:$I$89,3,0)*0.475*44/12</f>
        <v>15.778833462987539</v>
      </c>
      <c r="CM98" s="21">
        <f>EXP(-LN(2)/2)*CM97+(1-EXP(-LN(2)/2))/(LN(2)/2)*CG98*CJ98*VLOOKUP('Données projet'!$B$12,Paramètres!$A$1:$I$89,3,0)*0.475*44/12</f>
        <v>5.7259872086364627</v>
      </c>
      <c r="CN98" s="22">
        <f t="shared" si="66"/>
        <v>32.788772737994073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65.542890680992713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2.8421709430404007E-14</v>
      </c>
      <c r="CU98" s="17">
        <f>CT98*VLOOKUP('Données projet'!$B$13,Paramètres!$A$1:$I$89,3,0)*VLOOKUP('Données projet'!$B$13,Paramètres!$A$1:$I$89,5,0)</f>
        <v>2.4829205358400945E-14</v>
      </c>
      <c r="CV98" s="13">
        <f t="shared" si="95"/>
        <v>4.3867331143352915E-13</v>
      </c>
      <c r="CW98" s="20">
        <f t="shared" si="67"/>
        <v>8.0726688341261168E-13</v>
      </c>
      <c r="CX98" s="59">
        <f t="shared" si="68"/>
        <v>276.99059916364075</v>
      </c>
      <c r="CY98" s="59">
        <f ca="1">AVERAGE(OFFSET($CX$3,0,0,'Données projet'!$E$13+1,1))-AVERAGE(OFFSET($H$3,0,0,'Données projet'!$E$13+1,1))</f>
        <v>280.59827778697775</v>
      </c>
      <c r="CZ98" s="59">
        <f t="shared" si="96"/>
        <v>270.86588231964726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>
        <f>EXP(-LN(2)/35)*DF97+(1-EXP(-LN(2)/35))/(LN(2)/35)*DB98*DC98*VLOOKUP('Données projet'!$B$13,Paramètres!$A$1:$I$89,3,0)*0.475*44/12</f>
        <v>24.508653241880982</v>
      </c>
      <c r="DG98" s="21">
        <f>EXP(-LN(2)/25)*DG97+(1-EXP(-LN(2)/25))/(LN(2)/25)*Calculateur!DB98*Calculateur!DD98*VLOOKUP('Données projet'!$B$13,Paramètres!$A$1:$I$89,3,0)*0.475*44/12</f>
        <v>24.078361294914284</v>
      </c>
      <c r="DH98" s="21">
        <f>EXP(-LN(2)/2)*DH97+(1-EXP(-LN(2)/2))/(LN(2)/2)*DB98*DE98*VLOOKUP('Données projet'!$B$13,Paramètres!$A$1:$I$89,3,0)*0.475*44/12</f>
        <v>0.25105849269442837</v>
      </c>
      <c r="DI98" s="22">
        <f t="shared" si="69"/>
        <v>48.838073029489692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65.542890680992713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>
        <f>VLOOKUP(A98,'Données projet'!$A$165:$I$185,2,0)</f>
        <v>170.5128205128205</v>
      </c>
      <c r="DM98" s="12">
        <f>VLOOKUP(A98,'Données projet'!$A$165:$I$185,9,0)</f>
        <v>3.4615384615384586</v>
      </c>
      <c r="DN98" s="12">
        <f t="array" ref="DN98">INDEX(DM:DM,MIN(IF(ISNUMBER(DM98:DM294),ROW(DM98:DM294),"")))</f>
        <v>3.4615384615384586</v>
      </c>
      <c r="DO98" s="12">
        <f>IF('Données projet'!$A$166&gt;35,DO97+DN98-DW97,IF(A98&lt;'Données projet'!$A$166,$DL$205^A98,IF(A98='Données projet'!$A$166,'Données projet'!$B$166,DO97+DN98-DW97)))</f>
        <v>170.51282051282055</v>
      </c>
      <c r="DP98" s="17">
        <f>DO98*VLOOKUP('Données projet'!$B$14,Paramètres!$A$1:$I$89,3,0)*VLOOKUP('Données projet'!$B$14,Paramètres!$A$1:$I$89,5,0)</f>
        <v>114.38000000000002</v>
      </c>
      <c r="DQ98" s="13">
        <f t="shared" si="97"/>
        <v>30.360589955174895</v>
      </c>
      <c r="DR98" s="20">
        <f t="shared" si="70"/>
        <v>252.08986083859631</v>
      </c>
      <c r="DS98" s="59">
        <f t="shared" si="71"/>
        <v>529.08046000223624</v>
      </c>
      <c r="DT98" s="59">
        <f ca="1">AVERAGE(OFFSET($DS$3,0,0,'Données projet'!$E$14+1,1))-AVERAGE(OFFSET($H$3,0,0,'Données projet'!$E$14+1,1))</f>
        <v>211.42385430331873</v>
      </c>
      <c r="DU98" s="59">
        <f t="shared" si="98"/>
        <v>146.84623106782686</v>
      </c>
      <c r="DV98" s="15">
        <f>IF(ISNA(VLOOKUP(A98,'Données projet'!$A$165:$I$185,3,0)),0,VLOOKUP(A98,'Données projet'!$A$165:$I$185,3,0))</f>
        <v>16</v>
      </c>
      <c r="DW98" s="15">
        <f>IF(ISNA(VLOOKUP(A98,'Données projet'!$A$165:$I$185,4,0)),0,VLOOKUP(A98,'Données projet'!$A$165:$I$185,4,0))</f>
        <v>12.179487179487179</v>
      </c>
      <c r="DX98" s="16">
        <f>IF(ISNA(VLOOKUP(A98,'Données projet'!$A$165:$I$185,5,0)),0%,VLOOKUP(A98,'Données projet'!$A$165:$I$185,5,0)*VLOOKUP('Données projet'!$B$14,Paramètres!$A$1:$I$89,7,0))</f>
        <v>0.13250000000000001</v>
      </c>
      <c r="DY98" s="16">
        <f>IF(ISNA(VLOOKUP(A98,'Données projet'!$A$165:$I$185,6,0)),0%,VLOOKUP(A98,'Données projet'!$A$165:$I$185,6,0)*VLOOKUP('Données projet'!$B$14,Paramètres!$A$1:$I$89,7,0))</f>
        <v>0.13250000000000001</v>
      </c>
      <c r="DZ98" s="16">
        <f>IF(ISNA(VLOOKUP(A98,'Données projet'!$A$165:$I$185,7,0)),0%,VLOOKUP(A98,'Données projet'!$A$165:$I$185,7,0))</f>
        <v>0.25</v>
      </c>
      <c r="EA98" s="21">
        <f>EXP(-LN(2)/35)*EA97+(1-EXP(-LN(2)/35))/(LN(2)/35)*DW98*DX98*VLOOKUP('Données projet'!$B$14,Paramètres!$A$1:$I$89,3,0)*0.475*44/12</f>
        <v>5.2862002339341378</v>
      </c>
      <c r="EB98" s="21">
        <f>EXP(-LN(2)/25)*EB97+(1-EXP(-LN(2)/25))/(LN(2)/25)*Calculateur!DW98*Calculateur!DY98*VLOOKUP('Données projet'!$B$14,Paramètres!$A$1:$I$89,3,0)*0.475*44/12</f>
        <v>8.7881889846065881</v>
      </c>
      <c r="EC98" s="21">
        <f>EXP(-LN(2)/2)*EC97+(1-EXP(-LN(2)/2))/(LN(2)/2)*DW98*DZ98*VLOOKUP('Données projet'!$B$14,Paramètres!$A$1:$I$89,3,0)*0.475*44/12</f>
        <v>2.363566958175555</v>
      </c>
      <c r="ED98" s="22">
        <f t="shared" si="72"/>
        <v>16.437956176716281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65.542890680992713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>
        <f>VLOOKUP(A98,'Données projet'!$A$191:$I$211,2,0)</f>
        <v>105.12820512820512</v>
      </c>
      <c r="EH98" s="12">
        <f>VLOOKUP(A98,'Données projet'!$A$191:$I$211,9,0)</f>
        <v>1.7948717948717956</v>
      </c>
      <c r="EI98" s="12">
        <f t="array" ref="EI98">INDEX(EH:EH,MIN(IF(ISNUMBER(EH98:EH294),ROW(EH98:EH294),"")))</f>
        <v>1.7948717948717956</v>
      </c>
      <c r="EJ98" s="12">
        <f>IF('Données projet'!$A$192&gt;35,EJ97+EI98-ER97,IF(A98&lt;'Données projet'!$A$192,$EG$205^A98,IF(A98='Données projet'!$A$192,'Données projet'!$B$192,EJ97+EI98-ER97)))</f>
        <v>105.12820512820511</v>
      </c>
      <c r="EK98" s="17">
        <f>EJ98*VLOOKUP('Données projet'!$B$15,Paramètres!$A$1:$I$89,3,0)*VLOOKUP('Données projet'!$B$15,Paramètres!$A$1:$I$89,5,0)</f>
        <v>113.15999999999997</v>
      </c>
      <c r="EL98" s="13">
        <f t="shared" si="99"/>
        <v>30.074273543773817</v>
      </c>
      <c r="EM98" s="20">
        <f t="shared" si="73"/>
        <v>249.46635975540599</v>
      </c>
      <c r="EN98" s="59">
        <f t="shared" si="74"/>
        <v>526.45695891904597</v>
      </c>
      <c r="EO98" s="59">
        <f ca="1">AVERAGE(OFFSET($EN$3,0,0,'Données projet'!$E$15+1,1))-AVERAGE(OFFSET($H$3,0,0,'Données projet'!$E$15+1,1))</f>
        <v>212.00478362779876</v>
      </c>
      <c r="EP98" s="59">
        <f t="shared" si="100"/>
        <v>133.62262474506707</v>
      </c>
      <c r="EQ98" s="15">
        <f>IF(ISNA(VLOOKUP(A98,'Données projet'!$A$191:$I$211,3,0)),0,VLOOKUP(A98,'Données projet'!$A$191:$I$211,3,0))</f>
        <v>15</v>
      </c>
      <c r="ER98" s="15">
        <f>IF(ISNA(VLOOKUP(A98,'Données projet'!$A$191:$I$211,4,0)),0,VLOOKUP(A98,'Données projet'!$A$191:$I$211,4,0))</f>
        <v>5.7692307692307692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0.1075</v>
      </c>
      <c r="EU98" s="16">
        <f>IF(ISNA(VLOOKUP(A98,'Données projet'!$A$191:$I$211,7,0)),0%,VLOOKUP(A98,'Données projet'!$A$191:$I$211,7,0))</f>
        <v>0.25</v>
      </c>
      <c r="EV98" s="21">
        <f>EXP(-LN(2)/35)*EV97+(1-EXP(-LN(2)/35))/(LN(2)/35)*ER98*ES98*VLOOKUP('Données projet'!$B$15,Paramètres!$A$1:$I$89,3,0)*0.475*44/12</f>
        <v>0</v>
      </c>
      <c r="EW98" s="21">
        <f>EXP(-LN(2)/25)*EW97+(1-EXP(-LN(2)/25))/(LN(2)/25)*Calculateur!ER98*Calculateur!ET98*VLOOKUP('Données projet'!$B$15,Paramètres!$A$1:$I$89,3,0)*0.475*44/12</f>
        <v>5.1598626507120029</v>
      </c>
      <c r="EX98" s="21">
        <f>EXP(-LN(2)/2)*EX97+(1-EXP(-LN(2)/2))/(LN(2)/2)*ER98*EU98*VLOOKUP('Données projet'!$B$15,Paramètres!$A$1:$I$89,3,0)*0.475*44/12</f>
        <v>1.7795711873287126</v>
      </c>
      <c r="EY98" s="22">
        <f t="shared" si="75"/>
        <v>6.9394338380407152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65.542890680992713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>
        <f>VLOOKUP(A98,'Données projet'!$A$217:$I$237,2,0)</f>
        <v>105.12820512820512</v>
      </c>
      <c r="FC98" s="12">
        <f>VLOOKUP(A98,'Données projet'!$A$217:$I$237,9,0)</f>
        <v>1.7948717948717956</v>
      </c>
      <c r="FD98" s="12">
        <f t="array" ref="FD98">INDEX(FC:FC,MIN(IF(ISNUMBER(FC98:FC294),ROW(FC98:FC294),"")))</f>
        <v>1.7948717948717956</v>
      </c>
      <c r="FE98" s="12">
        <f>IF('Données projet'!$A$218&gt;35,FE97+FD98-FM97,IF(A98&lt;'Données projet'!$A$218,$FB$205^A98,IF(A98='Données projet'!$A$218,'Données projet'!$B$218,FE97+FD98-FM97)))</f>
        <v>105.12820512820511</v>
      </c>
      <c r="FF98" s="17">
        <f>FE98*VLOOKUP('Données projet'!$B$16,Paramètres!$A$1:$I$89,3,0)*VLOOKUP('Données projet'!$B$16,Paramètres!$A$1:$I$89,5,0)</f>
        <v>101.67999999999999</v>
      </c>
      <c r="FG98" s="13">
        <f t="shared" si="101"/>
        <v>27.361845471196556</v>
      </c>
      <c r="FH98" s="20">
        <f t="shared" si="76"/>
        <v>224.747880862334</v>
      </c>
      <c r="FI98" s="59">
        <f t="shared" si="77"/>
        <v>501.73848002597396</v>
      </c>
      <c r="FJ98" s="59">
        <f ca="1">AVERAGE(OFFSET($FI$3,0,0,'Données projet'!$E$16+1,1))-AVERAGE(OFFSET($H$3,0,0,'Données projet'!$E$16+1,1))</f>
        <v>196.65742339093146</v>
      </c>
      <c r="FK98" s="59">
        <f t="shared" si="102"/>
        <v>125.41980634506001</v>
      </c>
      <c r="FL98" s="15">
        <f>IF(ISNA(VLOOKUP(A98,'Données projet'!$A$217:$I$237,3,0)),0,VLOOKUP(A98,'Données projet'!$A$217:$I$237,3,0))</f>
        <v>15</v>
      </c>
      <c r="FM98" s="15">
        <f>IF(ISNA(VLOOKUP(A98,'Données projet'!$A$217:$I$237,4,0)),0,VLOOKUP(A98,'Données projet'!$A$217:$I$237,4,0))</f>
        <v>5.7692307692307692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0.1075</v>
      </c>
      <c r="FP98" s="16">
        <f>IF(ISNA(VLOOKUP(A98,'Données projet'!$A$217:$I$237,7,0)),0%,VLOOKUP(A98,'Données projet'!$A$217:$I$237,7,0))</f>
        <v>0.25</v>
      </c>
      <c r="FQ98" s="21">
        <f>EXP(-LN(2)/35)*FQ97+(1-EXP(-LN(2)/35))/(LN(2)/35)*FM98*FN98*VLOOKUP('Données projet'!$B$16,Paramètres!$A$1:$I$89,3,0)*0.475*44/12</f>
        <v>0</v>
      </c>
      <c r="FR98" s="21">
        <f>EXP(-LN(2)/25)*FR97+(1-EXP(-LN(2)/25))/(LN(2)/25)*Calculateur!FM98*Calculateur!FO98*VLOOKUP('Données projet'!$B$16,Paramètres!$A$1:$I$89,3,0)*0.475*44/12</f>
        <v>4.6363983238281774</v>
      </c>
      <c r="FS98" s="21">
        <f>EXP(-LN(2)/2)*FS97+(1-EXP(-LN(2)/2))/(LN(2)/2)*FM98*FP98*VLOOKUP('Données projet'!$B$16,Paramètres!$A$1:$I$89,3,0)*0.475*44/12</f>
        <v>1.5990349799185535</v>
      </c>
      <c r="FT98" s="22">
        <f t="shared" si="78"/>
        <v>6.2354333037467313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65.542890680992713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65.542890680992713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>
      <c r="A99" s="10">
        <f t="shared" si="85"/>
        <v>96</v>
      </c>
      <c r="B99" s="73">
        <f>'Scénario référence'!$B$16*5+'Scénario référence'!$B$17*0+'Scénario référence'!$B$18*5</f>
        <v>4.6999999999999993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5.121792000000001</v>
      </c>
      <c r="D99" s="11">
        <f t="shared" si="86"/>
        <v>1.9516291166809476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19.475444166322404</v>
      </c>
      <c r="H99" s="67">
        <f t="shared" si="56"/>
        <v>200.05287511155268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65.620211563073866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-2.2737367544323206E-13</v>
      </c>
      <c r="O99" s="13">
        <f>N99*VLOOKUP('Données projet'!$B$9,Paramètres!$A$1:$I$89,3,0)*VLOOKUP('Données projet'!$B$9,Paramètres!$A$1:$I$89,5,0)</f>
        <v>-1.3596945791505279E-13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366.93249569585623</v>
      </c>
      <c r="T99" s="59">
        <f t="shared" si="88"/>
        <v>272.47262353368501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111.64422856227677</v>
      </c>
      <c r="AA99" s="21">
        <f>EXP(-LN(2)/25)*AA98+(1-EXP(-LN(2)/25))/(LN(2)/25)*Calculateur!V99*Calculateur!X99*VLOOKUP('Données projet'!$B$9,Paramètres!$A$1:$I$89,3,0)*0.475*44/12</f>
        <v>33.20503403840825</v>
      </c>
      <c r="AB99" s="21">
        <f>EXP(-LN(2)/2)*AB98+(1-EXP(-LN(2)/2))/(LN(2)/2)*V99*Y99*VLOOKUP('Données projet'!$B$9,Paramètres!$A$1:$I$89,3,0)*0.475*44/12</f>
        <v>0.27623688594222151</v>
      </c>
      <c r="AC99" s="22">
        <f t="shared" si="57"/>
        <v>145.12549948662723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65.620211563073866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8.8549999999999951</v>
      </c>
      <c r="AI99" s="13">
        <f>IF('Données projet'!$A$62&gt;35,AI98+AH99-AQ98,IF(A99&lt;'Données projet'!$A$62,$AF$205^A99,IF(A99='Données projet'!$A$62,'Données projet'!$B$62,AI98+AH99-AQ98)))</f>
        <v>281.76499999999993</v>
      </c>
      <c r="AJ99" s="13">
        <f>AI99*VLOOKUP('Données projet'!$B$10,Paramètres!$A$1:$I$89,3,0)*VLOOKUP('Données projet'!$B$10,Paramètres!$A$1:$I$89,5,0)</f>
        <v>131.86601999999996</v>
      </c>
      <c r="AK99" s="13">
        <f t="shared" si="89"/>
        <v>34.427183465261571</v>
      </c>
      <c r="AL99" s="20">
        <f t="shared" si="58"/>
        <v>289.62732936866382</v>
      </c>
      <c r="AM99" s="59">
        <f t="shared" si="59"/>
        <v>566.90143843326791</v>
      </c>
      <c r="AN99" s="59">
        <f ca="1">AVERAGE(OFFSET($AM$3,0,0,'Données projet'!$E$10+1,1))-AVERAGE(OFFSET($H$3,0,0,'Données projet'!$E$10+1,1))</f>
        <v>382.89338473200229</v>
      </c>
      <c r="AO99" s="59">
        <f t="shared" si="90"/>
        <v>360.46248248971744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131.69832760804536</v>
      </c>
      <c r="AV99" s="21">
        <f>EXP(-LN(2)/25)*AV98+(1-EXP(-LN(2)/25))/(LN(2)/25)*Calculateur!AQ99*Calculateur!AS99*VLOOKUP('Données projet'!$B$10,Paramètres!$A$1:$I$89,3,0)*0.475*44/12</f>
        <v>38.334143268274417</v>
      </c>
      <c r="AW99" s="21">
        <f>EXP(-LN(2)/2)*AW98+(1-EXP(-LN(2)/2))/(LN(2)/2)*AQ99*AT99*VLOOKUP('Données projet'!$B$10,Paramètres!$A$1:$I$89,3,0)*0.475*44/12</f>
        <v>20.85456340471724</v>
      </c>
      <c r="AX99" s="21">
        <f t="shared" si="60"/>
        <v>190.88703428103702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65.620211563073866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1.9230769230769227</v>
      </c>
      <c r="BD99" s="12">
        <f>IF('Données projet'!$A$88&gt;35,BD98+BC99-BL98,IF(A99&lt;'Données projet'!$A$88,$BA$205^A99,IF(A99='Données projet'!$A$88,'Données projet'!$B$88,BD98+BC99-BL98)))</f>
        <v>135.25641025641022</v>
      </c>
      <c r="BE99" s="13">
        <f>BD99*VLOOKUP('Données projet'!$B$11,Paramètres!$A$1:$I$89,3,0)*VLOOKUP('Données projet'!$B$11,Paramètres!$A$1:$I$89,5,0)</f>
        <v>118.16</v>
      </c>
      <c r="BF99" s="13">
        <f t="shared" si="91"/>
        <v>31.245464333923813</v>
      </c>
      <c r="BG99" s="20">
        <f t="shared" si="61"/>
        <v>260.21451704825063</v>
      </c>
      <c r="BH99" s="59">
        <f t="shared" si="62"/>
        <v>537.48862611285472</v>
      </c>
      <c r="BI99" s="59">
        <f ca="1">AVERAGE(OFFSET($BH$3,0,0,'Données projet'!$E$11+1,1))-AVERAGE(OFFSET($H$3,0,0,'Données projet'!$E$11+1,1))</f>
        <v>225.75484198243581</v>
      </c>
      <c r="BJ99" s="59">
        <f t="shared" si="92"/>
        <v>199.49566488421061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1.6003839772287674</v>
      </c>
      <c r="BQ99" s="21">
        <f>EXP(-LN(2)/25)*BQ98+(1-EXP(-LN(2)/25))/(LN(2)/25)*Calculateur!BL99*Calculateur!BN99*VLOOKUP('Données projet'!$B$11,Paramètres!$A$1:$I$89,3,0)*0.475*44/12</f>
        <v>12.165928333094675</v>
      </c>
      <c r="BR99" s="21">
        <f>EXP(-LN(2)/2)*BR98+(1-EXP(-LN(2)/2))/(LN(2)/2)*BL99*BO99*VLOOKUP('Données projet'!$B$11,Paramètres!$A$1:$I$89,3,0)*0.475*44/12</f>
        <v>0</v>
      </c>
      <c r="BS99" s="22">
        <f t="shared" si="63"/>
        <v>13.766312310323443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65.620211563073866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4.8</v>
      </c>
      <c r="BY99" s="12">
        <f>IF('Données projet'!$A$114&gt;35,BY98+BX99-CG98,IF(A99&lt;'Données projet'!$A$114,$BV$205^A99,IF(A99='Données projet'!$A$114,'Données projet'!$B$114,BY98+BX99-CG98)))</f>
        <v>262.79999999999984</v>
      </c>
      <c r="BZ99" s="13">
        <f>BY99*VLOOKUP('Données projet'!$B$12,Paramètres!$A$1:$I$89,3,0)*VLOOKUP('Données projet'!$B$12,Paramètres!$A$1:$I$89,5,0)</f>
        <v>250.08047999999985</v>
      </c>
      <c r="CA99" s="13">
        <f t="shared" si="93"/>
        <v>60.603174110223023</v>
      </c>
      <c r="CB99" s="20">
        <f t="shared" si="64"/>
        <v>541.10736424197137</v>
      </c>
      <c r="CC99" s="59">
        <f t="shared" si="65"/>
        <v>818.38147330657557</v>
      </c>
      <c r="CD99" s="59">
        <f ca="1">AVERAGE(OFFSET($CC$3,0,0,'Données projet'!$E$12+1,1))-AVERAGE(OFFSET($H$3,0,0,'Données projet'!$E$12+1,1))</f>
        <v>413.9352601863377</v>
      </c>
      <c r="CE99" s="59">
        <f t="shared" si="94"/>
        <v>255.13997349799286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11.06268064887972</v>
      </c>
      <c r="CL99" s="21">
        <f>EXP(-LN(2)/25)*CL98+(1-EXP(-LN(2)/25))/(LN(2)/25)*Calculateur!CG99*Calculateur!CI99*VLOOKUP('Données projet'!$B$12,Paramètres!$A$1:$I$89,3,0)*0.475*44/12</f>
        <v>15.347360432169356</v>
      </c>
      <c r="CM99" s="21">
        <f>EXP(-LN(2)/2)*CM98+(1-EXP(-LN(2)/2))/(LN(2)/2)*CG99*CJ99*VLOOKUP('Données projet'!$B$12,Paramètres!$A$1:$I$89,3,0)*0.475*44/12</f>
        <v>4.0488843842142739</v>
      </c>
      <c r="CN99" s="22">
        <f t="shared" si="66"/>
        <v>30.458925465263349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65.620211563073866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2.8421709430404007E-14</v>
      </c>
      <c r="CU99" s="17">
        <f>CT99*VLOOKUP('Données projet'!$B$13,Paramètres!$A$1:$I$89,3,0)*VLOOKUP('Données projet'!$B$13,Paramètres!$A$1:$I$89,5,0)</f>
        <v>2.4829205358400945E-14</v>
      </c>
      <c r="CV99" s="13">
        <f t="shared" si="95"/>
        <v>4.3867331143352915E-13</v>
      </c>
      <c r="CW99" s="20">
        <f t="shared" si="67"/>
        <v>8.0726688341261168E-13</v>
      </c>
      <c r="CX99" s="59">
        <f t="shared" si="68"/>
        <v>277.27410906460494</v>
      </c>
      <c r="CY99" s="59">
        <f ca="1">AVERAGE(OFFSET($CX$3,0,0,'Données projet'!$E$13+1,1))-AVERAGE(OFFSET($H$3,0,0,'Données projet'!$E$13+1,1))</f>
        <v>280.59827778697775</v>
      </c>
      <c r="CZ99" s="59">
        <f t="shared" si="96"/>
        <v>270.86588231964726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>
        <f>EXP(-LN(2)/35)*DF98+(1-EXP(-LN(2)/35))/(LN(2)/35)*DB99*DC99*VLOOKUP('Données projet'!$B$13,Paramètres!$A$1:$I$89,3,0)*0.475*44/12</f>
        <v>24.028053500610103</v>
      </c>
      <c r="DG99" s="21">
        <f>EXP(-LN(2)/25)*DG98+(1-EXP(-LN(2)/25))/(LN(2)/25)*Calculateur!DB99*Calculateur!DD99*VLOOKUP('Données projet'!$B$13,Paramètres!$A$1:$I$89,3,0)*0.475*44/12</f>
        <v>23.419937239078866</v>
      </c>
      <c r="DH99" s="21">
        <f>EXP(-LN(2)/2)*DH98+(1-EXP(-LN(2)/2))/(LN(2)/2)*DB99*DE99*VLOOKUP('Données projet'!$B$13,Paramètres!$A$1:$I$89,3,0)*0.475*44/12</f>
        <v>0.17752516265870361</v>
      </c>
      <c r="DI99" s="22">
        <f t="shared" si="69"/>
        <v>47.625515902347672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65.620211563073866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3.0769230769230829</v>
      </c>
      <c r="DO99" s="12">
        <f>IF('Données projet'!$A$166&gt;35,DO98+DN99-DW98,IF(A99&lt;'Données projet'!$A$166,$DL$205^A99,IF(A99='Données projet'!$A$166,'Données projet'!$B$166,DO98+DN99-DW98)))</f>
        <v>161.41025641025647</v>
      </c>
      <c r="DP99" s="17">
        <f>DO99*VLOOKUP('Données projet'!$B$14,Paramètres!$A$1:$I$89,3,0)*VLOOKUP('Données projet'!$B$14,Paramètres!$A$1:$I$89,5,0)</f>
        <v>108.27400000000004</v>
      </c>
      <c r="DQ99" s="13">
        <f t="shared" si="97"/>
        <v>28.923951958139686</v>
      </c>
      <c r="DR99" s="20">
        <f t="shared" si="70"/>
        <v>238.95309966042669</v>
      </c>
      <c r="DS99" s="59">
        <f t="shared" si="71"/>
        <v>516.22720872503078</v>
      </c>
      <c r="DT99" s="59">
        <f ca="1">AVERAGE(OFFSET($DS$3,0,0,'Données projet'!$E$14+1,1))-AVERAGE(OFFSET($H$3,0,0,'Données projet'!$E$14+1,1))</f>
        <v>211.42385430331873</v>
      </c>
      <c r="DU99" s="59">
        <f t="shared" si="98"/>
        <v>146.84623106782686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>
        <f>EXP(-LN(2)/35)*EA98+(1-EXP(-LN(2)/35))/(LN(2)/35)*DW99*DX99*VLOOKUP('Données projet'!$B$14,Paramètres!$A$1:$I$89,3,0)*0.475*44/12</f>
        <v>5.1825410716104621</v>
      </c>
      <c r="EB99" s="21">
        <f>EXP(-LN(2)/25)*EB98+(1-EXP(-LN(2)/25))/(LN(2)/25)*Calculateur!DW99*Calculateur!DY99*VLOOKUP('Données projet'!$B$14,Paramètres!$A$1:$I$89,3,0)*0.475*44/12</f>
        <v>8.5478754946717483</v>
      </c>
      <c r="EC99" s="21">
        <f>EXP(-LN(2)/2)*EC98+(1-EXP(-LN(2)/2))/(LN(2)/2)*DW99*DZ99*VLOOKUP('Données projet'!$B$14,Paramètres!$A$1:$I$89,3,0)*0.475*44/12</f>
        <v>1.671294223914396</v>
      </c>
      <c r="ED99" s="22">
        <f t="shared" si="72"/>
        <v>15.401710790196606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65.620211563073866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1.9230769230769256</v>
      </c>
      <c r="EJ99" s="12">
        <f>IF('Données projet'!$A$192&gt;35,EJ98+EI99-ER98,IF(A99&lt;'Données projet'!$A$192,$EG$205^A99,IF(A99='Données projet'!$A$192,'Données projet'!$B$192,EJ98+EI99-ER98)))</f>
        <v>101.28205128205126</v>
      </c>
      <c r="EK99" s="17">
        <f>EJ99*VLOOKUP('Données projet'!$B$15,Paramètres!$A$1:$I$89,3,0)*VLOOKUP('Données projet'!$B$15,Paramètres!$A$1:$I$89,5,0)</f>
        <v>109.01999999999997</v>
      </c>
      <c r="EL99" s="13">
        <f t="shared" si="99"/>
        <v>29.09996880854855</v>
      </c>
      <c r="EM99" s="20">
        <f t="shared" si="73"/>
        <v>240.55894567488869</v>
      </c>
      <c r="EN99" s="59">
        <f t="shared" si="74"/>
        <v>517.83305473949281</v>
      </c>
      <c r="EO99" s="59">
        <f ca="1">AVERAGE(OFFSET($EN$3,0,0,'Données projet'!$E$15+1,1))-AVERAGE(OFFSET($H$3,0,0,'Données projet'!$E$15+1,1))</f>
        <v>212.00478362779876</v>
      </c>
      <c r="EP99" s="59">
        <f t="shared" si="100"/>
        <v>133.62262474506707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>
        <f>EXP(-LN(2)/35)*EV98+(1-EXP(-LN(2)/35))/(LN(2)/35)*ER99*ES99*VLOOKUP('Données projet'!$B$15,Paramètres!$A$1:$I$89,3,0)*0.475*44/12</f>
        <v>0</v>
      </c>
      <c r="EW99" s="21">
        <f>EXP(-LN(2)/25)*EW98+(1-EXP(-LN(2)/25))/(LN(2)/25)*Calculateur!ER99*Calculateur!ET99*VLOOKUP('Données projet'!$B$15,Paramètres!$A$1:$I$89,3,0)*0.475*44/12</f>
        <v>5.0187659351828993</v>
      </c>
      <c r="EX99" s="21">
        <f>EXP(-LN(2)/2)*EX98+(1-EXP(-LN(2)/2))/(LN(2)/2)*ER99*EU99*VLOOKUP('Données projet'!$B$15,Paramètres!$A$1:$I$89,3,0)*0.475*44/12</f>
        <v>1.2583468541643286</v>
      </c>
      <c r="EY99" s="22">
        <f t="shared" si="75"/>
        <v>6.2771127893472283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65.620211563073866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1.9230769230769256</v>
      </c>
      <c r="FE99" s="12">
        <f>IF('Données projet'!$A$218&gt;35,FE98+FD99-FM98,IF(A99&lt;'Données projet'!$A$218,$FB$205^A99,IF(A99='Données projet'!$A$218,'Données projet'!$B$218,FE98+FD99-FM98)))</f>
        <v>101.28205128205126</v>
      </c>
      <c r="FF99" s="17">
        <f>FE99*VLOOKUP('Données projet'!$B$16,Paramètres!$A$1:$I$89,3,0)*VLOOKUP('Données projet'!$B$16,Paramètres!$A$1:$I$89,5,0)</f>
        <v>97.95999999999998</v>
      </c>
      <c r="FG99" s="13">
        <f t="shared" si="101"/>
        <v>26.475414230611928</v>
      </c>
      <c r="FH99" s="20">
        <f t="shared" si="76"/>
        <v>216.72501311831573</v>
      </c>
      <c r="FI99" s="59">
        <f t="shared" si="77"/>
        <v>493.9991221829199</v>
      </c>
      <c r="FJ99" s="59">
        <f ca="1">AVERAGE(OFFSET($FI$3,0,0,'Données projet'!$E$16+1,1))-AVERAGE(OFFSET($H$3,0,0,'Données projet'!$E$16+1,1))</f>
        <v>196.65742339093146</v>
      </c>
      <c r="FK99" s="59">
        <f t="shared" si="102"/>
        <v>125.41980634506001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>
        <f>EXP(-LN(2)/35)*FQ98+(1-EXP(-LN(2)/35))/(LN(2)/35)*FM99*FN99*VLOOKUP('Données projet'!$B$16,Paramètres!$A$1:$I$89,3,0)*0.475*44/12</f>
        <v>0</v>
      </c>
      <c r="FR99" s="21">
        <f>EXP(-LN(2)/25)*FR98+(1-EXP(-LN(2)/25))/(LN(2)/25)*Calculateur!FM99*Calculateur!FO99*VLOOKUP('Données projet'!$B$16,Paramètres!$A$1:$I$89,3,0)*0.475*44/12</f>
        <v>4.5096157678455047</v>
      </c>
      <c r="FS99" s="21">
        <f>EXP(-LN(2)/2)*FS98+(1-EXP(-LN(2)/2))/(LN(2)/2)*FM99*FP99*VLOOKUP('Données projet'!$B$16,Paramètres!$A$1:$I$89,3,0)*0.475*44/12</f>
        <v>1.130688477654904</v>
      </c>
      <c r="FT99" s="22">
        <f t="shared" si="78"/>
        <v>5.6403042455004089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65.620211563073866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65.620211563073866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>
      <c r="A100" s="10">
        <f t="shared" si="85"/>
        <v>97</v>
      </c>
      <c r="B100" s="73">
        <f>'Scénario référence'!$B$16*5+'Scénario référence'!$B$17*0+'Scénario référence'!$B$18*5</f>
        <v>4.6999999999999993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5.1751440000000013</v>
      </c>
      <c r="D100" s="11">
        <f t="shared" si="86"/>
        <v>1.9695813881843629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19.508469302597668</v>
      </c>
      <c r="H100" s="67">
        <f t="shared" si="56"/>
        <v>200.1770633844211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65.696191100714501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-2.2737367544323206E-13</v>
      </c>
      <c r="O100" s="13">
        <f>N100*VLOOKUP('Données projet'!$B$9,Paramètres!$A$1:$I$89,3,0)*VLOOKUP('Données projet'!$B$9,Paramètres!$A$1:$I$89,5,0)</f>
        <v>-1.3596945791505279E-13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366.93249569585623</v>
      </c>
      <c r="T100" s="59">
        <f t="shared" si="88"/>
        <v>272.47262353368501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109.454953336426</v>
      </c>
      <c r="AA100" s="21">
        <f>EXP(-LN(2)/25)*AA99+(1-EXP(-LN(2)/25))/(LN(2)/25)*Calculateur!V100*Calculateur!X100*VLOOKUP('Données projet'!$B$9,Paramètres!$A$1:$I$89,3,0)*0.475*44/12</f>
        <v>32.297040636451129</v>
      </c>
      <c r="AB100" s="21">
        <f>EXP(-LN(2)/2)*AB99+(1-EXP(-LN(2)/2))/(LN(2)/2)*V100*Y100*VLOOKUP('Données projet'!$B$9,Paramètres!$A$1:$I$89,3,0)*0.475*44/12</f>
        <v>0.19532897526359971</v>
      </c>
      <c r="AC100" s="22">
        <f t="shared" si="57"/>
        <v>141.94732294814074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65.696191100714501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8.8549999999999951</v>
      </c>
      <c r="AI100" s="13">
        <f>IF('Données projet'!$A$62&gt;35,AI99+AH100-AQ99,IF(A100&lt;'Données projet'!$A$62,$AF$205^A100,IF(A100='Données projet'!$A$62,'Données projet'!$B$62,AI99+AH100-AQ99)))</f>
        <v>290.61999999999995</v>
      </c>
      <c r="AJ100" s="13">
        <f>AI100*VLOOKUP('Données projet'!$B$10,Paramètres!$A$1:$I$89,3,0)*VLOOKUP('Données projet'!$B$10,Paramètres!$A$1:$I$89,5,0)</f>
        <v>136.01015999999998</v>
      </c>
      <c r="AK100" s="13">
        <f t="shared" si="89"/>
        <v>35.381456835345901</v>
      </c>
      <c r="AL100" s="20">
        <f t="shared" si="58"/>
        <v>298.50706598822734</v>
      </c>
      <c r="AM100" s="59">
        <f t="shared" si="59"/>
        <v>576.05976669084714</v>
      </c>
      <c r="AN100" s="59">
        <f ca="1">AVERAGE(OFFSET($AM$3,0,0,'Données projet'!$E$10+1,1))-AVERAGE(OFFSET($H$3,0,0,'Données projet'!$E$10+1,1))</f>
        <v>382.89338473200229</v>
      </c>
      <c r="AO100" s="59">
        <f t="shared" si="90"/>
        <v>360.46248248971744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129.11580373169969</v>
      </c>
      <c r="AV100" s="21">
        <f>EXP(-LN(2)/25)*AV99+(1-EXP(-LN(2)/25))/(LN(2)/25)*Calculateur!AQ100*Calculateur!AS100*VLOOKUP('Données projet'!$B$10,Paramètres!$A$1:$I$89,3,0)*0.475*44/12</f>
        <v>37.285894104698471</v>
      </c>
      <c r="AW100" s="21">
        <f>EXP(-LN(2)/2)*AW99+(1-EXP(-LN(2)/2))/(LN(2)/2)*AQ100*AT100*VLOOKUP('Données projet'!$B$10,Paramètres!$A$1:$I$89,3,0)*0.475*44/12</f>
        <v>14.746403202160376</v>
      </c>
      <c r="AX100" s="21">
        <f t="shared" si="60"/>
        <v>181.14810103855854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65.696191100714501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1.9230769230769227</v>
      </c>
      <c r="BD100" s="12">
        <f>IF('Données projet'!$A$88&gt;35,BD99+BC100-BL99,IF(A100&lt;'Données projet'!$A$88,$BA$205^A100,IF(A100='Données projet'!$A$88,'Données projet'!$B$88,BD99+BC100-BL99)))</f>
        <v>137.17948717948715</v>
      </c>
      <c r="BE100" s="13">
        <f>BD100*VLOOKUP('Données projet'!$B$11,Paramètres!$A$1:$I$89,3,0)*VLOOKUP('Données projet'!$B$11,Paramètres!$A$1:$I$89,5,0)</f>
        <v>119.84</v>
      </c>
      <c r="BF100" s="13">
        <f t="shared" si="91"/>
        <v>31.637679024355371</v>
      </c>
      <c r="BG100" s="20">
        <f t="shared" si="61"/>
        <v>263.82362430075233</v>
      </c>
      <c r="BH100" s="59">
        <f t="shared" si="62"/>
        <v>541.37632500337213</v>
      </c>
      <c r="BI100" s="59">
        <f ca="1">AVERAGE(OFFSET($BH$3,0,0,'Données projet'!$E$11+1,1))-AVERAGE(OFFSET($H$3,0,0,'Données projet'!$E$11+1,1))</f>
        <v>225.75484198243581</v>
      </c>
      <c r="BJ100" s="59">
        <f t="shared" si="92"/>
        <v>199.49566488421061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1.5690014235731518</v>
      </c>
      <c r="BQ100" s="21">
        <f>EXP(-LN(2)/25)*BQ99+(1-EXP(-LN(2)/25))/(LN(2)/25)*Calculateur!BL100*Calculateur!BN100*VLOOKUP('Données projet'!$B$11,Paramètres!$A$1:$I$89,3,0)*0.475*44/12</f>
        <v>11.833250383047835</v>
      </c>
      <c r="BR100" s="21">
        <f>EXP(-LN(2)/2)*BR99+(1-EXP(-LN(2)/2))/(LN(2)/2)*BL100*BO100*VLOOKUP('Données projet'!$B$11,Paramètres!$A$1:$I$89,3,0)*0.475*44/12</f>
        <v>0</v>
      </c>
      <c r="BS100" s="22">
        <f t="shared" si="63"/>
        <v>13.402251806620987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65.696191100714501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4.8</v>
      </c>
      <c r="BY100" s="12">
        <f>IF('Données projet'!$A$114&gt;35,BY99+BX100-CG99,IF(A100&lt;'Données projet'!$A$114,$BV$205^A100,IF(A100='Données projet'!$A$114,'Données projet'!$B$114,BY99+BX100-CG99)))</f>
        <v>267.59999999999985</v>
      </c>
      <c r="BZ100" s="13">
        <f>BY100*VLOOKUP('Données projet'!$B$12,Paramètres!$A$1:$I$89,3,0)*VLOOKUP('Données projet'!$B$12,Paramètres!$A$1:$I$89,5,0)</f>
        <v>254.64815999999985</v>
      </c>
      <c r="CA100" s="13">
        <f t="shared" si="93"/>
        <v>61.580204695956148</v>
      </c>
      <c r="CB100" s="20">
        <f t="shared" si="64"/>
        <v>550.76440184545663</v>
      </c>
      <c r="CC100" s="59">
        <f t="shared" si="65"/>
        <v>828.31710254807649</v>
      </c>
      <c r="CD100" s="59">
        <f ca="1">AVERAGE(OFFSET($CC$3,0,0,'Données projet'!$E$12+1,1))-AVERAGE(OFFSET($H$3,0,0,'Données projet'!$E$12+1,1))</f>
        <v>413.9352601863377</v>
      </c>
      <c r="CE100" s="59">
        <f t="shared" si="94"/>
        <v>255.13997349799286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10.845748228924117</v>
      </c>
      <c r="CL100" s="21">
        <f>EXP(-LN(2)/25)*CL99+(1-EXP(-LN(2)/25))/(LN(2)/25)*Calculateur!CG100*Calculateur!CI100*VLOOKUP('Données projet'!$B$12,Paramètres!$A$1:$I$89,3,0)*0.475*44/12</f>
        <v>14.927686054069078</v>
      </c>
      <c r="CM100" s="21">
        <f>EXP(-LN(2)/2)*CM99+(1-EXP(-LN(2)/2))/(LN(2)/2)*CG100*CJ100*VLOOKUP('Données projet'!$B$12,Paramètres!$A$1:$I$89,3,0)*0.475*44/12</f>
        <v>2.8629936043182318</v>
      </c>
      <c r="CN100" s="22">
        <f t="shared" si="66"/>
        <v>28.636427887311424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65.696191100714501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2.8421709430404007E-14</v>
      </c>
      <c r="CU100" s="17">
        <f>CT100*VLOOKUP('Données projet'!$B$13,Paramètres!$A$1:$I$89,3,0)*VLOOKUP('Données projet'!$B$13,Paramètres!$A$1:$I$89,5,0)</f>
        <v>2.4829205358400945E-14</v>
      </c>
      <c r="CV100" s="13">
        <f t="shared" si="95"/>
        <v>4.3867331143352915E-13</v>
      </c>
      <c r="CW100" s="20">
        <f t="shared" si="67"/>
        <v>8.0726688341261168E-13</v>
      </c>
      <c r="CX100" s="59">
        <f t="shared" si="68"/>
        <v>277.5527007026206</v>
      </c>
      <c r="CY100" s="59">
        <f ca="1">AVERAGE(OFFSET($CX$3,0,0,'Données projet'!$E$13+1,1))-AVERAGE(OFFSET($H$3,0,0,'Données projet'!$E$13+1,1))</f>
        <v>280.59827778697775</v>
      </c>
      <c r="CZ100" s="59">
        <f t="shared" si="96"/>
        <v>270.86588231964726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>
        <f>EXP(-LN(2)/35)*DF99+(1-EXP(-LN(2)/35))/(LN(2)/35)*DB100*DC100*VLOOKUP('Données projet'!$B$13,Paramètres!$A$1:$I$89,3,0)*0.475*44/12</f>
        <v>23.556878027128647</v>
      </c>
      <c r="DG100" s="21">
        <f>EXP(-LN(2)/25)*DG99+(1-EXP(-LN(2)/25))/(LN(2)/25)*Calculateur!DB100*Calculateur!DD100*VLOOKUP('Données projet'!$B$13,Paramètres!$A$1:$I$89,3,0)*0.475*44/12</f>
        <v>22.779517823675281</v>
      </c>
      <c r="DH100" s="21">
        <f>EXP(-LN(2)/2)*DH99+(1-EXP(-LN(2)/2))/(LN(2)/2)*DB100*DE100*VLOOKUP('Données projet'!$B$13,Paramètres!$A$1:$I$89,3,0)*0.475*44/12</f>
        <v>0.12552924634721419</v>
      </c>
      <c r="DI100" s="22">
        <f t="shared" si="69"/>
        <v>46.461925097151138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65.696191100714501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3.0769230769230829</v>
      </c>
      <c r="DO100" s="12">
        <f>IF('Données projet'!$A$166&gt;35,DO99+DN100-DW99,IF(A100&lt;'Données projet'!$A$166,$DL$205^A100,IF(A100='Données projet'!$A$166,'Données projet'!$B$166,DO99+DN100-DW99)))</f>
        <v>164.48717948717956</v>
      </c>
      <c r="DP100" s="17">
        <f>DO100*VLOOKUP('Données projet'!$B$14,Paramètres!$A$1:$I$89,3,0)*VLOOKUP('Données projet'!$B$14,Paramètres!$A$1:$I$89,5,0)</f>
        <v>110.33800000000005</v>
      </c>
      <c r="DQ100" s="13">
        <f t="shared" si="97"/>
        <v>29.410605783697555</v>
      </c>
      <c r="DR100" s="20">
        <f t="shared" si="70"/>
        <v>243.39548840660663</v>
      </c>
      <c r="DS100" s="59">
        <f t="shared" si="71"/>
        <v>520.9481891092264</v>
      </c>
      <c r="DT100" s="59">
        <f ca="1">AVERAGE(OFFSET($DS$3,0,0,'Données projet'!$E$14+1,1))-AVERAGE(OFFSET($H$3,0,0,'Données projet'!$E$14+1,1))</f>
        <v>211.42385430331873</v>
      </c>
      <c r="DU100" s="59">
        <f t="shared" si="98"/>
        <v>146.84623106782686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>
        <f>EXP(-LN(2)/35)*EA99+(1-EXP(-LN(2)/35))/(LN(2)/35)*DW100*DX100*VLOOKUP('Données projet'!$B$14,Paramètres!$A$1:$I$89,3,0)*0.475*44/12</f>
        <v>5.0809146022341078</v>
      </c>
      <c r="EB100" s="21">
        <f>EXP(-LN(2)/25)*EB99+(1-EXP(-LN(2)/25))/(LN(2)/25)*Calculateur!DW100*Calculateur!DY100*VLOOKUP('Données projet'!$B$14,Paramètres!$A$1:$I$89,3,0)*0.475*44/12</f>
        <v>8.314133389756714</v>
      </c>
      <c r="EC100" s="21">
        <f>EXP(-LN(2)/2)*EC99+(1-EXP(-LN(2)/2))/(LN(2)/2)*DW100*DZ100*VLOOKUP('Données projet'!$B$14,Paramètres!$A$1:$I$89,3,0)*0.475*44/12</f>
        <v>1.1817834790877777</v>
      </c>
      <c r="ED100" s="22">
        <f t="shared" si="72"/>
        <v>14.576831471078599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65.696191100714501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1.9230769230769256</v>
      </c>
      <c r="EJ100" s="12">
        <f>IF('Données projet'!$A$192&gt;35,EJ99+EI100-ER99,IF(A100&lt;'Données projet'!$A$192,$EG$205^A100,IF(A100='Données projet'!$A$192,'Données projet'!$B$192,EJ99+EI100-ER99)))</f>
        <v>103.20512820512818</v>
      </c>
      <c r="EK100" s="17">
        <f>EJ100*VLOOKUP('Données projet'!$B$15,Paramètres!$A$1:$I$89,3,0)*VLOOKUP('Données projet'!$B$15,Paramètres!$A$1:$I$89,5,0)</f>
        <v>111.08999999999997</v>
      </c>
      <c r="EL100" s="13">
        <f t="shared" si="99"/>
        <v>29.587649511436585</v>
      </c>
      <c r="EM100" s="20">
        <f t="shared" si="73"/>
        <v>245.01357289908535</v>
      </c>
      <c r="EN100" s="59">
        <f t="shared" si="74"/>
        <v>522.56627360170512</v>
      </c>
      <c r="EO100" s="59">
        <f ca="1">AVERAGE(OFFSET($EN$3,0,0,'Données projet'!$E$15+1,1))-AVERAGE(OFFSET($H$3,0,0,'Données projet'!$E$15+1,1))</f>
        <v>212.00478362779876</v>
      </c>
      <c r="EP100" s="59">
        <f t="shared" si="100"/>
        <v>133.62262474506707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>
        <f>EXP(-LN(2)/35)*EV99+(1-EXP(-LN(2)/35))/(LN(2)/35)*ER100*ES100*VLOOKUP('Données projet'!$B$15,Paramètres!$A$1:$I$89,3,0)*0.475*44/12</f>
        <v>0</v>
      </c>
      <c r="EW100" s="21">
        <f>EXP(-LN(2)/25)*EW99+(1-EXP(-LN(2)/25))/(LN(2)/25)*Calculateur!ER100*Calculateur!ET100*VLOOKUP('Données projet'!$B$15,Paramètres!$A$1:$I$89,3,0)*0.475*44/12</f>
        <v>4.8815275167598928</v>
      </c>
      <c r="EX100" s="21">
        <f>EXP(-LN(2)/2)*EX99+(1-EXP(-LN(2)/2))/(LN(2)/2)*ER100*EU100*VLOOKUP('Données projet'!$B$15,Paramètres!$A$1:$I$89,3,0)*0.475*44/12</f>
        <v>0.88978559366435639</v>
      </c>
      <c r="EY100" s="22">
        <f t="shared" si="75"/>
        <v>5.7713131104242494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65.696191100714501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1.9230769230769256</v>
      </c>
      <c r="FE100" s="12">
        <f>IF('Données projet'!$A$218&gt;35,FE99+FD100-FM99,IF(A100&lt;'Données projet'!$A$218,$FB$205^A100,IF(A100='Données projet'!$A$218,'Données projet'!$B$218,FE99+FD100-FM99)))</f>
        <v>103.20512820512818</v>
      </c>
      <c r="FF100" s="17">
        <f>FE100*VLOOKUP('Données projet'!$B$16,Paramètres!$A$1:$I$89,3,0)*VLOOKUP('Données projet'!$B$16,Paramètres!$A$1:$I$89,5,0)</f>
        <v>99.819999999999979</v>
      </c>
      <c r="FG100" s="13">
        <f t="shared" si="101"/>
        <v>26.919110535105666</v>
      </c>
      <c r="FH100" s="20">
        <f t="shared" si="76"/>
        <v>220.73728418197564</v>
      </c>
      <c r="FI100" s="59">
        <f t="shared" si="77"/>
        <v>498.28998488459547</v>
      </c>
      <c r="FJ100" s="59">
        <f ca="1">AVERAGE(OFFSET($FI$3,0,0,'Données projet'!$E$16+1,1))-AVERAGE(OFFSET($H$3,0,0,'Données projet'!$E$16+1,1))</f>
        <v>196.65742339093146</v>
      </c>
      <c r="FK100" s="59">
        <f t="shared" si="102"/>
        <v>125.41980634506001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>
        <f>EXP(-LN(2)/35)*FQ99+(1-EXP(-LN(2)/35))/(LN(2)/35)*FM100*FN100*VLOOKUP('Données projet'!$B$16,Paramètres!$A$1:$I$89,3,0)*0.475*44/12</f>
        <v>0</v>
      </c>
      <c r="FR100" s="21">
        <f>EXP(-LN(2)/25)*FR99+(1-EXP(-LN(2)/25))/(LN(2)/25)*Calculateur!FM100*Calculateur!FO100*VLOOKUP('Données projet'!$B$16,Paramètres!$A$1:$I$89,3,0)*0.475*44/12</f>
        <v>4.3863000875233826</v>
      </c>
      <c r="FS100" s="21">
        <f>EXP(-LN(2)/2)*FS99+(1-EXP(-LN(2)/2))/(LN(2)/2)*FM100*FP100*VLOOKUP('Données projet'!$B$16,Paramètres!$A$1:$I$89,3,0)*0.475*44/12</f>
        <v>0.79951748995927674</v>
      </c>
      <c r="FT100" s="22">
        <f t="shared" si="78"/>
        <v>5.1858175774826591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65.696191100714501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65.696191100714501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>
      <c r="A101" s="10">
        <f t="shared" si="85"/>
        <v>98</v>
      </c>
      <c r="B101" s="73">
        <f>'Scénario référence'!$B$16*5+'Scénario référence'!$B$17*0+'Scénario référence'!$B$18*5</f>
        <v>4.6999999999999993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5.2284960000000016</v>
      </c>
      <c r="D101" s="11">
        <f t="shared" si="86"/>
        <v>1.9875121294791012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19.541484466986812</v>
      </c>
      <c r="H101" s="67">
        <f t="shared" si="56"/>
        <v>200.30121415884278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65.77085256324186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-2.2737367544323206E-13</v>
      </c>
      <c r="O101" s="13">
        <f>N101*VLOOKUP('Données projet'!$B$9,Paramètres!$A$1:$I$89,3,0)*VLOOKUP('Données projet'!$B$9,Paramètres!$A$1:$I$89,5,0)</f>
        <v>-1.3596945791505279E-13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366.93249569585623</v>
      </c>
      <c r="T101" s="59">
        <f t="shared" si="88"/>
        <v>272.47262353368501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107.30860846242813</v>
      </c>
      <c r="AA101" s="21">
        <f>EXP(-LN(2)/25)*AA100+(1-EXP(-LN(2)/25))/(LN(2)/25)*Calculateur!V101*Calculateur!X101*VLOOKUP('Données projet'!$B$9,Paramètres!$A$1:$I$89,3,0)*0.475*44/12</f>
        <v>31.41387636181982</v>
      </c>
      <c r="AB101" s="21">
        <f>EXP(-LN(2)/2)*AB100+(1-EXP(-LN(2)/2))/(LN(2)/2)*V101*Y101*VLOOKUP('Données projet'!$B$9,Paramètres!$A$1:$I$89,3,0)*0.475*44/12</f>
        <v>0.13811844297111076</v>
      </c>
      <c r="AC101" s="22">
        <f t="shared" si="57"/>
        <v>138.86060326721906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65.77085256324186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8.8549999999999951</v>
      </c>
      <c r="AI101" s="13">
        <f>IF('Données projet'!$A$62&gt;35,AI100+AH101-AQ100,IF(A101&lt;'Données projet'!$A$62,$AF$205^A101,IF(A101='Données projet'!$A$62,'Données projet'!$B$62,AI100+AH101-AQ100)))</f>
        <v>299.47499999999997</v>
      </c>
      <c r="AJ101" s="13">
        <f>AI101*VLOOKUP('Données projet'!$B$10,Paramètres!$A$1:$I$89,3,0)*VLOOKUP('Données projet'!$B$10,Paramètres!$A$1:$I$89,5,0)</f>
        <v>140.15429999999998</v>
      </c>
      <c r="AK101" s="13">
        <f t="shared" si="89"/>
        <v>36.332351191800562</v>
      </c>
      <c r="AL101" s="20">
        <f t="shared" si="58"/>
        <v>307.38091749238595</v>
      </c>
      <c r="AM101" s="59">
        <f t="shared" si="59"/>
        <v>585.20737689093949</v>
      </c>
      <c r="AN101" s="59">
        <f ca="1">AVERAGE(OFFSET($AM$3,0,0,'Données projet'!$E$10+1,1))-AVERAGE(OFFSET($H$3,0,0,'Données projet'!$E$10+1,1))</f>
        <v>382.89338473200229</v>
      </c>
      <c r="AO101" s="59">
        <f t="shared" si="90"/>
        <v>360.46248248971744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126.58392157338513</v>
      </c>
      <c r="AV101" s="21">
        <f>EXP(-LN(2)/25)*AV100+(1-EXP(-LN(2)/25))/(LN(2)/25)*Calculateur!AQ101*Calculateur!AS101*VLOOKUP('Données projet'!$B$10,Paramètres!$A$1:$I$89,3,0)*0.475*44/12</f>
        <v>36.266309369625539</v>
      </c>
      <c r="AW101" s="21">
        <f>EXP(-LN(2)/2)*AW100+(1-EXP(-LN(2)/2))/(LN(2)/2)*AQ101*AT101*VLOOKUP('Données projet'!$B$10,Paramètres!$A$1:$I$89,3,0)*0.475*44/12</f>
        <v>10.427281702358622</v>
      </c>
      <c r="AX101" s="21">
        <f t="shared" si="60"/>
        <v>173.27751264536928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65.77085256324186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1.9230769230769227</v>
      </c>
      <c r="BD101" s="12">
        <f>IF('Données projet'!$A$88&gt;35,BD100+BC101-BL100,IF(A101&lt;'Données projet'!$A$88,$BA$205^A101,IF(A101='Données projet'!$A$88,'Données projet'!$B$88,BD100+BC101-BL100)))</f>
        <v>139.10256410256409</v>
      </c>
      <c r="BE101" s="13">
        <f>BD101*VLOOKUP('Données projet'!$B$11,Paramètres!$A$1:$I$89,3,0)*VLOOKUP('Données projet'!$B$11,Paramètres!$A$1:$I$89,5,0)</f>
        <v>121.52000000000001</v>
      </c>
      <c r="BF101" s="13">
        <f t="shared" si="91"/>
        <v>32.029254208126645</v>
      </c>
      <c r="BG101" s="20">
        <f t="shared" si="61"/>
        <v>267.43161774582057</v>
      </c>
      <c r="BH101" s="59">
        <f t="shared" si="62"/>
        <v>545.25807714437406</v>
      </c>
      <c r="BI101" s="59">
        <f ca="1">AVERAGE(OFFSET($BH$3,0,0,'Données projet'!$E$11+1,1))-AVERAGE(OFFSET($H$3,0,0,'Données projet'!$E$11+1,1))</f>
        <v>225.75484198243581</v>
      </c>
      <c r="BJ101" s="59">
        <f t="shared" si="92"/>
        <v>199.49566488421061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1.538234262653255</v>
      </c>
      <c r="BQ101" s="21">
        <f>EXP(-LN(2)/25)*BQ100+(1-EXP(-LN(2)/25))/(LN(2)/25)*Calculateur!BL101*Calculateur!BN101*VLOOKUP('Données projet'!$B$11,Paramètres!$A$1:$I$89,3,0)*0.475*44/12</f>
        <v>11.509669529039799</v>
      </c>
      <c r="BR101" s="21">
        <f>EXP(-LN(2)/2)*BR100+(1-EXP(-LN(2)/2))/(LN(2)/2)*BL101*BO101*VLOOKUP('Données projet'!$B$11,Paramètres!$A$1:$I$89,3,0)*0.475*44/12</f>
        <v>0</v>
      </c>
      <c r="BS101" s="22">
        <f t="shared" si="63"/>
        <v>13.047903791693054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65.77085256324186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4.8</v>
      </c>
      <c r="BY101" s="12">
        <f>IF('Données projet'!$A$114&gt;35,BY100+BX101-CG100,IF(A101&lt;'Données projet'!$A$114,$BV$205^A101,IF(A101='Données projet'!$A$114,'Données projet'!$B$114,BY100+BX101-CG100)))</f>
        <v>272.39999999999986</v>
      </c>
      <c r="BZ101" s="13">
        <f>BY101*VLOOKUP('Données projet'!$B$12,Paramètres!$A$1:$I$89,3,0)*VLOOKUP('Données projet'!$B$12,Paramètres!$A$1:$I$89,5,0)</f>
        <v>259.21583999999984</v>
      </c>
      <c r="CA101" s="13">
        <f t="shared" si="93"/>
        <v>62.555197359548238</v>
      </c>
      <c r="CB101" s="20">
        <f t="shared" si="64"/>
        <v>560.41789006787951</v>
      </c>
      <c r="CC101" s="59">
        <f t="shared" si="65"/>
        <v>838.24434946643305</v>
      </c>
      <c r="CD101" s="59">
        <f ca="1">AVERAGE(OFFSET($CC$3,0,0,'Données projet'!$E$12+1,1))-AVERAGE(OFFSET($H$3,0,0,'Données projet'!$E$12+1,1))</f>
        <v>413.9352601863377</v>
      </c>
      <c r="CE101" s="59">
        <f t="shared" si="94"/>
        <v>255.13997349799286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10.633069721408132</v>
      </c>
      <c r="CL101" s="21">
        <f>EXP(-LN(2)/25)*CL100+(1-EXP(-LN(2)/25))/(LN(2)/25)*Calculateur!CG101*Calculateur!CI101*VLOOKUP('Données projet'!$B$12,Paramètres!$A$1:$I$89,3,0)*0.475*44/12</f>
        <v>14.519487693907667</v>
      </c>
      <c r="CM101" s="21">
        <f>EXP(-LN(2)/2)*CM100+(1-EXP(-LN(2)/2))/(LN(2)/2)*CG101*CJ101*VLOOKUP('Données projet'!$B$12,Paramètres!$A$1:$I$89,3,0)*0.475*44/12</f>
        <v>2.0244421921071369</v>
      </c>
      <c r="CN101" s="22">
        <f t="shared" si="66"/>
        <v>27.176999607422935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65.77085256324186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2.8421709430404007E-14</v>
      </c>
      <c r="CU101" s="17">
        <f>CT101*VLOOKUP('Données projet'!$B$13,Paramètres!$A$1:$I$89,3,0)*VLOOKUP('Données projet'!$B$13,Paramètres!$A$1:$I$89,5,0)</f>
        <v>2.4829205358400945E-14</v>
      </c>
      <c r="CV101" s="13">
        <f t="shared" si="95"/>
        <v>4.3867331143352915E-13</v>
      </c>
      <c r="CW101" s="20">
        <f t="shared" si="67"/>
        <v>8.0726688341261168E-13</v>
      </c>
      <c r="CX101" s="59">
        <f t="shared" si="68"/>
        <v>277.82645939855428</v>
      </c>
      <c r="CY101" s="59">
        <f ca="1">AVERAGE(OFFSET($CX$3,0,0,'Données projet'!$E$13+1,1))-AVERAGE(OFFSET($H$3,0,0,'Données projet'!$E$13+1,1))</f>
        <v>280.59827778697775</v>
      </c>
      <c r="CZ101" s="59">
        <f t="shared" si="96"/>
        <v>270.86588231964726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>
        <f>EXP(-LN(2)/35)*DF100+(1-EXP(-LN(2)/35))/(LN(2)/35)*DB101*DC101*VLOOKUP('Données projet'!$B$13,Paramètres!$A$1:$I$89,3,0)*0.475*44/12</f>
        <v>23.094942017293501</v>
      </c>
      <c r="DG101" s="21">
        <f>EXP(-LN(2)/25)*DG100+(1-EXP(-LN(2)/25))/(LN(2)/25)*Calculateur!DB101*Calculateur!DD101*VLOOKUP('Données projet'!$B$13,Paramètres!$A$1:$I$89,3,0)*0.475*44/12</f>
        <v>22.156610710864101</v>
      </c>
      <c r="DH101" s="21">
        <f>EXP(-LN(2)/2)*DH100+(1-EXP(-LN(2)/2))/(LN(2)/2)*DB101*DE101*VLOOKUP('Données projet'!$B$13,Paramètres!$A$1:$I$89,3,0)*0.475*44/12</f>
        <v>8.8762581329351803E-2</v>
      </c>
      <c r="DI101" s="22">
        <f t="shared" si="69"/>
        <v>45.340315309486961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65.77085256324186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3.0769230769230829</v>
      </c>
      <c r="DO101" s="12">
        <f>IF('Données projet'!$A$166&gt;35,DO100+DN101-DW100,IF(A101&lt;'Données projet'!$A$166,$DL$205^A101,IF(A101='Données projet'!$A$166,'Données projet'!$B$166,DO100+DN101-DW100)))</f>
        <v>167.56410256410265</v>
      </c>
      <c r="DP101" s="17">
        <f>DO101*VLOOKUP('Données projet'!$B$14,Paramètres!$A$1:$I$89,3,0)*VLOOKUP('Données projet'!$B$14,Paramètres!$A$1:$I$89,5,0)</f>
        <v>112.40200000000006</v>
      </c>
      <c r="DQ101" s="13">
        <f t="shared" si="97"/>
        <v>29.89620105833643</v>
      </c>
      <c r="DR101" s="20">
        <f t="shared" si="70"/>
        <v>247.83603350993602</v>
      </c>
      <c r="DS101" s="59">
        <f t="shared" si="71"/>
        <v>525.66249290848953</v>
      </c>
      <c r="DT101" s="59">
        <f ca="1">AVERAGE(OFFSET($DS$3,0,0,'Données projet'!$E$14+1,1))-AVERAGE(OFFSET($H$3,0,0,'Données projet'!$E$14+1,1))</f>
        <v>211.42385430331873</v>
      </c>
      <c r="DU101" s="59">
        <f t="shared" si="98"/>
        <v>146.84623106782686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>
        <f>EXP(-LN(2)/35)*EA100+(1-EXP(-LN(2)/35))/(LN(2)/35)*DW101*DX101*VLOOKUP('Données projet'!$B$14,Paramètres!$A$1:$I$89,3,0)*0.475*44/12</f>
        <v>4.9812809659361985</v>
      </c>
      <c r="EB101" s="21">
        <f>EXP(-LN(2)/25)*EB100+(1-EXP(-LN(2)/25))/(LN(2)/25)*Calculateur!DW101*Calculateur!DY101*VLOOKUP('Données projet'!$B$14,Paramètres!$A$1:$I$89,3,0)*0.475*44/12</f>
        <v>8.0867829749925431</v>
      </c>
      <c r="EC101" s="21">
        <f>EXP(-LN(2)/2)*EC100+(1-EXP(-LN(2)/2))/(LN(2)/2)*DW101*DZ101*VLOOKUP('Données projet'!$B$14,Paramètres!$A$1:$I$89,3,0)*0.475*44/12</f>
        <v>0.8356471119571981</v>
      </c>
      <c r="ED101" s="22">
        <f t="shared" si="72"/>
        <v>13.90371105288594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65.77085256324186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1.9230769230769256</v>
      </c>
      <c r="EJ101" s="12">
        <f>IF('Données projet'!$A$192&gt;35,EJ100+EI101-ER100,IF(A101&lt;'Données projet'!$A$192,$EG$205^A101,IF(A101='Données projet'!$A$192,'Données projet'!$B$192,EJ100+EI101-ER100)))</f>
        <v>105.1282051282051</v>
      </c>
      <c r="EK101" s="17">
        <f>EJ101*VLOOKUP('Données projet'!$B$15,Paramètres!$A$1:$I$89,3,0)*VLOOKUP('Données projet'!$B$15,Paramètres!$A$1:$I$89,5,0)</f>
        <v>113.15999999999995</v>
      </c>
      <c r="EL101" s="13">
        <f t="shared" si="99"/>
        <v>30.074273543773817</v>
      </c>
      <c r="EM101" s="20">
        <f t="shared" si="73"/>
        <v>249.46635975540599</v>
      </c>
      <c r="EN101" s="59">
        <f t="shared" si="74"/>
        <v>527.2928191539595</v>
      </c>
      <c r="EO101" s="59">
        <f ca="1">AVERAGE(OFFSET($EN$3,0,0,'Données projet'!$E$15+1,1))-AVERAGE(OFFSET($H$3,0,0,'Données projet'!$E$15+1,1))</f>
        <v>212.00478362779876</v>
      </c>
      <c r="EP101" s="59">
        <f t="shared" si="100"/>
        <v>133.62262474506707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>
        <f>EXP(-LN(2)/35)*EV100+(1-EXP(-LN(2)/35))/(LN(2)/35)*ER101*ES101*VLOOKUP('Données projet'!$B$15,Paramètres!$A$1:$I$89,3,0)*0.475*44/12</f>
        <v>0</v>
      </c>
      <c r="EW101" s="21">
        <f>EXP(-LN(2)/25)*EW100+(1-EXP(-LN(2)/25))/(LN(2)/25)*Calculateur!ER101*Calculateur!ET101*VLOOKUP('Données projet'!$B$15,Paramètres!$A$1:$I$89,3,0)*0.475*44/12</f>
        <v>4.7480418901057186</v>
      </c>
      <c r="EX101" s="21">
        <f>EXP(-LN(2)/2)*EX100+(1-EXP(-LN(2)/2))/(LN(2)/2)*ER101*EU101*VLOOKUP('Données projet'!$B$15,Paramètres!$A$1:$I$89,3,0)*0.475*44/12</f>
        <v>0.62917342708216439</v>
      </c>
      <c r="EY101" s="22">
        <f t="shared" si="75"/>
        <v>5.3772153171878827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65.77085256324186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1.9230769230769256</v>
      </c>
      <c r="FE101" s="12">
        <f>IF('Données projet'!$A$218&gt;35,FE100+FD101-FM100,IF(A101&lt;'Données projet'!$A$218,$FB$205^A101,IF(A101='Données projet'!$A$218,'Données projet'!$B$218,FE100+FD101-FM100)))</f>
        <v>105.1282051282051</v>
      </c>
      <c r="FF101" s="17">
        <f>FE101*VLOOKUP('Données projet'!$B$16,Paramètres!$A$1:$I$89,3,0)*VLOOKUP('Données projet'!$B$16,Paramètres!$A$1:$I$89,5,0)</f>
        <v>101.67999999999996</v>
      </c>
      <c r="FG101" s="13">
        <f t="shared" si="101"/>
        <v>27.361845471196556</v>
      </c>
      <c r="FH101" s="20">
        <f t="shared" si="76"/>
        <v>224.74788086233397</v>
      </c>
      <c r="FI101" s="59">
        <f t="shared" si="77"/>
        <v>502.57434026088742</v>
      </c>
      <c r="FJ101" s="59">
        <f ca="1">AVERAGE(OFFSET($FI$3,0,0,'Données projet'!$E$16+1,1))-AVERAGE(OFFSET($H$3,0,0,'Données projet'!$E$16+1,1))</f>
        <v>196.65742339093146</v>
      </c>
      <c r="FK101" s="59">
        <f t="shared" si="102"/>
        <v>125.41980634506001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>
        <f>EXP(-LN(2)/35)*FQ100+(1-EXP(-LN(2)/35))/(LN(2)/35)*FM101*FN101*VLOOKUP('Données projet'!$B$16,Paramètres!$A$1:$I$89,3,0)*0.475*44/12</f>
        <v>0</v>
      </c>
      <c r="FR101" s="21">
        <f>EXP(-LN(2)/25)*FR100+(1-EXP(-LN(2)/25))/(LN(2)/25)*Calculateur!FM101*Calculateur!FO101*VLOOKUP('Données projet'!$B$16,Paramètres!$A$1:$I$89,3,0)*0.475*44/12</f>
        <v>4.2663564809645589</v>
      </c>
      <c r="FS101" s="21">
        <f>EXP(-LN(2)/2)*FS100+(1-EXP(-LN(2)/2))/(LN(2)/2)*FM101*FP101*VLOOKUP('Données projet'!$B$16,Paramètres!$A$1:$I$89,3,0)*0.475*44/12</f>
        <v>0.56534423882745199</v>
      </c>
      <c r="FT101" s="22">
        <f t="shared" si="78"/>
        <v>4.8317007197920105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65.77085256324186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65.77085256324186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>
      <c r="A102" s="10">
        <f t="shared" si="85"/>
        <v>99</v>
      </c>
      <c r="B102" s="73">
        <f>'Scénario référence'!$B$16*5+'Scénario référence'!$B$17*0+'Scénario référence'!$B$18*5</f>
        <v>4.6999999999999993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5.2818480000000019</v>
      </c>
      <c r="D102" s="11">
        <f t="shared" si="86"/>
        <v>2.0054215856967281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19.57448977302445</v>
      </c>
      <c r="H102" s="67">
        <f t="shared" si="56"/>
        <v>200.42532786175516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65.844218816312406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-2.2737367544323206E-13</v>
      </c>
      <c r="O102" s="13">
        <f>N102*VLOOKUP('Données projet'!$B$9,Paramètres!$A$1:$I$89,3,0)*VLOOKUP('Données projet'!$B$9,Paramètres!$A$1:$I$89,5,0)</f>
        <v>-1.3596945791505279E-13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366.93249569585623</v>
      </c>
      <c r="T102" s="59">
        <f t="shared" si="88"/>
        <v>272.47262353368501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105.20435210226825</v>
      </c>
      <c r="AA102" s="21">
        <f>EXP(-LN(2)/25)*AA101+(1-EXP(-LN(2)/25))/(LN(2)/25)*Calculateur!V102*Calculateur!X102*VLOOKUP('Données projet'!$B$9,Paramètres!$A$1:$I$89,3,0)*0.475*44/12</f>
        <v>30.554862260721897</v>
      </c>
      <c r="AB102" s="21">
        <f>EXP(-LN(2)/2)*AB101+(1-EXP(-LN(2)/2))/(LN(2)/2)*V102*Y102*VLOOKUP('Données projet'!$B$9,Paramètres!$A$1:$I$89,3,0)*0.475*44/12</f>
        <v>9.7664487631799857E-2</v>
      </c>
      <c r="AC102" s="22">
        <f t="shared" si="57"/>
        <v>135.85687885062194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65.844218816312406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8.8549999999999951</v>
      </c>
      <c r="AI102" s="13">
        <f>IF('Données projet'!$A$62&gt;35,AI101+AH102-AQ101,IF(A102&lt;'Données projet'!$A$62,$AF$205^A102,IF(A102='Données projet'!$A$62,'Données projet'!$B$62,AI101+AH102-AQ101)))</f>
        <v>308.33</v>
      </c>
      <c r="AJ102" s="13">
        <f>AI102*VLOOKUP('Données projet'!$B$10,Paramètres!$A$1:$I$89,3,0)*VLOOKUP('Données projet'!$B$10,Paramètres!$A$1:$I$89,5,0)</f>
        <v>144.29844</v>
      </c>
      <c r="AK102" s="13">
        <f t="shared" si="89"/>
        <v>37.279977917630816</v>
      </c>
      <c r="AL102" s="20">
        <f t="shared" si="58"/>
        <v>316.249077873207</v>
      </c>
      <c r="AM102" s="59">
        <f t="shared" si="59"/>
        <v>594.34454686635252</v>
      </c>
      <c r="AN102" s="59">
        <f ca="1">AVERAGE(OFFSET($AM$3,0,0,'Données projet'!$E$10+1,1))-AVERAGE(OFFSET($H$3,0,0,'Données projet'!$E$10+1,1))</f>
        <v>382.89338473200229</v>
      </c>
      <c r="AO102" s="59">
        <f t="shared" si="90"/>
        <v>360.46248248971744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124.10168807989949</v>
      </c>
      <c r="AV102" s="21">
        <f>EXP(-LN(2)/25)*AV101+(1-EXP(-LN(2)/25))/(LN(2)/25)*Calculateur!AQ102*Calculateur!AS102*VLOOKUP('Données projet'!$B$10,Paramètres!$A$1:$I$89,3,0)*0.475*44/12</f>
        <v>35.274605232750808</v>
      </c>
      <c r="AW102" s="21">
        <f>EXP(-LN(2)/2)*AW101+(1-EXP(-LN(2)/2))/(LN(2)/2)*AQ102*AT102*VLOOKUP('Données projet'!$B$10,Paramètres!$A$1:$I$89,3,0)*0.475*44/12</f>
        <v>7.3732016010801891</v>
      </c>
      <c r="AX102" s="21">
        <f t="shared" si="60"/>
        <v>166.74949491373047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65.844218816312406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1.9230769230769227</v>
      </c>
      <c r="BD102" s="12">
        <f>IF('Données projet'!$A$88&gt;35,BD101+BC102-BL101,IF(A102&lt;'Données projet'!$A$88,$BA$205^A102,IF(A102='Données projet'!$A$88,'Données projet'!$B$88,BD101+BC102-BL101)))</f>
        <v>141.02564102564102</v>
      </c>
      <c r="BE102" s="13">
        <f>BD102*VLOOKUP('Données projet'!$B$11,Paramètres!$A$1:$I$89,3,0)*VLOOKUP('Données projet'!$B$11,Paramètres!$A$1:$I$89,5,0)</f>
        <v>123.2</v>
      </c>
      <c r="BF102" s="13">
        <f t="shared" si="91"/>
        <v>32.420199748143155</v>
      </c>
      <c r="BG102" s="20">
        <f t="shared" si="61"/>
        <v>271.0385145613493</v>
      </c>
      <c r="BH102" s="59">
        <f t="shared" si="62"/>
        <v>549.13398355449476</v>
      </c>
      <c r="BI102" s="59">
        <f ca="1">AVERAGE(OFFSET($BH$3,0,0,'Données projet'!$E$11+1,1))-AVERAGE(OFFSET($H$3,0,0,'Données projet'!$E$11+1,1))</f>
        <v>225.75484198243581</v>
      </c>
      <c r="BJ102" s="59">
        <f t="shared" si="92"/>
        <v>199.49566488421061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1.5080704269928824</v>
      </c>
      <c r="BQ102" s="21">
        <f>EXP(-LN(2)/25)*BQ101+(1-EXP(-LN(2)/25))/(LN(2)/25)*Calculateur!BL102*Calculateur!BN102*VLOOKUP('Données projet'!$B$11,Paramètres!$A$1:$I$89,3,0)*0.475*44/12</f>
        <v>11.194937010500992</v>
      </c>
      <c r="BR102" s="21">
        <f>EXP(-LN(2)/2)*BR101+(1-EXP(-LN(2)/2))/(LN(2)/2)*BL102*BO102*VLOOKUP('Données projet'!$B$11,Paramètres!$A$1:$I$89,3,0)*0.475*44/12</f>
        <v>0</v>
      </c>
      <c r="BS102" s="22">
        <f t="shared" si="63"/>
        <v>12.703007437493874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65.844218816312406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4.8</v>
      </c>
      <c r="BY102" s="12">
        <f>IF('Données projet'!$A$114&gt;35,BY101+BX102-CG101,IF(A102&lt;'Données projet'!$A$114,$BV$205^A102,IF(A102='Données projet'!$A$114,'Données projet'!$B$114,BY101+BX102-CG101)))</f>
        <v>277.19999999999987</v>
      </c>
      <c r="BZ102" s="13">
        <f>BY102*VLOOKUP('Données projet'!$B$12,Paramètres!$A$1:$I$89,3,0)*VLOOKUP('Données projet'!$B$12,Paramètres!$A$1:$I$89,5,0)</f>
        <v>263.7835199999999</v>
      </c>
      <c r="CA102" s="13">
        <f t="shared" si="93"/>
        <v>63.5281921545985</v>
      </c>
      <c r="CB102" s="20">
        <f t="shared" si="64"/>
        <v>570.06789866925885</v>
      </c>
      <c r="CC102" s="59">
        <f t="shared" si="65"/>
        <v>848.16336766240443</v>
      </c>
      <c r="CD102" s="59">
        <f ca="1">AVERAGE(OFFSET($CC$3,0,0,'Données projet'!$E$12+1,1))-AVERAGE(OFFSET($H$3,0,0,'Données projet'!$E$12+1,1))</f>
        <v>413.9352601863377</v>
      </c>
      <c r="CE102" s="59">
        <f t="shared" si="94"/>
        <v>255.13997349799286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10.424561709703456</v>
      </c>
      <c r="CL102" s="21">
        <f>EXP(-LN(2)/25)*CL101+(1-EXP(-LN(2)/25))/(LN(2)/25)*Calculateur!CG102*Calculateur!CI102*VLOOKUP('Données projet'!$B$12,Paramètres!$A$1:$I$89,3,0)*0.475*44/12</f>
        <v>14.122451539371088</v>
      </c>
      <c r="CM102" s="21">
        <f>EXP(-LN(2)/2)*CM101+(1-EXP(-LN(2)/2))/(LN(2)/2)*CG102*CJ102*VLOOKUP('Données projet'!$B$12,Paramètres!$A$1:$I$89,3,0)*0.475*44/12</f>
        <v>1.4314968021591159</v>
      </c>
      <c r="CN102" s="22">
        <f t="shared" si="66"/>
        <v>25.978510051233663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65.844218816312406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2.8421709430404007E-14</v>
      </c>
      <c r="CU102" s="17">
        <f>CT102*VLOOKUP('Données projet'!$B$13,Paramètres!$A$1:$I$89,3,0)*VLOOKUP('Données projet'!$B$13,Paramètres!$A$1:$I$89,5,0)</f>
        <v>2.4829205358400945E-14</v>
      </c>
      <c r="CV102" s="13">
        <f t="shared" si="95"/>
        <v>4.3867331143352915E-13</v>
      </c>
      <c r="CW102" s="20">
        <f t="shared" si="67"/>
        <v>8.0726688341261168E-13</v>
      </c>
      <c r="CX102" s="59">
        <f t="shared" si="68"/>
        <v>278.09546899314631</v>
      </c>
      <c r="CY102" s="59">
        <f ca="1">AVERAGE(OFFSET($CX$3,0,0,'Données projet'!$E$13+1,1))-AVERAGE(OFFSET($H$3,0,0,'Données projet'!$E$13+1,1))</f>
        <v>280.59827778697775</v>
      </c>
      <c r="CZ102" s="59">
        <f t="shared" si="96"/>
        <v>270.86588231964726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>
        <f>EXP(-LN(2)/35)*DF101+(1-EXP(-LN(2)/35))/(LN(2)/35)*DB102*DC102*VLOOKUP('Données projet'!$B$13,Paramètres!$A$1:$I$89,3,0)*0.475*44/12</f>
        <v>22.642064290858077</v>
      </c>
      <c r="DG102" s="21">
        <f>EXP(-LN(2)/25)*DG101+(1-EXP(-LN(2)/25))/(LN(2)/25)*Calculateur!DB102*Calculateur!DD102*VLOOKUP('Données projet'!$B$13,Paramètres!$A$1:$I$89,3,0)*0.475*44/12</f>
        <v>21.550737025810005</v>
      </c>
      <c r="DH102" s="21">
        <f>EXP(-LN(2)/2)*DH101+(1-EXP(-LN(2)/2))/(LN(2)/2)*DB102*DE102*VLOOKUP('Données projet'!$B$13,Paramètres!$A$1:$I$89,3,0)*0.475*44/12</f>
        <v>6.2764623173607093E-2</v>
      </c>
      <c r="DI102" s="22">
        <f t="shared" si="69"/>
        <v>44.255565939841688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65.844218816312406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3.0769230769230829</v>
      </c>
      <c r="DO102" s="12">
        <f>IF('Données projet'!$A$166&gt;35,DO101+DN102-DW101,IF(A102&lt;'Données projet'!$A$166,$DL$205^A102,IF(A102='Données projet'!$A$166,'Données projet'!$B$166,DO101+DN102-DW101)))</f>
        <v>170.64102564102575</v>
      </c>
      <c r="DP102" s="17">
        <f>DO102*VLOOKUP('Données projet'!$B$14,Paramètres!$A$1:$I$89,3,0)*VLOOKUP('Données projet'!$B$14,Paramètres!$A$1:$I$89,5,0)</f>
        <v>114.46600000000008</v>
      </c>
      <c r="DQ102" s="13">
        <f t="shared" si="97"/>
        <v>30.380759461713353</v>
      </c>
      <c r="DR102" s="20">
        <f t="shared" si="70"/>
        <v>252.27477272915084</v>
      </c>
      <c r="DS102" s="59">
        <f t="shared" si="71"/>
        <v>530.37024172229633</v>
      </c>
      <c r="DT102" s="59">
        <f ca="1">AVERAGE(OFFSET($DS$3,0,0,'Données projet'!$E$14+1,1))-AVERAGE(OFFSET($H$3,0,0,'Données projet'!$E$14+1,1))</f>
        <v>211.42385430331873</v>
      </c>
      <c r="DU102" s="59">
        <f t="shared" si="98"/>
        <v>146.84623106782686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>
        <f>EXP(-LN(2)/35)*EA101+(1-EXP(-LN(2)/35))/(LN(2)/35)*DW102*DX102*VLOOKUP('Données projet'!$B$14,Paramètres!$A$1:$I$89,3,0)*0.475*44/12</f>
        <v>4.8836010844755737</v>
      </c>
      <c r="EB102" s="21">
        <f>EXP(-LN(2)/25)*EB101+(1-EXP(-LN(2)/25))/(LN(2)/25)*Calculateur!DW102*Calculateur!DY102*VLOOKUP('Données projet'!$B$14,Paramètres!$A$1:$I$89,3,0)*0.475*44/12</f>
        <v>7.8656494692759376</v>
      </c>
      <c r="EC102" s="21">
        <f>EXP(-LN(2)/2)*EC101+(1-EXP(-LN(2)/2))/(LN(2)/2)*DW102*DZ102*VLOOKUP('Données projet'!$B$14,Paramètres!$A$1:$I$89,3,0)*0.475*44/12</f>
        <v>0.59089173954388885</v>
      </c>
      <c r="ED102" s="22">
        <f t="shared" si="72"/>
        <v>13.340142293295401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65.844218816312406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1.9230769230769256</v>
      </c>
      <c r="EJ102" s="12">
        <f>IF('Données projet'!$A$192&gt;35,EJ101+EI102-ER101,IF(A102&lt;'Données projet'!$A$192,$EG$205^A102,IF(A102='Données projet'!$A$192,'Données projet'!$B$192,EJ101+EI102-ER101)))</f>
        <v>107.05128205128202</v>
      </c>
      <c r="EK102" s="17">
        <f>EJ102*VLOOKUP('Données projet'!$B$15,Paramètres!$A$1:$I$89,3,0)*VLOOKUP('Données projet'!$B$15,Paramètres!$A$1:$I$89,5,0)</f>
        <v>115.22999999999996</v>
      </c>
      <c r="EL102" s="13">
        <f t="shared" si="99"/>
        <v>30.559862464301705</v>
      </c>
      <c r="EM102" s="20">
        <f t="shared" si="73"/>
        <v>253.91734379199207</v>
      </c>
      <c r="EN102" s="59">
        <f t="shared" si="74"/>
        <v>532.01281278513761</v>
      </c>
      <c r="EO102" s="59">
        <f ca="1">AVERAGE(OFFSET($EN$3,0,0,'Données projet'!$E$15+1,1))-AVERAGE(OFFSET($H$3,0,0,'Données projet'!$E$15+1,1))</f>
        <v>212.00478362779876</v>
      </c>
      <c r="EP102" s="59">
        <f t="shared" si="100"/>
        <v>133.62262474506707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>
        <f>EXP(-LN(2)/35)*EV101+(1-EXP(-LN(2)/35))/(LN(2)/35)*ER102*ES102*VLOOKUP('Données projet'!$B$15,Paramètres!$A$1:$I$89,3,0)*0.475*44/12</f>
        <v>0</v>
      </c>
      <c r="EW102" s="21">
        <f>EXP(-LN(2)/25)*EW101+(1-EXP(-LN(2)/25))/(LN(2)/25)*Calculateur!ER102*Calculateur!ET102*VLOOKUP('Données projet'!$B$15,Paramètres!$A$1:$I$89,3,0)*0.475*44/12</f>
        <v>4.6182064349321061</v>
      </c>
      <c r="EX102" s="21">
        <f>EXP(-LN(2)/2)*EX101+(1-EXP(-LN(2)/2))/(LN(2)/2)*ER102*EU102*VLOOKUP('Données projet'!$B$15,Paramètres!$A$1:$I$89,3,0)*0.475*44/12</f>
        <v>0.44489279683217825</v>
      </c>
      <c r="EY102" s="22">
        <f t="shared" si="75"/>
        <v>5.0630992317642844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65.844218816312406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1.9230769230769256</v>
      </c>
      <c r="FE102" s="12">
        <f>IF('Données projet'!$A$218&gt;35,FE101+FD102-FM101,IF(A102&lt;'Données projet'!$A$218,$FB$205^A102,IF(A102='Données projet'!$A$218,'Données projet'!$B$218,FE101+FD102-FM101)))</f>
        <v>107.05128205128202</v>
      </c>
      <c r="FF102" s="17">
        <f>FE102*VLOOKUP('Données projet'!$B$16,Paramètres!$A$1:$I$89,3,0)*VLOOKUP('Données projet'!$B$16,Paramètres!$A$1:$I$89,5,0)</f>
        <v>103.53999999999996</v>
      </c>
      <c r="FG102" s="13">
        <f t="shared" si="101"/>
        <v>27.80363865322208</v>
      </c>
      <c r="FH102" s="20">
        <f t="shared" si="76"/>
        <v>228.75683732102837</v>
      </c>
      <c r="FI102" s="59">
        <f t="shared" si="77"/>
        <v>506.85230631417392</v>
      </c>
      <c r="FJ102" s="59">
        <f ca="1">AVERAGE(OFFSET($FI$3,0,0,'Données projet'!$E$16+1,1))-AVERAGE(OFFSET($H$3,0,0,'Données projet'!$E$16+1,1))</f>
        <v>196.65742339093146</v>
      </c>
      <c r="FK102" s="59">
        <f t="shared" si="102"/>
        <v>125.41980634506001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>
        <f>EXP(-LN(2)/35)*FQ101+(1-EXP(-LN(2)/35))/(LN(2)/35)*FM102*FN102*VLOOKUP('Données projet'!$B$16,Paramètres!$A$1:$I$89,3,0)*0.475*44/12</f>
        <v>0</v>
      </c>
      <c r="FR102" s="21">
        <f>EXP(-LN(2)/25)*FR101+(1-EXP(-LN(2)/25))/(LN(2)/25)*Calculateur!FM102*Calculateur!FO102*VLOOKUP('Données projet'!$B$16,Paramètres!$A$1:$I$89,3,0)*0.475*44/12</f>
        <v>4.1496927386346467</v>
      </c>
      <c r="FS102" s="21">
        <f>EXP(-LN(2)/2)*FS101+(1-EXP(-LN(2)/2))/(LN(2)/2)*FM102*FP102*VLOOKUP('Données projet'!$B$16,Paramètres!$A$1:$I$89,3,0)*0.475*44/12</f>
        <v>0.39975874497963837</v>
      </c>
      <c r="FT102" s="22">
        <f t="shared" si="78"/>
        <v>4.549451483614285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65.844218816312406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65.844218816312406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>
      <c r="A103" s="10">
        <f t="shared" si="85"/>
        <v>100</v>
      </c>
      <c r="B103" s="73">
        <f>'Scénario référence'!$B$16*5+'Scénario référence'!$B$17*0+'Scénario référence'!$B$18*5</f>
        <v>4.6999999999999993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5.3352000000000022</v>
      </c>
      <c r="D103" s="11">
        <f t="shared" si="86"/>
        <v>2.0233099967312582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19.60748533181939</v>
      </c>
      <c r="H103" s="67">
        <f t="shared" si="56"/>
        <v>200.54940491097364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65.916312328914529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-2.2737367544323206E-13</v>
      </c>
      <c r="O103" s="13">
        <f>N103*VLOOKUP('Données projet'!$B$9,Paramètres!$A$1:$I$89,3,0)*VLOOKUP('Données projet'!$B$9,Paramètres!$A$1:$I$89,5,0)</f>
        <v>-1.3596945791505279E-13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366.93249569585623</v>
      </c>
      <c r="T103" s="59">
        <f t="shared" si="88"/>
        <v>272.47262353368501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103.14135892586145</v>
      </c>
      <c r="AA103" s="21">
        <f>EXP(-LN(2)/25)*AA102+(1-EXP(-LN(2)/25))/(LN(2)/25)*Calculateur!V103*Calculateur!X103*VLOOKUP('Données projet'!$B$9,Paramètres!$A$1:$I$89,3,0)*0.475*44/12</f>
        <v>29.719337945392084</v>
      </c>
      <c r="AB103" s="21">
        <f>EXP(-LN(2)/2)*AB102+(1-EXP(-LN(2)/2))/(LN(2)/2)*V103*Y103*VLOOKUP('Données projet'!$B$9,Paramètres!$A$1:$I$89,3,0)*0.475*44/12</f>
        <v>6.9059221485555378E-2</v>
      </c>
      <c r="AC103" s="22">
        <f t="shared" si="57"/>
        <v>132.9297560927391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65.916312328914529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8.8549999999999951</v>
      </c>
      <c r="AI103" s="13">
        <f>IF('Données projet'!$A$62&gt;35,AI102+AH103-AQ102,IF(A103&lt;'Données projet'!$A$62,$AF$205^A103,IF(A103='Données projet'!$A$62,'Données projet'!$B$62,AI102+AH103-AQ102)))</f>
        <v>317.185</v>
      </c>
      <c r="AJ103" s="13">
        <f>AI103*VLOOKUP('Données projet'!$B$10,Paramètres!$A$1:$I$89,3,0)*VLOOKUP('Données projet'!$B$10,Paramètres!$A$1:$I$89,5,0)</f>
        <v>148.44257999999999</v>
      </c>
      <c r="AK103" s="13">
        <f t="shared" si="89"/>
        <v>38.224441634319653</v>
      </c>
      <c r="AL103" s="20">
        <f t="shared" si="58"/>
        <v>325.11172934644003</v>
      </c>
      <c r="AM103" s="59">
        <f t="shared" si="59"/>
        <v>603.47154121912672</v>
      </c>
      <c r="AN103" s="59">
        <f ca="1">AVERAGE(OFFSET($AM$3,0,0,'Données projet'!$E$10+1,1))-AVERAGE(OFFSET($H$3,0,0,'Données projet'!$E$10+1,1))</f>
        <v>382.89338473200229</v>
      </c>
      <c r="AO103" s="59">
        <f t="shared" si="90"/>
        <v>360.46248248971744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121.66812967120818</v>
      </c>
      <c r="AV103" s="21">
        <f>EXP(-LN(2)/25)*AV102+(1-EXP(-LN(2)/25))/(LN(2)/25)*Calculateur!AQ103*Calculateur!AS103*VLOOKUP('Données projet'!$B$10,Paramètres!$A$1:$I$89,3,0)*0.475*44/12</f>
        <v>34.310019297650371</v>
      </c>
      <c r="AW103" s="21">
        <f>EXP(-LN(2)/2)*AW102+(1-EXP(-LN(2)/2))/(LN(2)/2)*AQ103*AT103*VLOOKUP('Données projet'!$B$10,Paramètres!$A$1:$I$89,3,0)*0.475*44/12</f>
        <v>5.2136408511793118</v>
      </c>
      <c r="AX103" s="21">
        <f t="shared" si="60"/>
        <v>161.19178982003785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65.916312328914529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>
        <f>VLOOKUP(A103,'Données projet'!$A$87:$I$107,2,0)</f>
        <v>142.94871794871796</v>
      </c>
      <c r="BB103" s="12">
        <f>VLOOKUP(A103,'Données projet'!$A$87:$I$107,9,0)</f>
        <v>1.9230769230769227</v>
      </c>
      <c r="BC103" s="12">
        <f t="array" ref="BC103">INDEX(BB:BB,MIN(IF(ISNUMBER(BB103:BB299),ROW(BB103:BB299),"")))</f>
        <v>1.9230769230769227</v>
      </c>
      <c r="BD103" s="12">
        <f>IF('Données projet'!$A$88&gt;35,BD102+BC103-BL102,IF(A103&lt;'Données projet'!$A$88,$BA$205^A103,IF(A103='Données projet'!$A$88,'Données projet'!$B$88,BD102+BC103-BL102)))</f>
        <v>142.94871794871796</v>
      </c>
      <c r="BE103" s="13">
        <f>BD103*VLOOKUP('Données projet'!$B$11,Paramètres!$A$1:$I$89,3,0)*VLOOKUP('Données projet'!$B$11,Paramètres!$A$1:$I$89,5,0)</f>
        <v>124.88000000000001</v>
      </c>
      <c r="BF103" s="13">
        <f t="shared" si="91"/>
        <v>32.810525222866438</v>
      </c>
      <c r="BG103" s="20">
        <f t="shared" si="61"/>
        <v>274.64433142982574</v>
      </c>
      <c r="BH103" s="59">
        <f t="shared" si="62"/>
        <v>553.00414330251238</v>
      </c>
      <c r="BI103" s="59">
        <f ca="1">AVERAGE(OFFSET($BH$3,0,0,'Données projet'!$E$11+1,1))-AVERAGE(OFFSET($H$3,0,0,'Données projet'!$E$11+1,1))</f>
        <v>225.75484198243581</v>
      </c>
      <c r="BJ103" s="59">
        <f t="shared" si="92"/>
        <v>199.49566488421061</v>
      </c>
      <c r="BK103" s="15">
        <f>IF(ISNA(VLOOKUP(A103,'Données projet'!$A$87:$I$107,3,0)),0,VLOOKUP(A103,'Données projet'!$A$87:$I$107,3,0))</f>
        <v>17</v>
      </c>
      <c r="BL103" s="15">
        <f>IF(ISNA(VLOOKUP(A103,'Données projet'!$A$87:$I$107,4,0)),0,VLOOKUP(A103,'Données projet'!$A$87:$I$107,4,0))</f>
        <v>142.94871794871796</v>
      </c>
      <c r="BM103" s="16">
        <f>IF(ISNA(VLOOKUP(A103,'Données projet'!$A$87:$I$107,5,0)),0%,VLOOKUP(A103,'Données projet'!$A$87:$I$107,5,0)*VLOOKUP('Données projet'!$B$11,Paramètres!$A$1:$I$89,7,0))</f>
        <v>4.3000000000000003E-2</v>
      </c>
      <c r="BN103" s="16">
        <f>IF(ISNA(VLOOKUP(A103,'Données projet'!$A$87:$I$107,6,0)),0%,VLOOKUP(A103,'Données projet'!$A$87:$I$107,6,0)*VLOOKUP('Données projet'!$B$11,Paramètres!$A$1:$I$89,7,0))</f>
        <v>0.215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7.4146971485829045</v>
      </c>
      <c r="BQ103" s="21">
        <f>EXP(-LN(2)/25)*BQ102+(1-EXP(-LN(2)/25))/(LN(2)/25)*Calculateur!BL103*Calculateur!BN103*VLOOKUP('Données projet'!$B$11,Paramètres!$A$1:$I$89,3,0)*0.475*44/12</f>
        <v>40.452940795491095</v>
      </c>
      <c r="BR103" s="21">
        <f>EXP(-LN(2)/2)*BR102+(1-EXP(-LN(2)/2))/(LN(2)/2)*BL103*BO103*VLOOKUP('Données projet'!$B$11,Paramètres!$A$1:$I$89,3,0)*0.475*44/12</f>
        <v>0</v>
      </c>
      <c r="BS103" s="22">
        <f t="shared" si="63"/>
        <v>47.867637944073998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65.916312328914529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>
        <f>VLOOKUP(A103,'Données projet'!$A$113:$I$133,2,0)</f>
        <v>282</v>
      </c>
      <c r="BW103" s="12">
        <f>VLOOKUP(A103,'Données projet'!$A$113:$I$133,9,0)</f>
        <v>4.8</v>
      </c>
      <c r="BX103" s="12">
        <f t="array" ref="BX103">INDEX(BW:BW,MIN(IF(ISNUMBER(BW103:BW299),ROW(BW103:BW299),"")))</f>
        <v>4.8</v>
      </c>
      <c r="BY103" s="12">
        <f>IF('Données projet'!$A$114&gt;35,BY102+BX103-CG102,IF(A103&lt;'Données projet'!$A$114,$BV$205^A103,IF(A103='Données projet'!$A$114,'Données projet'!$B$114,BY102+BX103-CG102)))</f>
        <v>281.99999999999989</v>
      </c>
      <c r="BZ103" s="13">
        <f>BY103*VLOOKUP('Données projet'!$B$12,Paramètres!$A$1:$I$89,3,0)*VLOOKUP('Données projet'!$B$12,Paramètres!$A$1:$I$89,5,0)</f>
        <v>268.35119999999989</v>
      </c>
      <c r="CA103" s="13">
        <f t="shared" si="93"/>
        <v>64.499227668096069</v>
      </c>
      <c r="CB103" s="20">
        <f t="shared" si="64"/>
        <v>579.71449485526716</v>
      </c>
      <c r="CC103" s="59">
        <f t="shared" si="65"/>
        <v>858.07430672795385</v>
      </c>
      <c r="CD103" s="59">
        <f ca="1">AVERAGE(OFFSET($CC$3,0,0,'Données projet'!$E$12+1,1))-AVERAGE(OFFSET($H$3,0,0,'Données projet'!$E$12+1,1))</f>
        <v>413.9352601863377</v>
      </c>
      <c r="CE103" s="59">
        <f t="shared" si="94"/>
        <v>255.13997349799286</v>
      </c>
      <c r="CF103" s="15">
        <f>IF(ISNA(VLOOKUP(A103,'Données projet'!$A$113:$I$133,3,0)),0,VLOOKUP(A103,'Données projet'!$A$113:$I$133,3,0))</f>
        <v>16</v>
      </c>
      <c r="CG103" s="15">
        <f>IF(ISNA(VLOOKUP(A103,'Données projet'!$A$113:$I$133,4,0)),0,VLOOKUP(A103,'Données projet'!$A$113:$I$133,4,0))</f>
        <v>21</v>
      </c>
      <c r="CH103" s="16">
        <f>IF(ISNA(VLOOKUP(A103,'Données projet'!$A$113:$I$133,5,0)),0%,VLOOKUP(A103,'Données projet'!$A$113:$I$133,5,0)*VLOOKUP('Données projet'!$B$12,Paramètres!$A$1:$I$89,7,0))</f>
        <v>0.1075</v>
      </c>
      <c r="CI103" s="16">
        <f>IF(ISNA(VLOOKUP(A103,'Données projet'!$A$113:$I$133,6,0)),0%,VLOOKUP(A103,'Données projet'!$A$113:$I$133,6,0)*VLOOKUP('Données projet'!$B$12,Paramètres!$A$1:$I$89,7,0))</f>
        <v>0.1075</v>
      </c>
      <c r="CJ103" s="16">
        <f>IF(ISNA(VLOOKUP(A103,'Données projet'!$A$113:$I$133,7,0)),0%,VLOOKUP(A103,'Données projet'!$A$113:$I$133,7,0))</f>
        <v>0.25</v>
      </c>
      <c r="CK103" s="21">
        <f>EXP(-LN(2)/35)*CK102+(1-EXP(-LN(2)/35))/(LN(2)/35)*CG103*CH103*VLOOKUP('Données projet'!$B$12,Paramètres!$A$1:$I$89,3,0)*0.475*44/12</f>
        <v>12.594954784647705</v>
      </c>
      <c r="CL103" s="21">
        <f>EXP(-LN(2)/25)*CL102+(1-EXP(-LN(2)/25))/(LN(2)/25)*Calculateur!CG103*Calculateur!CI103*VLOOKUP('Données projet'!$B$12,Paramètres!$A$1:$I$89,3,0)*0.475*44/12</f>
        <v>16.101734189894358</v>
      </c>
      <c r="CM103" s="21">
        <f>EXP(-LN(2)/2)*CM102+(1-EXP(-LN(2)/2))/(LN(2)/2)*CG103*CJ103*VLOOKUP('Données projet'!$B$12,Paramètres!$A$1:$I$89,3,0)*0.475*44/12</f>
        <v>5.7259872087306274</v>
      </c>
      <c r="CN103" s="22">
        <f t="shared" si="66"/>
        <v>34.422676183272692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65.916312328914529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2.8421709430404007E-14</v>
      </c>
      <c r="CU103" s="17">
        <f>CT103*VLOOKUP('Données projet'!$B$13,Paramètres!$A$1:$I$89,3,0)*VLOOKUP('Données projet'!$B$13,Paramètres!$A$1:$I$89,5,0)</f>
        <v>2.4829205358400945E-14</v>
      </c>
      <c r="CV103" s="13">
        <f t="shared" si="95"/>
        <v>4.3867331143352915E-13</v>
      </c>
      <c r="CW103" s="20">
        <f t="shared" si="67"/>
        <v>8.0726688341261168E-13</v>
      </c>
      <c r="CX103" s="59">
        <f t="shared" si="68"/>
        <v>278.35981187268743</v>
      </c>
      <c r="CY103" s="59">
        <f ca="1">AVERAGE(OFFSET($CX$3,0,0,'Données projet'!$E$13+1,1))-AVERAGE(OFFSET($H$3,0,0,'Données projet'!$E$13+1,1))</f>
        <v>280.59827778697775</v>
      </c>
      <c r="CZ103" s="59">
        <f t="shared" si="96"/>
        <v>270.86588231964726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>
        <f>EXP(-LN(2)/35)*DF102+(1-EXP(-LN(2)/35))/(LN(2)/35)*DB103*DC103*VLOOKUP('Données projet'!$B$13,Paramètres!$A$1:$I$89,3,0)*0.475*44/12</f>
        <v>22.198067220409914</v>
      </c>
      <c r="DG103" s="21">
        <f>EXP(-LN(2)/25)*DG102+(1-EXP(-LN(2)/25))/(LN(2)/25)*Calculateur!DB103*Calculateur!DD103*VLOOKUP('Données projet'!$B$13,Paramètres!$A$1:$I$89,3,0)*0.475*44/12</f>
        <v>20.961430988535223</v>
      </c>
      <c r="DH103" s="21">
        <f>EXP(-LN(2)/2)*DH102+(1-EXP(-LN(2)/2))/(LN(2)/2)*DB103*DE103*VLOOKUP('Données projet'!$B$13,Paramètres!$A$1:$I$89,3,0)*0.475*44/12</f>
        <v>4.4381290664675901E-2</v>
      </c>
      <c r="DI103" s="22">
        <f t="shared" si="69"/>
        <v>43.203879499609812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65.916312328914529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>
        <f>VLOOKUP(A103,'Données projet'!$A$165:$I$185,2,0)</f>
        <v>173.71794871794873</v>
      </c>
      <c r="DM103" s="12">
        <f>VLOOKUP(A103,'Données projet'!$A$165:$I$185,9,0)</f>
        <v>3.0769230769230829</v>
      </c>
      <c r="DN103" s="12">
        <f t="array" ref="DN103">INDEX(DM:DM,MIN(IF(ISNUMBER(DM103:DM299),ROW(DM103:DM299),"")))</f>
        <v>3.0769230769230829</v>
      </c>
      <c r="DO103" s="12">
        <f>IF('Données projet'!$A$166&gt;35,DO102+DN103-DW102,IF(A103&lt;'Données projet'!$A$166,$DL$205^A103,IF(A103='Données projet'!$A$166,'Données projet'!$B$166,DO102+DN103-DW102)))</f>
        <v>173.71794871794884</v>
      </c>
      <c r="DP103" s="17">
        <f>DO103*VLOOKUP('Données projet'!$B$14,Paramètres!$A$1:$I$89,3,0)*VLOOKUP('Données projet'!$B$14,Paramètres!$A$1:$I$89,5,0)</f>
        <v>116.53000000000009</v>
      </c>
      <c r="DQ103" s="13">
        <f t="shared" si="97"/>
        <v>30.864301846880164</v>
      </c>
      <c r="DR103" s="20">
        <f t="shared" si="70"/>
        <v>256.71174238331639</v>
      </c>
      <c r="DS103" s="59">
        <f t="shared" si="71"/>
        <v>535.07155425600308</v>
      </c>
      <c r="DT103" s="59">
        <f ca="1">AVERAGE(OFFSET($DS$3,0,0,'Données projet'!$E$14+1,1))-AVERAGE(OFFSET($H$3,0,0,'Données projet'!$E$14+1,1))</f>
        <v>211.42385430331873</v>
      </c>
      <c r="DU103" s="59">
        <f t="shared" si="98"/>
        <v>146.84623106782686</v>
      </c>
      <c r="DV103" s="15">
        <f>IF(ISNA(VLOOKUP(A103,'Données projet'!$A$165:$I$185,3,0)),0,VLOOKUP(A103,'Données projet'!$A$165:$I$185,3,0))</f>
        <v>17</v>
      </c>
      <c r="DW103" s="15">
        <f>IF(ISNA(VLOOKUP(A103,'Données projet'!$A$165:$I$185,4,0)),0,VLOOKUP(A103,'Données projet'!$A$165:$I$185,4,0))</f>
        <v>11.538461538461538</v>
      </c>
      <c r="DX103" s="16">
        <f>IF(ISNA(VLOOKUP(A103,'Données projet'!$A$165:$I$185,5,0)),0%,VLOOKUP(A103,'Données projet'!$A$165:$I$185,5,0)*VLOOKUP('Données projet'!$B$14,Paramètres!$A$1:$I$89,7,0))</f>
        <v>0.13250000000000001</v>
      </c>
      <c r="DY103" s="16">
        <f>IF(ISNA(VLOOKUP(A103,'Données projet'!$A$165:$I$185,6,0)),0%,VLOOKUP(A103,'Données projet'!$A$165:$I$185,6,0)*VLOOKUP('Données projet'!$B$14,Paramètres!$A$1:$I$89,7,0))</f>
        <v>0.13250000000000001</v>
      </c>
      <c r="DZ103" s="16">
        <f>IF(ISNA(VLOOKUP(A103,'Données projet'!$A$165:$I$185,7,0)),0%,VLOOKUP(A103,'Données projet'!$A$165:$I$185,7,0))</f>
        <v>0.25</v>
      </c>
      <c r="EA103" s="21">
        <f>EXP(-LN(2)/35)*EA102+(1-EXP(-LN(2)/35))/(LN(2)/35)*DW103*DX103*VLOOKUP('Données projet'!$B$14,Paramètres!$A$1:$I$89,3,0)*0.475*44/12</f>
        <v>5.921551793641564</v>
      </c>
      <c r="EB103" s="21">
        <f>EXP(-LN(2)/25)*EB102+(1-EXP(-LN(2)/25))/(LN(2)/25)*Calculateur!DW103*Calculateur!DY103*VLOOKUP('Données projet'!$B$14,Paramètres!$A$1:$I$89,3,0)*0.475*44/12</f>
        <v>8.779814150116124</v>
      </c>
      <c r="EC103" s="21">
        <f>EXP(-LN(2)/2)*EC102+(1-EXP(-LN(2)/2))/(LN(2)/2)*DW103*DZ103*VLOOKUP('Données projet'!$B$14,Paramètres!$A$1:$I$89,3,0)*0.475*44/12</f>
        <v>2.2435481357400251</v>
      </c>
      <c r="ED103" s="22">
        <f t="shared" si="72"/>
        <v>16.944914079497714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65.916312328914529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>
        <f>VLOOKUP(A103,'Données projet'!$A$191:$I$211,2,0)</f>
        <v>108.97435897435898</v>
      </c>
      <c r="EH103" s="12">
        <f>VLOOKUP(A103,'Données projet'!$A$191:$I$211,9,0)</f>
        <v>1.9230769230769256</v>
      </c>
      <c r="EI103" s="12">
        <f t="array" ref="EI103">INDEX(EH:EH,MIN(IF(ISNUMBER(EH103:EH299),ROW(EH103:EH299),"")))</f>
        <v>1.9230769230769256</v>
      </c>
      <c r="EJ103" s="12">
        <f>IF('Données projet'!$A$192&gt;35,EJ102+EI103-ER102,IF(A103&lt;'Données projet'!$A$192,$EG$205^A103,IF(A103='Données projet'!$A$192,'Données projet'!$B$192,EJ102+EI103-ER102)))</f>
        <v>108.97435897435894</v>
      </c>
      <c r="EK103" s="17">
        <f>EJ103*VLOOKUP('Données projet'!$B$15,Paramètres!$A$1:$I$89,3,0)*VLOOKUP('Données projet'!$B$15,Paramètres!$A$1:$I$89,5,0)</f>
        <v>117.29999999999995</v>
      </c>
      <c r="EL103" s="13">
        <f t="shared" si="99"/>
        <v>31.044437012840874</v>
      </c>
      <c r="EM103" s="20">
        <f t="shared" si="73"/>
        <v>258.36656113069779</v>
      </c>
      <c r="EN103" s="59">
        <f t="shared" si="74"/>
        <v>536.72637300338442</v>
      </c>
      <c r="EO103" s="59">
        <f ca="1">AVERAGE(OFFSET($EN$3,0,0,'Données projet'!$E$15+1,1))-AVERAGE(OFFSET($H$3,0,0,'Données projet'!$E$15+1,1))</f>
        <v>212.00478362779876</v>
      </c>
      <c r="EP103" s="59">
        <f t="shared" si="100"/>
        <v>133.62262474506707</v>
      </c>
      <c r="EQ103" s="15">
        <f>IF(ISNA(VLOOKUP(A103,'Données projet'!$A$191:$I$211,3,0)),0,VLOOKUP(A103,'Données projet'!$A$191:$I$211,3,0))</f>
        <v>16</v>
      </c>
      <c r="ER103" s="15">
        <f>IF(ISNA(VLOOKUP(A103,'Données projet'!$A$191:$I$211,4,0)),0,VLOOKUP(A103,'Données projet'!$A$191:$I$211,4,0))</f>
        <v>5.7692307692307692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0.1075</v>
      </c>
      <c r="EU103" s="16">
        <f>IF(ISNA(VLOOKUP(A103,'Données projet'!$A$191:$I$211,7,0)),0%,VLOOKUP(A103,'Données projet'!$A$191:$I$211,7,0))</f>
        <v>0.25</v>
      </c>
      <c r="EV103" s="21">
        <f>EXP(-LN(2)/35)*EV102+(1-EXP(-LN(2)/35))/(LN(2)/35)*ER103*ES103*VLOOKUP('Données projet'!$B$15,Paramètres!$A$1:$I$89,3,0)*0.475*44/12</f>
        <v>0</v>
      </c>
      <c r="EW103" s="21">
        <f>EXP(-LN(2)/25)*EW102+(1-EXP(-LN(2)/25))/(LN(2)/25)*Calculateur!ER103*Calculateur!ET103*VLOOKUP('Données projet'!$B$15,Paramètres!$A$1:$I$89,3,0)*0.475*44/12</f>
        <v>5.2269999999925938</v>
      </c>
      <c r="EX103" s="21">
        <f>EXP(-LN(2)/2)*EX102+(1-EXP(-LN(2)/2))/(LN(2)/2)*ER103*EU103*VLOOKUP('Données projet'!$B$15,Paramètres!$A$1:$I$89,3,0)*0.475*44/12</f>
        <v>1.7794122484659471</v>
      </c>
      <c r="EY103" s="22">
        <f t="shared" si="75"/>
        <v>7.0064122484585409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65.916312328914529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>
        <f>VLOOKUP(A103,'Données projet'!$A$217:$I$237,2,0)</f>
        <v>108.97435897435898</v>
      </c>
      <c r="FC103" s="12">
        <f>VLOOKUP(A103,'Données projet'!$A$217:$I$237,9,0)</f>
        <v>1.9230769230769256</v>
      </c>
      <c r="FD103" s="12">
        <f t="array" ref="FD103">INDEX(FC:FC,MIN(IF(ISNUMBER(FC103:FC299),ROW(FC103:FC299),"")))</f>
        <v>1.9230769230769256</v>
      </c>
      <c r="FE103" s="12">
        <f>IF('Données projet'!$A$218&gt;35,FE102+FD103-FM102,IF(A103&lt;'Données projet'!$A$218,$FB$205^A103,IF(A103='Données projet'!$A$218,'Données projet'!$B$218,FE102+FD103-FM102)))</f>
        <v>108.97435897435894</v>
      </c>
      <c r="FF103" s="17">
        <f>FE103*VLOOKUP('Données projet'!$B$16,Paramètres!$A$1:$I$89,3,0)*VLOOKUP('Données projet'!$B$16,Paramètres!$A$1:$I$89,5,0)</f>
        <v>105.39999999999996</v>
      </c>
      <c r="FG103" s="13">
        <f t="shared" si="101"/>
        <v>28.244508950458165</v>
      </c>
      <c r="FH103" s="20">
        <f t="shared" si="76"/>
        <v>232.76418642204786</v>
      </c>
      <c r="FI103" s="59">
        <f t="shared" si="77"/>
        <v>511.12399829473452</v>
      </c>
      <c r="FJ103" s="59">
        <f ca="1">AVERAGE(OFFSET($FI$3,0,0,'Données projet'!$E$16+1,1))-AVERAGE(OFFSET($H$3,0,0,'Données projet'!$E$16+1,1))</f>
        <v>196.65742339093146</v>
      </c>
      <c r="FK103" s="59">
        <f t="shared" si="102"/>
        <v>125.41980634506001</v>
      </c>
      <c r="FL103" s="15">
        <f>IF(ISNA(VLOOKUP(A103,'Données projet'!$A$217:$I$237,3,0)),0,VLOOKUP(A103,'Données projet'!$A$217:$I$237,3,0))</f>
        <v>16</v>
      </c>
      <c r="FM103" s="15">
        <f>IF(ISNA(VLOOKUP(A103,'Données projet'!$A$217:$I$237,4,0)),0,VLOOKUP(A103,'Données projet'!$A$217:$I$237,4,0))</f>
        <v>5.7692307692307692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0.1075</v>
      </c>
      <c r="FP103" s="16">
        <f>IF(ISNA(VLOOKUP(A103,'Données projet'!$A$217:$I$237,7,0)),0%,VLOOKUP(A103,'Données projet'!$A$217:$I$237,7,0))</f>
        <v>0.25</v>
      </c>
      <c r="FQ103" s="21">
        <f>EXP(-LN(2)/35)*FQ102+(1-EXP(-LN(2)/35))/(LN(2)/35)*FM103*FN103*VLOOKUP('Données projet'!$B$16,Paramètres!$A$1:$I$89,3,0)*0.475*44/12</f>
        <v>0</v>
      </c>
      <c r="FR103" s="21">
        <f>EXP(-LN(2)/25)*FR102+(1-EXP(-LN(2)/25))/(LN(2)/25)*Calculateur!FM103*Calculateur!FO103*VLOOKUP('Données projet'!$B$16,Paramètres!$A$1:$I$89,3,0)*0.475*44/12</f>
        <v>4.6967246376745058</v>
      </c>
      <c r="FS103" s="21">
        <f>EXP(-LN(2)/2)*FS102+(1-EXP(-LN(2)/2))/(LN(2)/2)*FM103*FP103*VLOOKUP('Données projet'!$B$16,Paramètres!$A$1:$I$89,3,0)*0.475*44/12</f>
        <v>1.5988921652882424</v>
      </c>
      <c r="FT103" s="22">
        <f t="shared" si="78"/>
        <v>6.2956168029627477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65.916312328914529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65.916312328914529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>
      <c r="A104" s="10">
        <f t="shared" si="85"/>
        <v>101</v>
      </c>
      <c r="B104" s="73">
        <f>'Scénario référence'!$B$16*5+'Scénario référence'!$B$17*0+'Scénario référence'!$B$18*5</f>
        <v>4.6999999999999993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5.3885520000000025</v>
      </c>
      <c r="D104" s="11">
        <f t="shared" si="86"/>
        <v>2.0411775974022919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19.640471252130183</v>
      </c>
      <c r="H104" s="67">
        <f t="shared" si="56"/>
        <v>200.67344571547568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65.987155180249971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-2.2737367544323206E-13</v>
      </c>
      <c r="O104" s="13">
        <f>N104*VLOOKUP('Données projet'!$B$9,Paramètres!$A$1:$I$89,3,0)*VLOOKUP('Données projet'!$B$9,Paramètres!$A$1:$I$89,5,0)</f>
        <v>-1.3596945791505279E-13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366.93249569585623</v>
      </c>
      <c r="T104" s="59">
        <f t="shared" si="88"/>
        <v>272.47262353368501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101.1188197873424</v>
      </c>
      <c r="AA104" s="21">
        <f>EXP(-LN(2)/25)*AA103+(1-EXP(-LN(2)/25))/(LN(2)/25)*Calculateur!V104*Calculateur!X104*VLOOKUP('Données projet'!$B$9,Paramètres!$A$1:$I$89,3,0)*0.475*44/12</f>
        <v>28.906661086403279</v>
      </c>
      <c r="AB104" s="21">
        <f>EXP(-LN(2)/2)*AB103+(1-EXP(-LN(2)/2))/(LN(2)/2)*V104*Y104*VLOOKUP('Données projet'!$B$9,Paramètres!$A$1:$I$89,3,0)*0.475*44/12</f>
        <v>4.8832243815899928E-2</v>
      </c>
      <c r="AC104" s="22">
        <f t="shared" si="57"/>
        <v>130.07431311756159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65.987155180249971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8.8549999999999951</v>
      </c>
      <c r="AI104" s="13">
        <f>IF('Données projet'!$A$62&gt;35,AI103+AH104-AQ103,IF(A104&lt;'Données projet'!$A$62,$AF$205^A104,IF(A104='Données projet'!$A$62,'Données projet'!$B$62,AI103+AH104-AQ103)))</f>
        <v>326.04000000000002</v>
      </c>
      <c r="AJ104" s="13">
        <f>AI104*VLOOKUP('Données projet'!$B$10,Paramètres!$A$1:$I$89,3,0)*VLOOKUP('Données projet'!$B$10,Paramètres!$A$1:$I$89,5,0)</f>
        <v>152.58672000000001</v>
      </c>
      <c r="AK104" s="13">
        <f t="shared" si="89"/>
        <v>39.16584078944841</v>
      </c>
      <c r="AL104" s="20">
        <f t="shared" si="58"/>
        <v>333.96904337495596</v>
      </c>
      <c r="AM104" s="59">
        <f t="shared" si="59"/>
        <v>612.58861236920586</v>
      </c>
      <c r="AN104" s="59">
        <f ca="1">AVERAGE(OFFSET($AM$3,0,0,'Données projet'!$E$10+1,1))-AVERAGE(OFFSET($H$3,0,0,'Données projet'!$E$10+1,1))</f>
        <v>382.89338473200229</v>
      </c>
      <c r="AO104" s="59">
        <f t="shared" si="90"/>
        <v>360.46248248971744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119.28229185858723</v>
      </c>
      <c r="AV104" s="21">
        <f>EXP(-LN(2)/25)*AV103+(1-EXP(-LN(2)/25))/(LN(2)/25)*Calculateur!AQ104*Calculateur!AS104*VLOOKUP('Données projet'!$B$10,Paramètres!$A$1:$I$89,3,0)*0.475*44/12</f>
        <v>33.371810015670626</v>
      </c>
      <c r="AW104" s="21">
        <f>EXP(-LN(2)/2)*AW103+(1-EXP(-LN(2)/2))/(LN(2)/2)*AQ104*AT104*VLOOKUP('Données projet'!$B$10,Paramètres!$A$1:$I$89,3,0)*0.475*44/12</f>
        <v>3.6866008005400954</v>
      </c>
      <c r="AX104" s="21">
        <f t="shared" si="60"/>
        <v>156.34070267479797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65.987155180249971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>
        <f>BD104*VLOOKUP('Données projet'!$B$11,Paramètres!$A$1:$I$89,3,0)*VLOOKUP('Données projet'!$B$11,Paramètres!$A$1:$I$89,5,0)</f>
        <v>0</v>
      </c>
      <c r="BF104" s="13" t="e">
        <f t="shared" si="91"/>
        <v>#NUM!</v>
      </c>
      <c r="BG104" s="20" t="e">
        <f t="shared" si="61"/>
        <v>#NUM!</v>
      </c>
      <c r="BH104" s="59" t="e">
        <f t="shared" si="62"/>
        <v>#NUM!</v>
      </c>
      <c r="BI104" s="59">
        <f ca="1">AVERAGE(OFFSET($BH$3,0,0,'Données projet'!$E$11+1,1))-AVERAGE(OFFSET($H$3,0,0,'Données projet'!$E$11+1,1))</f>
        <v>225.75484198243581</v>
      </c>
      <c r="BJ104" s="59">
        <f t="shared" si="92"/>
        <v>199.49566488421061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7.2692994600178924</v>
      </c>
      <c r="BQ104" s="21">
        <f>EXP(-LN(2)/25)*BQ103+(1-EXP(-LN(2)/25))/(LN(2)/25)*Calculateur!BL104*Calculateur!BN104*VLOOKUP('Données projet'!$B$11,Paramètres!$A$1:$I$89,3,0)*0.475*44/12</f>
        <v>39.346753002110688</v>
      </c>
      <c r="BR104" s="21">
        <f>EXP(-LN(2)/2)*BR103+(1-EXP(-LN(2)/2))/(LN(2)/2)*BL104*BO104*VLOOKUP('Données projet'!$B$11,Paramètres!$A$1:$I$89,3,0)*0.475*44/12</f>
        <v>0</v>
      </c>
      <c r="BS104" s="22">
        <f t="shared" si="63"/>
        <v>46.616052462128579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65.987155180249971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4.5999999999999996</v>
      </c>
      <c r="BY104" s="12">
        <f>IF('Données projet'!$A$114&gt;35,BY103+BX104-CG103,IF(A104&lt;'Données projet'!$A$114,$BV$205^A104,IF(A104='Données projet'!$A$114,'Données projet'!$B$114,BY103+BX104-CG103)))</f>
        <v>265.59999999999991</v>
      </c>
      <c r="BZ104" s="13">
        <f>BY104*VLOOKUP('Données projet'!$B$12,Paramètres!$A$1:$I$89,3,0)*VLOOKUP('Données projet'!$B$12,Paramètres!$A$1:$I$89,5,0)</f>
        <v>252.74495999999991</v>
      </c>
      <c r="CA104" s="13">
        <f t="shared" si="93"/>
        <v>61.173358634109022</v>
      </c>
      <c r="CB104" s="20">
        <f t="shared" si="64"/>
        <v>546.74107162107293</v>
      </c>
      <c r="CC104" s="59">
        <f t="shared" si="65"/>
        <v>825.36064061532284</v>
      </c>
      <c r="CD104" s="59">
        <f ca="1">AVERAGE(OFFSET($CC$3,0,0,'Données projet'!$E$12+1,1))-AVERAGE(OFFSET($H$3,0,0,'Données projet'!$E$12+1,1))</f>
        <v>413.9352601863377</v>
      </c>
      <c r="CE104" s="59">
        <f t="shared" si="94"/>
        <v>255.13997349799286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12.347975403484631</v>
      </c>
      <c r="CL104" s="21">
        <f>EXP(-LN(2)/25)*CL103+(1-EXP(-LN(2)/25))/(LN(2)/25)*Calculateur!CG104*Calculateur!CI104*VLOOKUP('Données projet'!$B$12,Paramètres!$A$1:$I$89,3,0)*0.475*44/12</f>
        <v>15.661431421718298</v>
      </c>
      <c r="CM104" s="21">
        <f>EXP(-LN(2)/2)*CM103+(1-EXP(-LN(2)/2))/(LN(2)/2)*CG104*CJ104*VLOOKUP('Données projet'!$B$12,Paramètres!$A$1:$I$89,3,0)*0.475*44/12</f>
        <v>4.048884384280858</v>
      </c>
      <c r="CN104" s="22">
        <f t="shared" si="66"/>
        <v>32.058291209483791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65.987155180249971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2.8421709430404007E-14</v>
      </c>
      <c r="CU104" s="17">
        <f>CT104*VLOOKUP('Données projet'!$B$13,Paramètres!$A$1:$I$89,3,0)*VLOOKUP('Données projet'!$B$13,Paramètres!$A$1:$I$89,5,0)</f>
        <v>2.4829205358400945E-14</v>
      </c>
      <c r="CV104" s="13">
        <f t="shared" si="95"/>
        <v>4.3867331143352915E-13</v>
      </c>
      <c r="CW104" s="20">
        <f t="shared" si="67"/>
        <v>8.0726688341261168E-13</v>
      </c>
      <c r="CX104" s="59">
        <f t="shared" si="68"/>
        <v>278.6195689942507</v>
      </c>
      <c r="CY104" s="59">
        <f ca="1">AVERAGE(OFFSET($CX$3,0,0,'Données projet'!$E$13+1,1))-AVERAGE(OFFSET($H$3,0,0,'Données projet'!$E$13+1,1))</f>
        <v>280.59827778697775</v>
      </c>
      <c r="CZ104" s="59">
        <f t="shared" si="96"/>
        <v>270.86588231964726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>
        <f>EXP(-LN(2)/35)*DF103+(1-EXP(-LN(2)/35))/(LN(2)/35)*DB104*DC104*VLOOKUP('Données projet'!$B$13,Paramètres!$A$1:$I$89,3,0)*0.475*44/12</f>
        <v>21.762776661701768</v>
      </c>
      <c r="DG104" s="21">
        <f>EXP(-LN(2)/25)*DG103+(1-EXP(-LN(2)/25))/(LN(2)/25)*Calculateur!DB104*Calculateur!DD104*VLOOKUP('Données projet'!$B$13,Paramètres!$A$1:$I$89,3,0)*0.475*44/12</f>
        <v>20.388239555839981</v>
      </c>
      <c r="DH104" s="21">
        <f>EXP(-LN(2)/2)*DH103+(1-EXP(-LN(2)/2))/(LN(2)/2)*DB104*DE104*VLOOKUP('Données projet'!$B$13,Paramètres!$A$1:$I$89,3,0)*0.475*44/12</f>
        <v>3.1382311586803546E-2</v>
      </c>
      <c r="DI104" s="22">
        <f t="shared" si="69"/>
        <v>42.182398529128555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65.987155180249971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3.0769230769230718</v>
      </c>
      <c r="DO104" s="12">
        <f>IF('Données projet'!$A$166&gt;35,DO103+DN104-DW103,IF(A104&lt;'Données projet'!$A$166,$DL$205^A104,IF(A104='Données projet'!$A$166,'Données projet'!$B$166,DO103+DN104-DW103)))</f>
        <v>165.25641025641036</v>
      </c>
      <c r="DP104" s="17">
        <f>DO104*VLOOKUP('Données projet'!$B$14,Paramètres!$A$1:$I$89,3,0)*VLOOKUP('Données projet'!$B$14,Paramètres!$A$1:$I$89,5,0)</f>
        <v>110.85400000000007</v>
      </c>
      <c r="DQ104" s="13">
        <f t="shared" si="97"/>
        <v>29.532102980068863</v>
      </c>
      <c r="DR104" s="20">
        <f t="shared" si="70"/>
        <v>244.50579602362004</v>
      </c>
      <c r="DS104" s="59">
        <f t="shared" si="71"/>
        <v>523.12536501786997</v>
      </c>
      <c r="DT104" s="59">
        <f ca="1">AVERAGE(OFFSET($DS$3,0,0,'Données projet'!$E$14+1,1))-AVERAGE(OFFSET($H$3,0,0,'Données projet'!$E$14+1,1))</f>
        <v>211.42385430331873</v>
      </c>
      <c r="DU104" s="59">
        <f t="shared" si="98"/>
        <v>146.84623106782686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>
        <f>EXP(-LN(2)/35)*EA103+(1-EXP(-LN(2)/35))/(LN(2)/35)*DW104*DX104*VLOOKUP('Données projet'!$B$14,Paramètres!$A$1:$I$89,3,0)*0.475*44/12</f>
        <v>5.8054337747582121</v>
      </c>
      <c r="EB104" s="21">
        <f>EXP(-LN(2)/25)*EB103+(1-EXP(-LN(2)/25))/(LN(2)/25)*Calculateur!DW104*Calculateur!DY104*VLOOKUP('Données projet'!$B$14,Paramètres!$A$1:$I$89,3,0)*0.475*44/12</f>
        <v>8.5397296704708392</v>
      </c>
      <c r="EC104" s="21">
        <f>EXP(-LN(2)/2)*EC103+(1-EXP(-LN(2)/2))/(LN(2)/2)*DW104*DZ104*VLOOKUP('Données projet'!$B$14,Paramètres!$A$1:$I$89,3,0)*0.475*44/12</f>
        <v>1.5864281007002086</v>
      </c>
      <c r="ED104" s="22">
        <f t="shared" si="72"/>
        <v>15.93159154592926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65.987155180249971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1.9230769230769227</v>
      </c>
      <c r="EJ104" s="12">
        <f>IF('Données projet'!$A$192&gt;35,EJ103+EI104-ER103,IF(A104&lt;'Données projet'!$A$192,$EG$205^A104,IF(A104='Données projet'!$A$192,'Données projet'!$B$192,EJ103+EI104-ER103)))</f>
        <v>105.12820512820508</v>
      </c>
      <c r="EK104" s="17">
        <f>EJ104*VLOOKUP('Données projet'!$B$15,Paramètres!$A$1:$I$89,3,0)*VLOOKUP('Données projet'!$B$15,Paramètres!$A$1:$I$89,5,0)</f>
        <v>113.15999999999995</v>
      </c>
      <c r="EL104" s="13">
        <f t="shared" si="99"/>
        <v>30.074273543773817</v>
      </c>
      <c r="EM104" s="20">
        <f t="shared" si="73"/>
        <v>249.46635975540599</v>
      </c>
      <c r="EN104" s="59">
        <f t="shared" si="74"/>
        <v>528.08592874965586</v>
      </c>
      <c r="EO104" s="59">
        <f ca="1">AVERAGE(OFFSET($EN$3,0,0,'Données projet'!$E$15+1,1))-AVERAGE(OFFSET($H$3,0,0,'Données projet'!$E$15+1,1))</f>
        <v>212.00478362779876</v>
      </c>
      <c r="EP104" s="59">
        <f t="shared" si="100"/>
        <v>133.62262474506707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>
        <f>EXP(-LN(2)/35)*EV103+(1-EXP(-LN(2)/35))/(LN(2)/35)*ER104*ES104*VLOOKUP('Données projet'!$B$15,Paramètres!$A$1:$I$89,3,0)*0.475*44/12</f>
        <v>0</v>
      </c>
      <c r="EW104" s="21">
        <f>EXP(-LN(2)/25)*EW103+(1-EXP(-LN(2)/25))/(LN(2)/25)*Calculateur!ER104*Calculateur!ET104*VLOOKUP('Données projet'!$B$15,Paramètres!$A$1:$I$89,3,0)*0.475*44/12</f>
        <v>5.0840674101168126</v>
      </c>
      <c r="EX104" s="21">
        <f>EXP(-LN(2)/2)*EX103+(1-EXP(-LN(2)/2))/(LN(2)/2)*ER104*EU104*VLOOKUP('Données projet'!$B$15,Paramètres!$A$1:$I$89,3,0)*0.475*44/12</f>
        <v>1.2582344674166732</v>
      </c>
      <c r="EY104" s="22">
        <f t="shared" si="75"/>
        <v>6.3423018775334858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65.987155180249971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1.9230769230769227</v>
      </c>
      <c r="FE104" s="12">
        <f>IF('Données projet'!$A$218&gt;35,FE103+FD104-FM103,IF(A104&lt;'Données projet'!$A$218,$FB$205^A104,IF(A104='Données projet'!$A$218,'Données projet'!$B$218,FE103+FD104-FM103)))</f>
        <v>105.12820512820508</v>
      </c>
      <c r="FF104" s="17">
        <f>FE104*VLOOKUP('Données projet'!$B$16,Paramètres!$A$1:$I$89,3,0)*VLOOKUP('Données projet'!$B$16,Paramètres!$A$1:$I$89,5,0)</f>
        <v>101.67999999999996</v>
      </c>
      <c r="FG104" s="13">
        <f t="shared" si="101"/>
        <v>27.361845471196556</v>
      </c>
      <c r="FH104" s="20">
        <f t="shared" si="76"/>
        <v>224.74788086233397</v>
      </c>
      <c r="FI104" s="59">
        <f t="shared" si="77"/>
        <v>503.3674498565839</v>
      </c>
      <c r="FJ104" s="59">
        <f ca="1">AVERAGE(OFFSET($FI$3,0,0,'Données projet'!$E$16+1,1))-AVERAGE(OFFSET($H$3,0,0,'Données projet'!$E$16+1,1))</f>
        <v>196.65742339093146</v>
      </c>
      <c r="FK104" s="59">
        <f t="shared" si="102"/>
        <v>125.41980634506001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>
        <f>EXP(-LN(2)/35)*FQ103+(1-EXP(-LN(2)/35))/(LN(2)/35)*FM104*FN104*VLOOKUP('Données projet'!$B$16,Paramètres!$A$1:$I$89,3,0)*0.475*44/12</f>
        <v>0</v>
      </c>
      <c r="FR104" s="21">
        <f>EXP(-LN(2)/25)*FR103+(1-EXP(-LN(2)/25))/(LN(2)/25)*Calculateur!FM104*Calculateur!FO104*VLOOKUP('Données projet'!$B$16,Paramètres!$A$1:$I$89,3,0)*0.475*44/12</f>
        <v>4.5682924554672821</v>
      </c>
      <c r="FS104" s="21">
        <f>EXP(-LN(2)/2)*FS103+(1-EXP(-LN(2)/2))/(LN(2)/2)*FM104*FP104*VLOOKUP('Données projet'!$B$16,Paramètres!$A$1:$I$89,3,0)*0.475*44/12</f>
        <v>1.1305874924613584</v>
      </c>
      <c r="FT104" s="22">
        <f t="shared" si="78"/>
        <v>5.6988799479286403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65.987155180249971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65.987155180249971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>
      <c r="A105" s="10">
        <f t="shared" si="85"/>
        <v>102</v>
      </c>
      <c r="B105" s="73">
        <f>'Scénario référence'!$B$16*5+'Scénario référence'!$B$17*0+'Scénario référence'!$B$18*5</f>
        <v>4.6999999999999993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5.4419040000000027</v>
      </c>
      <c r="D105" s="11">
        <f t="shared" si="86"/>
        <v>2.0590246176115059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19.673447640437608</v>
      </c>
      <c r="H105" s="67">
        <f t="shared" si="56"/>
        <v>200.79745067567339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66.056769066495633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-2.2737367544323206E-13</v>
      </c>
      <c r="O105" s="13">
        <f>N105*VLOOKUP('Données projet'!$B$9,Paramètres!$A$1:$I$89,3,0)*VLOOKUP('Données projet'!$B$9,Paramètres!$A$1:$I$89,5,0)</f>
        <v>-1.3596945791505279E-13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366.93249569585623</v>
      </c>
      <c r="T105" s="59">
        <f t="shared" si="88"/>
        <v>272.47262353368501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99.135941407702646</v>
      </c>
      <c r="AA105" s="21">
        <f>EXP(-LN(2)/25)*AA104+(1-EXP(-LN(2)/25))/(LN(2)/25)*Calculateur!V105*Calculateur!X105*VLOOKUP('Données projet'!$B$9,Paramètres!$A$1:$I$89,3,0)*0.475*44/12</f>
        <v>28.116206918860343</v>
      </c>
      <c r="AB105" s="21">
        <f>EXP(-LN(2)/2)*AB104+(1-EXP(-LN(2)/2))/(LN(2)/2)*V105*Y105*VLOOKUP('Données projet'!$B$9,Paramètres!$A$1:$I$89,3,0)*0.475*44/12</f>
        <v>3.4529610742777689E-2</v>
      </c>
      <c r="AC105" s="22">
        <f t="shared" si="57"/>
        <v>127.28667793730577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66.056769066495633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8.8549999999999951</v>
      </c>
      <c r="AI105" s="13">
        <f>IF('Données projet'!$A$62&gt;35,AI104+AH105-AQ104,IF(A105&lt;'Données projet'!$A$62,$AF$205^A105,IF(A105='Données projet'!$A$62,'Données projet'!$B$62,AI104+AH105-AQ104)))</f>
        <v>334.89500000000004</v>
      </c>
      <c r="AJ105" s="13">
        <f>AI105*VLOOKUP('Données projet'!$B$10,Paramètres!$A$1:$I$89,3,0)*VLOOKUP('Données projet'!$B$10,Paramètres!$A$1:$I$89,5,0)</f>
        <v>156.73086000000001</v>
      </c>
      <c r="AK105" s="13">
        <f t="shared" si="89"/>
        <v>40.104268178684563</v>
      </c>
      <c r="AL105" s="20">
        <f t="shared" si="58"/>
        <v>342.82118157787562</v>
      </c>
      <c r="AM105" s="59">
        <f t="shared" si="59"/>
        <v>621.69600148835957</v>
      </c>
      <c r="AN105" s="59">
        <f ca="1">AVERAGE(OFFSET($AM$3,0,0,'Données projet'!$E$10+1,1))-AVERAGE(OFFSET($H$3,0,0,'Données projet'!$E$10+1,1))</f>
        <v>382.89338473200229</v>
      </c>
      <c r="AO105" s="59">
        <f t="shared" si="90"/>
        <v>360.46248248971744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116.9432388702544</v>
      </c>
      <c r="AV105" s="21">
        <f>EXP(-LN(2)/25)*AV104+(1-EXP(-LN(2)/25))/(LN(2)/25)*Calculateur!AQ105*Calculateur!AS105*VLOOKUP('Données projet'!$B$10,Paramètres!$A$1:$I$89,3,0)*0.475*44/12</f>
        <v>32.459256115844894</v>
      </c>
      <c r="AW105" s="21">
        <f>EXP(-LN(2)/2)*AW104+(1-EXP(-LN(2)/2))/(LN(2)/2)*AQ105*AT105*VLOOKUP('Données projet'!$B$10,Paramètres!$A$1:$I$89,3,0)*0.475*44/12</f>
        <v>2.6068204255896563</v>
      </c>
      <c r="AX105" s="21">
        <f t="shared" si="60"/>
        <v>152.00931541168896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66.056769066495633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>
        <f>BD105*VLOOKUP('Données projet'!$B$11,Paramètres!$A$1:$I$89,3,0)*VLOOKUP('Données projet'!$B$11,Paramètres!$A$1:$I$89,5,0)</f>
        <v>0</v>
      </c>
      <c r="BF105" s="13" t="e">
        <f t="shared" si="91"/>
        <v>#NUM!</v>
      </c>
      <c r="BG105" s="20" t="e">
        <f t="shared" si="61"/>
        <v>#NUM!</v>
      </c>
      <c r="BH105" s="59" t="e">
        <f t="shared" si="62"/>
        <v>#NUM!</v>
      </c>
      <c r="BI105" s="59">
        <f ca="1">AVERAGE(OFFSET($BH$3,0,0,'Données projet'!$E$11+1,1))-AVERAGE(OFFSET($H$3,0,0,'Données projet'!$E$11+1,1))</f>
        <v>225.75484198243581</v>
      </c>
      <c r="BJ105" s="59">
        <f t="shared" si="92"/>
        <v>199.49566488421061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7.126752931441807</v>
      </c>
      <c r="BQ105" s="21">
        <f>EXP(-LN(2)/25)*BQ104+(1-EXP(-LN(2)/25))/(LN(2)/25)*Calculateur!BL105*Calculateur!BN105*VLOOKUP('Données projet'!$B$11,Paramètres!$A$1:$I$89,3,0)*0.475*44/12</f>
        <v>38.270813972112158</v>
      </c>
      <c r="BR105" s="21">
        <f>EXP(-LN(2)/2)*BR104+(1-EXP(-LN(2)/2))/(LN(2)/2)*BL105*BO105*VLOOKUP('Données projet'!$B$11,Paramètres!$A$1:$I$89,3,0)*0.475*44/12</f>
        <v>0</v>
      </c>
      <c r="BS105" s="22">
        <f t="shared" si="63"/>
        <v>45.397566903553965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66.056769066495633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4.5999999999999996</v>
      </c>
      <c r="BY105" s="12">
        <f>IF('Données projet'!$A$114&gt;35,BY104+BX105-CG104,IF(A105&lt;'Données projet'!$A$114,$BV$205^A105,IF(A105='Données projet'!$A$114,'Données projet'!$B$114,BY104+BX105-CG104)))</f>
        <v>270.19999999999993</v>
      </c>
      <c r="BZ105" s="13">
        <f>BY105*VLOOKUP('Données projet'!$B$12,Paramètres!$A$1:$I$89,3,0)*VLOOKUP('Données projet'!$B$12,Paramètres!$A$1:$I$89,5,0)</f>
        <v>257.12231999999995</v>
      </c>
      <c r="CA105" s="13">
        <f t="shared" si="93"/>
        <v>62.108576103251544</v>
      </c>
      <c r="CB105" s="20">
        <f t="shared" si="64"/>
        <v>555.99381071316304</v>
      </c>
      <c r="CC105" s="59">
        <f t="shared" si="65"/>
        <v>834.86863062364705</v>
      </c>
      <c r="CD105" s="59">
        <f ca="1">AVERAGE(OFFSET($CC$3,0,0,'Données projet'!$E$12+1,1))-AVERAGE(OFFSET($H$3,0,0,'Données projet'!$E$12+1,1))</f>
        <v>413.9352601863377</v>
      </c>
      <c r="CE105" s="59">
        <f t="shared" si="94"/>
        <v>255.13997349799286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12.105839137343617</v>
      </c>
      <c r="CL105" s="21">
        <f>EXP(-LN(2)/25)*CL104+(1-EXP(-LN(2)/25))/(LN(2)/25)*Calculateur!CG105*Calculateur!CI105*VLOOKUP('Données projet'!$B$12,Paramètres!$A$1:$I$89,3,0)*0.475*44/12</f>
        <v>15.233168755892528</v>
      </c>
      <c r="CM105" s="21">
        <f>EXP(-LN(2)/2)*CM104+(1-EXP(-LN(2)/2))/(LN(2)/2)*CG105*CJ105*VLOOKUP('Données projet'!$B$12,Paramètres!$A$1:$I$89,3,0)*0.475*44/12</f>
        <v>2.8629936043653141</v>
      </c>
      <c r="CN105" s="22">
        <f t="shared" si="66"/>
        <v>30.202001497601458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66.056769066495633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2.8421709430404007E-14</v>
      </c>
      <c r="CU105" s="17">
        <f>CT105*VLOOKUP('Données projet'!$B$13,Paramètres!$A$1:$I$89,3,0)*VLOOKUP('Données projet'!$B$13,Paramètres!$A$1:$I$89,5,0)</f>
        <v>2.4829205358400945E-14</v>
      </c>
      <c r="CV105" s="13">
        <f t="shared" si="95"/>
        <v>4.3867331143352915E-13</v>
      </c>
      <c r="CW105" s="20">
        <f t="shared" si="67"/>
        <v>8.0726688341261168E-13</v>
      </c>
      <c r="CX105" s="59">
        <f t="shared" si="68"/>
        <v>278.87481991048475</v>
      </c>
      <c r="CY105" s="59">
        <f ca="1">AVERAGE(OFFSET($CX$3,0,0,'Données projet'!$E$13+1,1))-AVERAGE(OFFSET($H$3,0,0,'Données projet'!$E$13+1,1))</f>
        <v>280.59827778697775</v>
      </c>
      <c r="CZ105" s="59">
        <f t="shared" si="96"/>
        <v>270.86588231964726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>
        <f>EXP(-LN(2)/35)*DF104+(1-EXP(-LN(2)/35))/(LN(2)/35)*DB105*DC105*VLOOKUP('Données projet'!$B$13,Paramètres!$A$1:$I$89,3,0)*0.475*44/12</f>
        <v>21.336021885348863</v>
      </c>
      <c r="DG105" s="21">
        <f>EXP(-LN(2)/25)*DG104+(1-EXP(-LN(2)/25))/(LN(2)/25)*Calculateur!DB105*Calculateur!DD105*VLOOKUP('Données projet'!$B$13,Paramètres!$A$1:$I$89,3,0)*0.475*44/12</f>
        <v>19.830722073014616</v>
      </c>
      <c r="DH105" s="21">
        <f>EXP(-LN(2)/2)*DH104+(1-EXP(-LN(2)/2))/(LN(2)/2)*DB105*DE105*VLOOKUP('Données projet'!$B$13,Paramètres!$A$1:$I$89,3,0)*0.475*44/12</f>
        <v>2.2190645332337951E-2</v>
      </c>
      <c r="DI105" s="22">
        <f t="shared" si="69"/>
        <v>41.18893460369582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66.056769066495633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3.0769230769230718</v>
      </c>
      <c r="DO105" s="12">
        <f>IF('Données projet'!$A$166&gt;35,DO104+DN105-DW104,IF(A105&lt;'Données projet'!$A$166,$DL$205^A105,IF(A105='Données projet'!$A$166,'Données projet'!$B$166,DO104+DN105-DW104)))</f>
        <v>168.33333333333343</v>
      </c>
      <c r="DP105" s="17">
        <f>DO105*VLOOKUP('Données projet'!$B$14,Paramètres!$A$1:$I$89,3,0)*VLOOKUP('Données projet'!$B$14,Paramètres!$A$1:$I$89,5,0)</f>
        <v>112.91800000000006</v>
      </c>
      <c r="DQ105" s="13">
        <f t="shared" si="97"/>
        <v>30.017437037525255</v>
      </c>
      <c r="DR105" s="20">
        <f t="shared" si="70"/>
        <v>248.94588617368993</v>
      </c>
      <c r="DS105" s="59">
        <f t="shared" si="71"/>
        <v>527.82070608417393</v>
      </c>
      <c r="DT105" s="59">
        <f ca="1">AVERAGE(OFFSET($DS$3,0,0,'Données projet'!$E$14+1,1))-AVERAGE(OFFSET($H$3,0,0,'Données projet'!$E$14+1,1))</f>
        <v>211.42385430331873</v>
      </c>
      <c r="DU105" s="59">
        <f t="shared" si="98"/>
        <v>146.84623106782686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>
        <f>EXP(-LN(2)/35)*EA104+(1-EXP(-LN(2)/35))/(LN(2)/35)*DW105*DX105*VLOOKUP('Données projet'!$B$14,Paramètres!$A$1:$I$89,3,0)*0.475*44/12</f>
        <v>5.691592759400165</v>
      </c>
      <c r="EB105" s="21">
        <f>EXP(-LN(2)/25)*EB104+(1-EXP(-LN(2)/25))/(LN(2)/25)*Calculateur!DW105*Calculateur!DY105*VLOOKUP('Données projet'!$B$14,Paramètres!$A$1:$I$89,3,0)*0.475*44/12</f>
        <v>8.3062103135469485</v>
      </c>
      <c r="EC105" s="21">
        <f>EXP(-LN(2)/2)*EC104+(1-EXP(-LN(2)/2))/(LN(2)/2)*DW105*DZ105*VLOOKUP('Données projet'!$B$14,Paramètres!$A$1:$I$89,3,0)*0.475*44/12</f>
        <v>1.1217740678700125</v>
      </c>
      <c r="ED105" s="22">
        <f t="shared" si="72"/>
        <v>15.119577140817126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66.056769066495633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1.9230769230769227</v>
      </c>
      <c r="EJ105" s="12">
        <f>IF('Données projet'!$A$192&gt;35,EJ104+EI105-ER104,IF(A105&lt;'Données projet'!$A$192,$EG$205^A105,IF(A105='Données projet'!$A$192,'Données projet'!$B$192,EJ104+EI105-ER104)))</f>
        <v>107.051282051282</v>
      </c>
      <c r="EK105" s="17">
        <f>EJ105*VLOOKUP('Données projet'!$B$15,Paramètres!$A$1:$I$89,3,0)*VLOOKUP('Données projet'!$B$15,Paramètres!$A$1:$I$89,5,0)</f>
        <v>115.22999999999993</v>
      </c>
      <c r="EL105" s="13">
        <f t="shared" si="99"/>
        <v>30.559862464301705</v>
      </c>
      <c r="EM105" s="20">
        <f t="shared" si="73"/>
        <v>253.91734379199201</v>
      </c>
      <c r="EN105" s="59">
        <f t="shared" si="74"/>
        <v>532.79216370247593</v>
      </c>
      <c r="EO105" s="59">
        <f ca="1">AVERAGE(OFFSET($EN$3,0,0,'Données projet'!$E$15+1,1))-AVERAGE(OFFSET($H$3,0,0,'Données projet'!$E$15+1,1))</f>
        <v>212.00478362779876</v>
      </c>
      <c r="EP105" s="59">
        <f t="shared" si="100"/>
        <v>133.62262474506707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>
        <f>EXP(-LN(2)/35)*EV104+(1-EXP(-LN(2)/35))/(LN(2)/35)*ER105*ES105*VLOOKUP('Données projet'!$B$15,Paramètres!$A$1:$I$89,3,0)*0.475*44/12</f>
        <v>0</v>
      </c>
      <c r="EW105" s="21">
        <f>EXP(-LN(2)/25)*EW104+(1-EXP(-LN(2)/25))/(LN(2)/25)*Calculateur!ER105*Calculateur!ET105*VLOOKUP('Données projet'!$B$15,Paramètres!$A$1:$I$89,3,0)*0.475*44/12</f>
        <v>4.9450433194276835</v>
      </c>
      <c r="EX105" s="21">
        <f>EXP(-LN(2)/2)*EX104+(1-EXP(-LN(2)/2))/(LN(2)/2)*ER105*EU105*VLOOKUP('Données projet'!$B$15,Paramètres!$A$1:$I$89,3,0)*0.475*44/12</f>
        <v>0.88970612423297379</v>
      </c>
      <c r="EY105" s="22">
        <f t="shared" si="75"/>
        <v>5.8347494436606571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66.056769066495633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1.9230769230769227</v>
      </c>
      <c r="FE105" s="12">
        <f>IF('Données projet'!$A$218&gt;35,FE104+FD105-FM104,IF(A105&lt;'Données projet'!$A$218,$FB$205^A105,IF(A105='Données projet'!$A$218,'Données projet'!$B$218,FE104+FD105-FM104)))</f>
        <v>107.051282051282</v>
      </c>
      <c r="FF105" s="17">
        <f>FE105*VLOOKUP('Données projet'!$B$16,Paramètres!$A$1:$I$89,3,0)*VLOOKUP('Données projet'!$B$16,Paramètres!$A$1:$I$89,5,0)</f>
        <v>103.53999999999996</v>
      </c>
      <c r="FG105" s="13">
        <f t="shared" si="101"/>
        <v>27.80363865322208</v>
      </c>
      <c r="FH105" s="20">
        <f t="shared" si="76"/>
        <v>228.75683732102837</v>
      </c>
      <c r="FI105" s="59">
        <f t="shared" si="77"/>
        <v>507.63165723151235</v>
      </c>
      <c r="FJ105" s="59">
        <f ca="1">AVERAGE(OFFSET($FI$3,0,0,'Données projet'!$E$16+1,1))-AVERAGE(OFFSET($H$3,0,0,'Données projet'!$E$16+1,1))</f>
        <v>196.65742339093146</v>
      </c>
      <c r="FK105" s="59">
        <f t="shared" si="102"/>
        <v>125.41980634506001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>
        <f>EXP(-LN(2)/35)*FQ104+(1-EXP(-LN(2)/35))/(LN(2)/35)*FM105*FN105*VLOOKUP('Données projet'!$B$16,Paramètres!$A$1:$I$89,3,0)*0.475*44/12</f>
        <v>0</v>
      </c>
      <c r="FR105" s="21">
        <f>EXP(-LN(2)/25)*FR104+(1-EXP(-LN(2)/25))/(LN(2)/25)*Calculateur!FM105*Calculateur!FO105*VLOOKUP('Données projet'!$B$16,Paramètres!$A$1:$I$89,3,0)*0.475*44/12</f>
        <v>4.4433722580364696</v>
      </c>
      <c r="FS105" s="21">
        <f>EXP(-LN(2)/2)*FS104+(1-EXP(-LN(2)/2))/(LN(2)/2)*FM105*FP105*VLOOKUP('Données projet'!$B$16,Paramètres!$A$1:$I$89,3,0)*0.475*44/12</f>
        <v>0.7994460826441212</v>
      </c>
      <c r="FT105" s="22">
        <f t="shared" si="78"/>
        <v>5.242818340680591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66.056769066495633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66.056769066495633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>
      <c r="A106" s="10">
        <f t="shared" si="85"/>
        <v>103</v>
      </c>
      <c r="B106" s="73">
        <f>'Scénario référence'!$B$16*5+'Scénario référence'!$B$17*0+'Scénario référence'!$B$18*5</f>
        <v>4.6999999999999993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5.495256000000003</v>
      </c>
      <c r="D106" s="11">
        <f t="shared" si="86"/>
        <v>2.0768512824928393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19.706414601014227</v>
      </c>
      <c r="H106" s="67">
        <f t="shared" si="56"/>
        <v>200.92142018367505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66.125175307448259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-2.2737367544323206E-13</v>
      </c>
      <c r="O106" s="13">
        <f>N106*VLOOKUP('Données projet'!$B$9,Paramètres!$A$1:$I$89,3,0)*VLOOKUP('Données projet'!$B$9,Paramètres!$A$1:$I$89,5,0)</f>
        <v>-1.3596945791505279E-13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366.93249569585623</v>
      </c>
      <c r="T106" s="59">
        <f t="shared" si="88"/>
        <v>272.47262353368501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97.191946063651244</v>
      </c>
      <c r="AA106" s="21">
        <f>EXP(-LN(2)/25)*AA105+(1-EXP(-LN(2)/25))/(LN(2)/25)*Calculateur!V106*Calculateur!X106*VLOOKUP('Données projet'!$B$9,Paramètres!$A$1:$I$89,3,0)*0.475*44/12</f>
        <v>27.347367762097043</v>
      </c>
      <c r="AB106" s="21">
        <f>EXP(-LN(2)/2)*AB105+(1-EXP(-LN(2)/2))/(LN(2)/2)*V106*Y106*VLOOKUP('Données projet'!$B$9,Paramètres!$A$1:$I$89,3,0)*0.475*44/12</f>
        <v>2.4416121907949964E-2</v>
      </c>
      <c r="AC106" s="22">
        <f t="shared" si="57"/>
        <v>124.56372994765623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66.125175307448259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8.8549999999999951</v>
      </c>
      <c r="AI106" s="13">
        <f>IF('Données projet'!$A$62&gt;35,AI105+AH106-AQ105,IF(A106&lt;'Données projet'!$A$62,$AF$205^A106,IF(A106='Données projet'!$A$62,'Données projet'!$B$62,AI105+AH106-AQ105)))</f>
        <v>343.75000000000006</v>
      </c>
      <c r="AJ106" s="13">
        <f>AI106*VLOOKUP('Données projet'!$B$10,Paramètres!$A$1:$I$89,3,0)*VLOOKUP('Données projet'!$B$10,Paramètres!$A$1:$I$89,5,0)</f>
        <v>160.87500000000003</v>
      </c>
      <c r="AK106" s="13">
        <f t="shared" si="89"/>
        <v>41.039811411008891</v>
      </c>
      <c r="AL106" s="20">
        <f t="shared" si="58"/>
        <v>351.66829654084057</v>
      </c>
      <c r="AM106" s="59">
        <f t="shared" si="59"/>
        <v>630.79393933481754</v>
      </c>
      <c r="AN106" s="59">
        <f ca="1">AVERAGE(OFFSET($AM$3,0,0,'Données projet'!$E$10+1,1))-AVERAGE(OFFSET($H$3,0,0,'Données projet'!$E$10+1,1))</f>
        <v>382.89338473200229</v>
      </c>
      <c r="AO106" s="59">
        <f t="shared" si="90"/>
        <v>360.46248248971744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114.65005328434134</v>
      </c>
      <c r="AV106" s="21">
        <f>EXP(-LN(2)/25)*AV105+(1-EXP(-LN(2)/25))/(LN(2)/25)*Calculateur!AQ106*Calculateur!AS106*VLOOKUP('Données projet'!$B$10,Paramètres!$A$1:$I$89,3,0)*0.475*44/12</f>
        <v>31.571656050399024</v>
      </c>
      <c r="AW106" s="21">
        <f>EXP(-LN(2)/2)*AW105+(1-EXP(-LN(2)/2))/(LN(2)/2)*AQ106*AT106*VLOOKUP('Données projet'!$B$10,Paramètres!$A$1:$I$89,3,0)*0.475*44/12</f>
        <v>1.8433004002700479</v>
      </c>
      <c r="AX106" s="21">
        <f t="shared" si="60"/>
        <v>148.06500973501039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66.125175307448259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>
        <f>BD106*VLOOKUP('Données projet'!$B$11,Paramètres!$A$1:$I$89,3,0)*VLOOKUP('Données projet'!$B$11,Paramètres!$A$1:$I$89,5,0)</f>
        <v>0</v>
      </c>
      <c r="BF106" s="13" t="e">
        <f t="shared" si="91"/>
        <v>#NUM!</v>
      </c>
      <c r="BG106" s="20" t="e">
        <f t="shared" si="61"/>
        <v>#NUM!</v>
      </c>
      <c r="BH106" s="59" t="e">
        <f t="shared" si="62"/>
        <v>#NUM!</v>
      </c>
      <c r="BI106" s="59">
        <f ca="1">AVERAGE(OFFSET($BH$3,0,0,'Données projet'!$E$11+1,1))-AVERAGE(OFFSET($H$3,0,0,'Données projet'!$E$11+1,1))</f>
        <v>225.75484198243581</v>
      </c>
      <c r="BJ106" s="59">
        <f t="shared" si="92"/>
        <v>199.49566488421061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6.9870016533463017</v>
      </c>
      <c r="BQ106" s="21">
        <f>EXP(-LN(2)/25)*BQ105+(1-EXP(-LN(2)/25))/(LN(2)/25)*Calculateur!BL106*Calculateur!BN106*VLOOKUP('Données projet'!$B$11,Paramètres!$A$1:$I$89,3,0)*0.475*44/12</f>
        <v>37.224296551470111</v>
      </c>
      <c r="BR106" s="21">
        <f>EXP(-LN(2)/2)*BR105+(1-EXP(-LN(2)/2))/(LN(2)/2)*BL106*BO106*VLOOKUP('Données projet'!$B$11,Paramètres!$A$1:$I$89,3,0)*0.475*44/12</f>
        <v>0</v>
      </c>
      <c r="BS106" s="22">
        <f t="shared" si="63"/>
        <v>44.211298204816416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66.125175307448259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4.5999999999999996</v>
      </c>
      <c r="BY106" s="12">
        <f>IF('Données projet'!$A$114&gt;35,BY105+BX106-CG105,IF(A106&lt;'Données projet'!$A$114,$BV$205^A106,IF(A106='Données projet'!$A$114,'Données projet'!$B$114,BY105+BX106-CG105)))</f>
        <v>274.79999999999995</v>
      </c>
      <c r="BZ106" s="13">
        <f>BY106*VLOOKUP('Données projet'!$B$12,Paramètres!$A$1:$I$89,3,0)*VLOOKUP('Données projet'!$B$12,Paramètres!$A$1:$I$89,5,0)</f>
        <v>261.49967999999996</v>
      </c>
      <c r="CA106" s="13">
        <f t="shared" si="93"/>
        <v>63.041942045518894</v>
      </c>
      <c r="CB106" s="20">
        <f t="shared" si="64"/>
        <v>565.24332506261192</v>
      </c>
      <c r="CC106" s="59">
        <f t="shared" si="65"/>
        <v>844.36896785658882</v>
      </c>
      <c r="CD106" s="59">
        <f ca="1">AVERAGE(OFFSET($CC$3,0,0,'Données projet'!$E$12+1,1))-AVERAGE(OFFSET($H$3,0,0,'Données projet'!$E$12+1,1))</f>
        <v>413.9352601863377</v>
      </c>
      <c r="CE106" s="59">
        <f t="shared" si="94"/>
        <v>255.13997349799286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11.86845101569309</v>
      </c>
      <c r="CL106" s="21">
        <f>EXP(-LN(2)/25)*CL105+(1-EXP(-LN(2)/25))/(LN(2)/25)*Calculateur!CG106*Calculateur!CI106*VLOOKUP('Données projet'!$B$12,Paramètres!$A$1:$I$89,3,0)*0.475*44/12</f>
        <v>14.816616955185118</v>
      </c>
      <c r="CM106" s="21">
        <f>EXP(-LN(2)/2)*CM105+(1-EXP(-LN(2)/2))/(LN(2)/2)*CG106*CJ106*VLOOKUP('Données projet'!$B$12,Paramètres!$A$1:$I$89,3,0)*0.475*44/12</f>
        <v>2.0244421921404294</v>
      </c>
      <c r="CN106" s="22">
        <f t="shared" si="66"/>
        <v>28.709510163018638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66.125175307448259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2.8421709430404007E-14</v>
      </c>
      <c r="CU106" s="17">
        <f>CT106*VLOOKUP('Données projet'!$B$13,Paramètres!$A$1:$I$89,3,0)*VLOOKUP('Données projet'!$B$13,Paramètres!$A$1:$I$89,5,0)</f>
        <v>2.4829205358400945E-14</v>
      </c>
      <c r="CV106" s="13">
        <f t="shared" si="95"/>
        <v>4.3867331143352915E-13</v>
      </c>
      <c r="CW106" s="20">
        <f t="shared" si="67"/>
        <v>8.0726688341261168E-13</v>
      </c>
      <c r="CX106" s="59">
        <f t="shared" si="68"/>
        <v>279.12564279397776</v>
      </c>
      <c r="CY106" s="59">
        <f ca="1">AVERAGE(OFFSET($CX$3,0,0,'Données projet'!$E$13+1,1))-AVERAGE(OFFSET($H$3,0,0,'Données projet'!$E$13+1,1))</f>
        <v>280.59827778697775</v>
      </c>
      <c r="CZ106" s="59">
        <f t="shared" si="96"/>
        <v>270.86588231964726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>
        <f>EXP(-LN(2)/35)*DF105+(1-EXP(-LN(2)/35))/(LN(2)/35)*DB106*DC106*VLOOKUP('Données projet'!$B$13,Paramètres!$A$1:$I$89,3,0)*0.475*44/12</f>
        <v>20.917635509865526</v>
      </c>
      <c r="DG106" s="21">
        <f>EXP(-LN(2)/25)*DG105+(1-EXP(-LN(2)/25))/(LN(2)/25)*Calculateur!DB106*Calculateur!DD106*VLOOKUP('Données projet'!$B$13,Paramètres!$A$1:$I$89,3,0)*0.475*44/12</f>
        <v>19.288449935075683</v>
      </c>
      <c r="DH106" s="21">
        <f>EXP(-LN(2)/2)*DH105+(1-EXP(-LN(2)/2))/(LN(2)/2)*DB106*DE106*VLOOKUP('Données projet'!$B$13,Paramètres!$A$1:$I$89,3,0)*0.475*44/12</f>
        <v>1.5691155793401773E-2</v>
      </c>
      <c r="DI106" s="22">
        <f t="shared" si="69"/>
        <v>40.221776600734614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66.125175307448259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3.0769230769230718</v>
      </c>
      <c r="DO106" s="12">
        <f>IF('Données projet'!$A$166&gt;35,DO105+DN106-DW105,IF(A106&lt;'Données projet'!$A$166,$DL$205^A106,IF(A106='Données projet'!$A$166,'Données projet'!$B$166,DO105+DN106-DW105)))</f>
        <v>171.41025641025649</v>
      </c>
      <c r="DP106" s="17">
        <f>DO106*VLOOKUP('Données projet'!$B$14,Paramètres!$A$1:$I$89,3,0)*VLOOKUP('Données projet'!$B$14,Paramètres!$A$1:$I$89,5,0)</f>
        <v>114.98200000000006</v>
      </c>
      <c r="DQ106" s="13">
        <f t="shared" si="97"/>
        <v>30.501739512637389</v>
      </c>
      <c r="DR106" s="20">
        <f t="shared" si="70"/>
        <v>253.38417965117685</v>
      </c>
      <c r="DS106" s="59">
        <f t="shared" si="71"/>
        <v>532.50982244515376</v>
      </c>
      <c r="DT106" s="59">
        <f ca="1">AVERAGE(OFFSET($DS$3,0,0,'Données projet'!$E$14+1,1))-AVERAGE(OFFSET($H$3,0,0,'Données projet'!$E$14+1,1))</f>
        <v>211.42385430331873</v>
      </c>
      <c r="DU106" s="59">
        <f t="shared" si="98"/>
        <v>146.84623106782686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>
        <f>EXP(-LN(2)/35)*EA105+(1-EXP(-LN(2)/35))/(LN(2)/35)*DW106*DX106*VLOOKUP('Données projet'!$B$14,Paramètres!$A$1:$I$89,3,0)*0.475*44/12</f>
        <v>5.5799840969171264</v>
      </c>
      <c r="EB106" s="21">
        <f>EXP(-LN(2)/25)*EB105+(1-EXP(-LN(2)/25))/(LN(2)/25)*Calculateur!DW106*Calculateur!DY106*VLOOKUP('Données projet'!$B$14,Paramètres!$A$1:$I$89,3,0)*0.475*44/12</f>
        <v>8.079076555718391</v>
      </c>
      <c r="EC106" s="21">
        <f>EXP(-LN(2)/2)*EC105+(1-EXP(-LN(2)/2))/(LN(2)/2)*DW106*DZ106*VLOOKUP('Données projet'!$B$14,Paramètres!$A$1:$I$89,3,0)*0.475*44/12</f>
        <v>0.79321405035010428</v>
      </c>
      <c r="ED106" s="22">
        <f t="shared" si="72"/>
        <v>14.452274702985621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66.125175307448259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1.9230769230769227</v>
      </c>
      <c r="EJ106" s="12">
        <f>IF('Données projet'!$A$192&gt;35,EJ105+EI106-ER105,IF(A106&lt;'Données projet'!$A$192,$EG$205^A106,IF(A106='Données projet'!$A$192,'Données projet'!$B$192,EJ105+EI106-ER105)))</f>
        <v>108.97435897435892</v>
      </c>
      <c r="EK106" s="17">
        <f>EJ106*VLOOKUP('Données projet'!$B$15,Paramètres!$A$1:$I$89,3,0)*VLOOKUP('Données projet'!$B$15,Paramètres!$A$1:$I$89,5,0)</f>
        <v>117.29999999999994</v>
      </c>
      <c r="EL106" s="13">
        <f t="shared" si="99"/>
        <v>31.044437012840874</v>
      </c>
      <c r="EM106" s="20">
        <f t="shared" si="73"/>
        <v>258.36656113069773</v>
      </c>
      <c r="EN106" s="59">
        <f t="shared" si="74"/>
        <v>537.49220392467464</v>
      </c>
      <c r="EO106" s="59">
        <f ca="1">AVERAGE(OFFSET($EN$3,0,0,'Données projet'!$E$15+1,1))-AVERAGE(OFFSET($H$3,0,0,'Données projet'!$E$15+1,1))</f>
        <v>212.00478362779876</v>
      </c>
      <c r="EP106" s="59">
        <f t="shared" si="100"/>
        <v>133.62262474506707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>
        <f>EXP(-LN(2)/35)*EV105+(1-EXP(-LN(2)/35))/(LN(2)/35)*ER106*ES106*VLOOKUP('Données projet'!$B$15,Paramètres!$A$1:$I$89,3,0)*0.475*44/12</f>
        <v>0</v>
      </c>
      <c r="EW106" s="21">
        <f>EXP(-LN(2)/25)*EW105+(1-EXP(-LN(2)/25))/(LN(2)/25)*Calculateur!ER106*Calculateur!ET106*VLOOKUP('Données projet'!$B$15,Paramètres!$A$1:$I$89,3,0)*0.475*44/12</f>
        <v>4.8098208498094071</v>
      </c>
      <c r="EX106" s="21">
        <f>EXP(-LN(2)/2)*EX105+(1-EXP(-LN(2)/2))/(LN(2)/2)*ER106*EU106*VLOOKUP('Données projet'!$B$15,Paramètres!$A$1:$I$89,3,0)*0.475*44/12</f>
        <v>0.62911723370833672</v>
      </c>
      <c r="EY106" s="22">
        <f t="shared" si="75"/>
        <v>5.4389380835177441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66.125175307448259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1.9230769230769227</v>
      </c>
      <c r="FE106" s="12">
        <f>IF('Données projet'!$A$218&gt;35,FE105+FD106-FM105,IF(A106&lt;'Données projet'!$A$218,$FB$205^A106,IF(A106='Données projet'!$A$218,'Données projet'!$B$218,FE105+FD106-FM105)))</f>
        <v>108.97435897435892</v>
      </c>
      <c r="FF106" s="17">
        <f>FE106*VLOOKUP('Données projet'!$B$16,Paramètres!$A$1:$I$89,3,0)*VLOOKUP('Données projet'!$B$16,Paramètres!$A$1:$I$89,5,0)</f>
        <v>105.39999999999995</v>
      </c>
      <c r="FG106" s="13">
        <f t="shared" si="101"/>
        <v>28.24450895045814</v>
      </c>
      <c r="FH106" s="20">
        <f t="shared" si="76"/>
        <v>232.76418642204783</v>
      </c>
      <c r="FI106" s="59">
        <f t="shared" si="77"/>
        <v>511.88982921602479</v>
      </c>
      <c r="FJ106" s="59">
        <f ca="1">AVERAGE(OFFSET($FI$3,0,0,'Données projet'!$E$16+1,1))-AVERAGE(OFFSET($H$3,0,0,'Données projet'!$E$16+1,1))</f>
        <v>196.65742339093146</v>
      </c>
      <c r="FK106" s="59">
        <f t="shared" si="102"/>
        <v>125.41980634506001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>
        <f>EXP(-LN(2)/35)*FQ105+(1-EXP(-LN(2)/35))/(LN(2)/35)*FM106*FN106*VLOOKUP('Données projet'!$B$16,Paramètres!$A$1:$I$89,3,0)*0.475*44/12</f>
        <v>0</v>
      </c>
      <c r="FR106" s="21">
        <f>EXP(-LN(2)/25)*FR105+(1-EXP(-LN(2)/25))/(LN(2)/25)*Calculateur!FM106*Calculateur!FO106*VLOOKUP('Données projet'!$B$16,Paramètres!$A$1:$I$89,3,0)*0.475*44/12</f>
        <v>4.321868009973671</v>
      </c>
      <c r="FS106" s="21">
        <f>EXP(-LN(2)/2)*FS105+(1-EXP(-LN(2)/2))/(LN(2)/2)*FM106*FP106*VLOOKUP('Données projet'!$B$16,Paramètres!$A$1:$I$89,3,0)*0.475*44/12</f>
        <v>0.56529374623067918</v>
      </c>
      <c r="FT106" s="22">
        <f t="shared" si="78"/>
        <v>4.8871617562043506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66.125175307448259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66.125175307448259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>
      <c r="A107" s="10">
        <f t="shared" si="85"/>
        <v>104</v>
      </c>
      <c r="B107" s="73">
        <f>'Scénario référence'!$B$16*5+'Scénario référence'!$B$17*0+'Scénario référence'!$B$18*5</f>
        <v>4.6999999999999993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5.5486080000000033</v>
      </c>
      <c r="D107" s="11">
        <f t="shared" si="86"/>
        <v>2.0946578125566711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19.739372235991159</v>
      </c>
      <c r="H107" s="67">
        <f t="shared" si="56"/>
        <v>201.04535462353621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66.192394853053798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-2.2737367544323206E-13</v>
      </c>
      <c r="O107" s="13">
        <f>N107*VLOOKUP('Données projet'!$B$9,Paramètres!$A$1:$I$89,3,0)*VLOOKUP('Données projet'!$B$9,Paramètres!$A$1:$I$89,5,0)</f>
        <v>-1.3596945791505279E-13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366.93249569585623</v>
      </c>
      <c r="T107" s="59">
        <f t="shared" si="88"/>
        <v>272.47262353368501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95.2860712825766</v>
      </c>
      <c r="AA107" s="21">
        <f>EXP(-LN(2)/25)*AA106+(1-EXP(-LN(2)/25))/(LN(2)/25)*Calculateur!V107*Calculateur!X107*VLOOKUP('Données projet'!$B$9,Paramètres!$A$1:$I$89,3,0)*0.475*44/12</f>
        <v>26.599552552506932</v>
      </c>
      <c r="AB107" s="21">
        <f>EXP(-LN(2)/2)*AB106+(1-EXP(-LN(2)/2))/(LN(2)/2)*V107*Y107*VLOOKUP('Données projet'!$B$9,Paramètres!$A$1:$I$89,3,0)*0.475*44/12</f>
        <v>1.7264805371388844E-2</v>
      </c>
      <c r="AC107" s="22">
        <f t="shared" si="57"/>
        <v>121.90288864045492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66.192394853053798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8.8549999999999951</v>
      </c>
      <c r="AI107" s="13">
        <f>IF('Données projet'!$A$62&gt;35,AI106+AH107-AQ106,IF(A107&lt;'Données projet'!$A$62,$AF$205^A107,IF(A107='Données projet'!$A$62,'Données projet'!$B$62,AI106+AH107-AQ106)))</f>
        <v>352.60500000000008</v>
      </c>
      <c r="AJ107" s="13">
        <f>AI107*VLOOKUP('Données projet'!$B$10,Paramètres!$A$1:$I$89,3,0)*VLOOKUP('Données projet'!$B$10,Paramètres!$A$1:$I$89,5,0)</f>
        <v>165.01914000000005</v>
      </c>
      <c r="AK107" s="13">
        <f t="shared" si="89"/>
        <v>41.972553324657</v>
      </c>
      <c r="AL107" s="20">
        <f t="shared" si="58"/>
        <v>360.51053254044433</v>
      </c>
      <c r="AM107" s="59">
        <f t="shared" si="59"/>
        <v>639.88264700164154</v>
      </c>
      <c r="AN107" s="59">
        <f ca="1">AVERAGE(OFFSET($AM$3,0,0,'Données projet'!$E$10+1,1))-AVERAGE(OFFSET($H$3,0,0,'Données projet'!$E$10+1,1))</f>
        <v>382.89338473200229</v>
      </c>
      <c r="AO107" s="59">
        <f t="shared" si="90"/>
        <v>360.46248248971744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112.40183566906293</v>
      </c>
      <c r="AV107" s="21">
        <f>EXP(-LN(2)/25)*AV106+(1-EXP(-LN(2)/25))/(LN(2)/25)*Calculateur!AQ107*Calculateur!AS107*VLOOKUP('Données projet'!$B$10,Paramètres!$A$1:$I$89,3,0)*0.475*44/12</f>
        <v>30.708327455419628</v>
      </c>
      <c r="AW107" s="21">
        <f>EXP(-LN(2)/2)*AW106+(1-EXP(-LN(2)/2))/(LN(2)/2)*AQ107*AT107*VLOOKUP('Données projet'!$B$10,Paramètres!$A$1:$I$89,3,0)*0.475*44/12</f>
        <v>1.3034102127948284</v>
      </c>
      <c r="AX107" s="21">
        <f t="shared" si="60"/>
        <v>144.4135733372774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66.192394853053798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>
        <f>BD107*VLOOKUP('Données projet'!$B$11,Paramètres!$A$1:$I$89,3,0)*VLOOKUP('Données projet'!$B$11,Paramètres!$A$1:$I$89,5,0)</f>
        <v>0</v>
      </c>
      <c r="BF107" s="13" t="e">
        <f t="shared" si="91"/>
        <v>#NUM!</v>
      </c>
      <c r="BG107" s="20" t="e">
        <f t="shared" si="61"/>
        <v>#NUM!</v>
      </c>
      <c r="BH107" s="59" t="e">
        <f t="shared" si="62"/>
        <v>#NUM!</v>
      </c>
      <c r="BI107" s="59">
        <f ca="1">AVERAGE(OFFSET($BH$3,0,0,'Données projet'!$E$11+1,1))-AVERAGE(OFFSET($H$3,0,0,'Données projet'!$E$11+1,1))</f>
        <v>225.75484198243581</v>
      </c>
      <c r="BJ107" s="59">
        <f t="shared" si="92"/>
        <v>199.49566488421061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6.8499908125743865</v>
      </c>
      <c r="BQ107" s="21">
        <f>EXP(-LN(2)/25)*BQ106+(1-EXP(-LN(2)/25))/(LN(2)/25)*Calculateur!BL107*Calculateur!BN107*VLOOKUP('Données projet'!$B$11,Paramètres!$A$1:$I$89,3,0)*0.475*44/12</f>
        <v>36.206396204729479</v>
      </c>
      <c r="BR107" s="21">
        <f>EXP(-LN(2)/2)*BR106+(1-EXP(-LN(2)/2))/(LN(2)/2)*BL107*BO107*VLOOKUP('Données projet'!$B$11,Paramètres!$A$1:$I$89,3,0)*0.475*44/12</f>
        <v>0</v>
      </c>
      <c r="BS107" s="22">
        <f t="shared" si="63"/>
        <v>43.056387017303862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66.192394853053798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4.5999999999999996</v>
      </c>
      <c r="BY107" s="12">
        <f>IF('Données projet'!$A$114&gt;35,BY106+BX107-CG106,IF(A107&lt;'Données projet'!$A$114,$BV$205^A107,IF(A107='Données projet'!$A$114,'Données projet'!$B$114,BY106+BX107-CG106)))</f>
        <v>279.39999999999998</v>
      </c>
      <c r="BZ107" s="13">
        <f>BY107*VLOOKUP('Données projet'!$B$12,Paramètres!$A$1:$I$89,3,0)*VLOOKUP('Données projet'!$B$12,Paramètres!$A$1:$I$89,5,0)</f>
        <v>265.87703999999997</v>
      </c>
      <c r="CA107" s="13">
        <f t="shared" si="93"/>
        <v>63.973491031659954</v>
      </c>
      <c r="CB107" s="20">
        <f t="shared" si="64"/>
        <v>574.48967488014102</v>
      </c>
      <c r="CC107" s="59">
        <f t="shared" si="65"/>
        <v>853.86178934133829</v>
      </c>
      <c r="CD107" s="59">
        <f ca="1">AVERAGE(OFFSET($CC$3,0,0,'Données projet'!$E$12+1,1))-AVERAGE(OFFSET($H$3,0,0,'Données projet'!$E$12+1,1))</f>
        <v>413.9352601863377</v>
      </c>
      <c r="CE107" s="59">
        <f t="shared" si="94"/>
        <v>255.13997349799286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11.635717930315671</v>
      </c>
      <c r="CL107" s="21">
        <f>EXP(-LN(2)/25)*CL106+(1-EXP(-LN(2)/25))/(LN(2)/25)*Calculateur!CG107*Calculateur!CI107*VLOOKUP('Données projet'!$B$12,Paramètres!$A$1:$I$89,3,0)*0.475*44/12</f>
        <v>14.41145578537356</v>
      </c>
      <c r="CM107" s="21">
        <f>EXP(-LN(2)/2)*CM106+(1-EXP(-LN(2)/2))/(LN(2)/2)*CG107*CJ107*VLOOKUP('Données projet'!$B$12,Paramètres!$A$1:$I$89,3,0)*0.475*44/12</f>
        <v>1.4314968021826573</v>
      </c>
      <c r="CN107" s="22">
        <f t="shared" si="66"/>
        <v>27.47867051787189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66.192394853053798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2.8421709430404007E-14</v>
      </c>
      <c r="CU107" s="17">
        <f>CT107*VLOOKUP('Données projet'!$B$13,Paramètres!$A$1:$I$89,3,0)*VLOOKUP('Données projet'!$B$13,Paramètres!$A$1:$I$89,5,0)</f>
        <v>2.4829205358400945E-14</v>
      </c>
      <c r="CV107" s="13">
        <f t="shared" si="95"/>
        <v>4.3867331143352915E-13</v>
      </c>
      <c r="CW107" s="20">
        <f t="shared" si="67"/>
        <v>8.0726688341261168E-13</v>
      </c>
      <c r="CX107" s="59">
        <f t="shared" si="68"/>
        <v>279.37211446119807</v>
      </c>
      <c r="CY107" s="59">
        <f ca="1">AVERAGE(OFFSET($CX$3,0,0,'Données projet'!$E$13+1,1))-AVERAGE(OFFSET($H$3,0,0,'Données projet'!$E$13+1,1))</f>
        <v>280.59827778697775</v>
      </c>
      <c r="CZ107" s="59">
        <f t="shared" si="96"/>
        <v>270.86588231964726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>
        <f>EXP(-LN(2)/35)*DF106+(1-EXP(-LN(2)/35))/(LN(2)/35)*DB107*DC107*VLOOKUP('Données projet'!$B$13,Paramètres!$A$1:$I$89,3,0)*0.475*44/12</f>
        <v>20.507453436014927</v>
      </c>
      <c r="DG107" s="21">
        <f>EXP(-LN(2)/25)*DG106+(1-EXP(-LN(2)/25))/(LN(2)/25)*Calculateur!DB107*Calculateur!DD107*VLOOKUP('Données projet'!$B$13,Paramètres!$A$1:$I$89,3,0)*0.475*44/12</f>
        <v>18.761006257265539</v>
      </c>
      <c r="DH107" s="21">
        <f>EXP(-LN(2)/2)*DH106+(1-EXP(-LN(2)/2))/(LN(2)/2)*DB107*DE107*VLOOKUP('Données projet'!$B$13,Paramètres!$A$1:$I$89,3,0)*0.475*44/12</f>
        <v>1.1095322666168975E-2</v>
      </c>
      <c r="DI107" s="22">
        <f t="shared" si="69"/>
        <v>39.279555015946634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66.192394853053798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3.0769230769230718</v>
      </c>
      <c r="DO107" s="12">
        <f>IF('Données projet'!$A$166&gt;35,DO106+DN107-DW106,IF(A107&lt;'Données projet'!$A$166,$DL$205^A107,IF(A107='Données projet'!$A$166,'Données projet'!$B$166,DO106+DN107-DW106)))</f>
        <v>174.48717948717956</v>
      </c>
      <c r="DP107" s="17">
        <f>DO107*VLOOKUP('Données projet'!$B$14,Paramètres!$A$1:$I$89,3,0)*VLOOKUP('Données projet'!$B$14,Paramètres!$A$1:$I$89,5,0)</f>
        <v>117.04600000000005</v>
      </c>
      <c r="DQ107" s="13">
        <f t="shared" si="97"/>
        <v>30.985031059061935</v>
      </c>
      <c r="DR107" s="20">
        <f t="shared" si="70"/>
        <v>257.82071242786628</v>
      </c>
      <c r="DS107" s="59">
        <f t="shared" si="71"/>
        <v>537.19282688906355</v>
      </c>
      <c r="DT107" s="59">
        <f ca="1">AVERAGE(OFFSET($DS$3,0,0,'Données projet'!$E$14+1,1))-AVERAGE(OFFSET($H$3,0,0,'Données projet'!$E$14+1,1))</f>
        <v>211.42385430331873</v>
      </c>
      <c r="DU107" s="59">
        <f t="shared" si="98"/>
        <v>146.84623106782686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>
        <f>EXP(-LN(2)/35)*EA106+(1-EXP(-LN(2)/35))/(LN(2)/35)*DW107*DX107*VLOOKUP('Données projet'!$B$14,Paramètres!$A$1:$I$89,3,0)*0.475*44/12</f>
        <v>5.4705640122308177</v>
      </c>
      <c r="EB107" s="21">
        <f>EXP(-LN(2)/25)*EB106+(1-EXP(-LN(2)/25))/(LN(2)/25)*Calculateur!DW107*Calculateur!DY107*VLOOKUP('Données projet'!$B$14,Paramètres!$A$1:$I$89,3,0)*0.475*44/12</f>
        <v>7.8581537824421002</v>
      </c>
      <c r="EC107" s="21">
        <f>EXP(-LN(2)/2)*EC106+(1-EXP(-LN(2)/2))/(LN(2)/2)*DW107*DZ107*VLOOKUP('Données projet'!$B$14,Paramètres!$A$1:$I$89,3,0)*0.475*44/12</f>
        <v>0.56088703393500627</v>
      </c>
      <c r="ED107" s="22">
        <f t="shared" si="72"/>
        <v>13.889604828607926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66.192394853053798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1.9230769230769227</v>
      </c>
      <c r="EJ107" s="12">
        <f>IF('Données projet'!$A$192&gt;35,EJ106+EI107-ER106,IF(A107&lt;'Données projet'!$A$192,$EG$205^A107,IF(A107='Données projet'!$A$192,'Données projet'!$B$192,EJ106+EI107-ER106)))</f>
        <v>110.89743589743584</v>
      </c>
      <c r="EK107" s="17">
        <f>EJ107*VLOOKUP('Données projet'!$B$15,Paramètres!$A$1:$I$89,3,0)*VLOOKUP('Données projet'!$B$15,Paramètres!$A$1:$I$89,5,0)</f>
        <v>119.36999999999995</v>
      </c>
      <c r="EL107" s="13">
        <f t="shared" si="99"/>
        <v>31.528017155291025</v>
      </c>
      <c r="EM107" s="20">
        <f t="shared" si="73"/>
        <v>262.81404654546509</v>
      </c>
      <c r="EN107" s="59">
        <f t="shared" si="74"/>
        <v>542.18616100666236</v>
      </c>
      <c r="EO107" s="59">
        <f ca="1">AVERAGE(OFFSET($EN$3,0,0,'Données projet'!$E$15+1,1))-AVERAGE(OFFSET($H$3,0,0,'Données projet'!$E$15+1,1))</f>
        <v>212.00478362779876</v>
      </c>
      <c r="EP107" s="59">
        <f t="shared" si="100"/>
        <v>133.62262474506707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>
        <f>EXP(-LN(2)/35)*EV106+(1-EXP(-LN(2)/35))/(LN(2)/35)*ER107*ES107*VLOOKUP('Données projet'!$B$15,Paramètres!$A$1:$I$89,3,0)*0.475*44/12</f>
        <v>0</v>
      </c>
      <c r="EW107" s="21">
        <f>EXP(-LN(2)/25)*EW106+(1-EXP(-LN(2)/25))/(LN(2)/25)*Calculateur!ER107*Calculateur!ET107*VLOOKUP('Données projet'!$B$15,Paramètres!$A$1:$I$89,3,0)*0.475*44/12</f>
        <v>4.6782960457338829</v>
      </c>
      <c r="EX107" s="21">
        <f>EXP(-LN(2)/2)*EX106+(1-EXP(-LN(2)/2))/(LN(2)/2)*ER107*EU107*VLOOKUP('Données projet'!$B$15,Paramètres!$A$1:$I$89,3,0)*0.475*44/12</f>
        <v>0.44485306211648695</v>
      </c>
      <c r="EY107" s="22">
        <f t="shared" si="75"/>
        <v>5.1231491078503701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66.192394853053798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1.9230769230769227</v>
      </c>
      <c r="FE107" s="12">
        <f>IF('Données projet'!$A$218&gt;35,FE106+FD107-FM106,IF(A107&lt;'Données projet'!$A$218,$FB$205^A107,IF(A107='Données projet'!$A$218,'Données projet'!$B$218,FE106+FD107-FM106)))</f>
        <v>110.89743589743584</v>
      </c>
      <c r="FF107" s="17">
        <f>FE107*VLOOKUP('Données projet'!$B$16,Paramètres!$A$1:$I$89,3,0)*VLOOKUP('Données projet'!$B$16,Paramètres!$A$1:$I$89,5,0)</f>
        <v>107.25999999999995</v>
      </c>
      <c r="FG107" s="13">
        <f t="shared" si="101"/>
        <v>28.68447452806058</v>
      </c>
      <c r="FH107" s="20">
        <f t="shared" si="76"/>
        <v>236.76995980303874</v>
      </c>
      <c r="FI107" s="59">
        <f t="shared" si="77"/>
        <v>516.14207426423604</v>
      </c>
      <c r="FJ107" s="59">
        <f ca="1">AVERAGE(OFFSET($FI$3,0,0,'Données projet'!$E$16+1,1))-AVERAGE(OFFSET($H$3,0,0,'Données projet'!$E$16+1,1))</f>
        <v>196.65742339093146</v>
      </c>
      <c r="FK107" s="59">
        <f t="shared" si="102"/>
        <v>125.41980634506001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>
        <f>EXP(-LN(2)/35)*FQ106+(1-EXP(-LN(2)/35))/(LN(2)/35)*FM107*FN107*VLOOKUP('Données projet'!$B$16,Paramètres!$A$1:$I$89,3,0)*0.475*44/12</f>
        <v>0</v>
      </c>
      <c r="FR107" s="21">
        <f>EXP(-LN(2)/25)*FR106+(1-EXP(-LN(2)/25))/(LN(2)/25)*Calculateur!FM107*Calculateur!FO107*VLOOKUP('Données projet'!$B$16,Paramètres!$A$1:$I$89,3,0)*0.475*44/12</f>
        <v>4.2036863019637805</v>
      </c>
      <c r="FS107" s="21">
        <f>EXP(-LN(2)/2)*FS106+(1-EXP(-LN(2)/2))/(LN(2)/2)*FM107*FP107*VLOOKUP('Données projet'!$B$16,Paramètres!$A$1:$I$89,3,0)*0.475*44/12</f>
        <v>0.3997230413220606</v>
      </c>
      <c r="FT107" s="22">
        <f t="shared" si="78"/>
        <v>4.6034093432858407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66.192394853053798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66.192394853053798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>
      <c r="A108" s="10">
        <f t="shared" si="85"/>
        <v>105</v>
      </c>
      <c r="B108" s="73">
        <f>'Scénario référence'!$B$16*5+'Scénario référence'!$B$17*0+'Scénario référence'!$B$18*5</f>
        <v>4.6999999999999993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5.6019600000000036</v>
      </c>
      <c r="D108" s="11">
        <f t="shared" si="86"/>
        <v>2.1124444238282987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19.77232064542223</v>
      </c>
      <c r="H108" s="67">
        <f t="shared" si="56"/>
        <v>201.16925437150098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66.258448289823477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-2.2737367544323206E-13</v>
      </c>
      <c r="O108" s="13">
        <f>N108*VLOOKUP('Données projet'!$B$9,Paramètres!$A$1:$I$89,3,0)*VLOOKUP('Données projet'!$B$9,Paramètres!$A$1:$I$89,5,0)</f>
        <v>-1.3596945791505279E-13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366.93249569585623</v>
      </c>
      <c r="T108" s="59">
        <f t="shared" si="88"/>
        <v>272.47262353368501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93.417569543490004</v>
      </c>
      <c r="AA108" s="21">
        <f>EXP(-LN(2)/25)*AA107+(1-EXP(-LN(2)/25))/(LN(2)/25)*Calculateur!V108*Calculateur!X108*VLOOKUP('Données projet'!$B$9,Paramètres!$A$1:$I$89,3,0)*0.475*44/12</f>
        <v>25.872186389148954</v>
      </c>
      <c r="AB108" s="21">
        <f>EXP(-LN(2)/2)*AB107+(1-EXP(-LN(2)/2))/(LN(2)/2)*V108*Y108*VLOOKUP('Données projet'!$B$9,Paramètres!$A$1:$I$89,3,0)*0.475*44/12</f>
        <v>1.2208060953974982E-2</v>
      </c>
      <c r="AC108" s="22">
        <f t="shared" si="57"/>
        <v>119.30196399359293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66.258448289823477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>
        <f>VLOOKUP(A108,'Données projet'!$A$61:$I$81,2,0)</f>
        <v>361.46</v>
      </c>
      <c r="AG108" s="12">
        <f>VLOOKUP(A108,'Données projet'!$A$61:$I$81,9,0)</f>
        <v>8.8549999999999951</v>
      </c>
      <c r="AH108" s="12">
        <f t="array" ref="AH108">INDEX(AG:AG,MIN(IF(ISNUMBER(AG108:AG304),ROW(AG108:AG304),"")))</f>
        <v>8.8549999999999951</v>
      </c>
      <c r="AI108" s="13">
        <f>IF('Données projet'!$A$62&gt;35,AI107+AH108-AQ107,IF(A108&lt;'Données projet'!$A$62,$AF$205^A108,IF(A108='Données projet'!$A$62,'Données projet'!$B$62,AI107+AH108-AQ107)))</f>
        <v>361.46000000000009</v>
      </c>
      <c r="AJ108" s="13">
        <f>AI108*VLOOKUP('Données projet'!$B$10,Paramètres!$A$1:$I$89,3,0)*VLOOKUP('Données projet'!$B$10,Paramètres!$A$1:$I$89,5,0)</f>
        <v>169.16328000000004</v>
      </c>
      <c r="AK108" s="13">
        <f t="shared" si="89"/>
        <v>42.902572360102063</v>
      </c>
      <c r="AL108" s="20">
        <f t="shared" si="58"/>
        <v>369.34802619384442</v>
      </c>
      <c r="AM108" s="59">
        <f t="shared" si="59"/>
        <v>648.96233658986387</v>
      </c>
      <c r="AN108" s="59">
        <f ca="1">AVERAGE(OFFSET($AM$3,0,0,'Données projet'!$E$10+1,1))-AVERAGE(OFFSET($H$3,0,0,'Données projet'!$E$10+1,1))</f>
        <v>382.89338473200229</v>
      </c>
      <c r="AO108" s="59">
        <f t="shared" si="90"/>
        <v>360.46248248971744</v>
      </c>
      <c r="AP108" s="15">
        <f>IF(ISNA(VLOOKUP(A108,'Données projet'!$A$61:$I$81,3,0)),0,VLOOKUP(A108,'Données projet'!$A$61:$I$81,3,0))</f>
        <v>9</v>
      </c>
      <c r="AQ108" s="15">
        <f>IF(ISNA(VLOOKUP(A108,'Données projet'!$A$61:$I$81,4,0)),0,VLOOKUP(A108,'Données projet'!$A$61:$I$81,4,0))</f>
        <v>361.46</v>
      </c>
      <c r="AR108" s="16">
        <f>IF(ISNA(VLOOKUP(A108,'Données projet'!$A$61:$I$81,5,0)),0%,VLOOKUP(A108,'Données projet'!$A$61:$I$81,5,0)*VLOOKUP('Données projet'!$B$10,Paramètres!$A$1:$I$89,7,0))</f>
        <v>0.33</v>
      </c>
      <c r="AS108" s="16">
        <f>IF(ISNA(VLOOKUP(A108,'Données projet'!$A$61:$I$81,6,0)),0%,VLOOKUP(A108,'Données projet'!$A$61:$I$81,6,0)*VLOOKUP('Données projet'!$B$10,Paramètres!$A$1:$I$89,7,0))</f>
        <v>0.11000000000000001</v>
      </c>
      <c r="AT108" s="16">
        <f>IF(ISNA(VLOOKUP(A108,'Données projet'!$A$61:$I$81,7,0)),0%,VLOOKUP(A108,'Données projet'!$A$61:$I$81,7,0))</f>
        <v>0.2</v>
      </c>
      <c r="AU108" s="21">
        <f>EXP(-LN(2)/35)*AU107+(1-EXP(-LN(2)/35))/(LN(2)/35)*AQ108*AR108*VLOOKUP('Données projet'!$B$10,Paramètres!$A$1:$I$89,3,0)*0.475*44/12</f>
        <v>184.2516823864197</v>
      </c>
      <c r="AV108" s="21">
        <f>EXP(-LN(2)/25)*AV107+(1-EXP(-LN(2)/25))/(LN(2)/25)*Calculateur!AQ108*Calculateur!AS108*VLOOKUP('Données projet'!$B$10,Paramètres!$A$1:$I$89,3,0)*0.475*44/12</f>
        <v>54.456073102169441</v>
      </c>
      <c r="AW108" s="21">
        <f>EXP(-LN(2)/2)*AW107+(1-EXP(-LN(2)/2))/(LN(2)/2)*AQ108*AT108*VLOOKUP('Données projet'!$B$10,Paramètres!$A$1:$I$89,3,0)*0.475*44/12</f>
        <v>39.228076034437592</v>
      </c>
      <c r="AX108" s="21">
        <f t="shared" si="60"/>
        <v>277.93583152302676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66.258448289823477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>
        <f>BD108*VLOOKUP('Données projet'!$B$11,Paramètres!$A$1:$I$89,3,0)*VLOOKUP('Données projet'!$B$11,Paramètres!$A$1:$I$89,5,0)</f>
        <v>0</v>
      </c>
      <c r="BF108" s="13" t="e">
        <f t="shared" si="91"/>
        <v>#NUM!</v>
      </c>
      <c r="BG108" s="20" t="e">
        <f t="shared" si="61"/>
        <v>#NUM!</v>
      </c>
      <c r="BH108" s="59" t="e">
        <f t="shared" si="62"/>
        <v>#NUM!</v>
      </c>
      <c r="BI108" s="59">
        <f ca="1">AVERAGE(OFFSET($BH$3,0,0,'Données projet'!$E$11+1,1))-AVERAGE(OFFSET($H$3,0,0,'Données projet'!$E$11+1,1))</f>
        <v>225.75484198243581</v>
      </c>
      <c r="BJ108" s="59">
        <f t="shared" si="92"/>
        <v>199.49566488421061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6.7156666708216468</v>
      </c>
      <c r="BQ108" s="21">
        <f>EXP(-LN(2)/25)*BQ107+(1-EXP(-LN(2)/25))/(LN(2)/25)*Calculateur!BL108*Calculateur!BN108*VLOOKUP('Données projet'!$B$11,Paramètres!$A$1:$I$89,3,0)*0.475*44/12</f>
        <v>35.216330396499529</v>
      </c>
      <c r="BR108" s="21">
        <f>EXP(-LN(2)/2)*BR107+(1-EXP(-LN(2)/2))/(LN(2)/2)*BL108*BO108*VLOOKUP('Données projet'!$B$11,Paramètres!$A$1:$I$89,3,0)*0.475*44/12</f>
        <v>0</v>
      </c>
      <c r="BS108" s="22">
        <f t="shared" si="63"/>
        <v>41.931997067321177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66.258448289823477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>
        <f>VLOOKUP(A108,'Données projet'!$A$113:$I$133,2,0)</f>
        <v>284</v>
      </c>
      <c r="BW108" s="12">
        <f>VLOOKUP(A108,'Données projet'!$A$113:$I$133,9,0)</f>
        <v>4.5999999999999996</v>
      </c>
      <c r="BX108" s="12">
        <f t="array" ref="BX108">INDEX(BW:BW,MIN(IF(ISNUMBER(BW108:BW304),ROW(BW108:BW304),"")))</f>
        <v>4.5999999999999996</v>
      </c>
      <c r="BY108" s="12">
        <f>IF('Données projet'!$A$114&gt;35,BY107+BX108-CG107,IF(A108&lt;'Données projet'!$A$114,$BV$205^A108,IF(A108='Données projet'!$A$114,'Données projet'!$B$114,BY107+BX108-CG107)))</f>
        <v>284</v>
      </c>
      <c r="BZ108" s="13">
        <f>BY108*VLOOKUP('Données projet'!$B$12,Paramètres!$A$1:$I$89,3,0)*VLOOKUP('Données projet'!$B$12,Paramètres!$A$1:$I$89,5,0)</f>
        <v>270.25440000000003</v>
      </c>
      <c r="CA108" s="13">
        <f t="shared" si="93"/>
        <v>64.903256428828314</v>
      </c>
      <c r="CB108" s="20">
        <f t="shared" si="64"/>
        <v>583.73291828020922</v>
      </c>
      <c r="CC108" s="59">
        <f t="shared" si="65"/>
        <v>863.34722867622872</v>
      </c>
      <c r="CD108" s="59">
        <f ca="1">AVERAGE(OFFSET($CC$3,0,0,'Données projet'!$E$12+1,1))-AVERAGE(OFFSET($H$3,0,0,'Données projet'!$E$12+1,1))</f>
        <v>413.9352601863377</v>
      </c>
      <c r="CE108" s="59">
        <f t="shared" si="94"/>
        <v>255.13997349799286</v>
      </c>
      <c r="CF108" s="15">
        <f>IF(ISNA(VLOOKUP(A108,'Données projet'!$A$113:$I$133,3,0)),0,VLOOKUP(A108,'Données projet'!$A$113:$I$133,3,0))</f>
        <v>17</v>
      </c>
      <c r="CG108" s="15">
        <f>IF(ISNA(VLOOKUP(A108,'Données projet'!$A$113:$I$133,4,0)),0,VLOOKUP(A108,'Données projet'!$A$113:$I$133,4,0))</f>
        <v>20</v>
      </c>
      <c r="CH108" s="16">
        <f>IF(ISNA(VLOOKUP(A108,'Données projet'!$A$113:$I$133,5,0)),0%,VLOOKUP(A108,'Données projet'!$A$113:$I$133,5,0)*VLOOKUP('Données projet'!$B$12,Paramètres!$A$1:$I$89,7,0))</f>
        <v>0.1075</v>
      </c>
      <c r="CI108" s="16">
        <f>IF(ISNA(VLOOKUP(A108,'Données projet'!$A$113:$I$133,6,0)),0%,VLOOKUP(A108,'Données projet'!$A$113:$I$133,6,0)*VLOOKUP('Données projet'!$B$12,Paramètres!$A$1:$I$89,7,0))</f>
        <v>0.1075</v>
      </c>
      <c r="CJ108" s="16">
        <f>IF(ISNA(VLOOKUP(A108,'Données projet'!$A$113:$I$133,7,0)),0%,VLOOKUP(A108,'Données projet'!$A$113:$I$133,7,0))</f>
        <v>0.25</v>
      </c>
      <c r="CK108" s="21">
        <f>EXP(-LN(2)/35)*CK107+(1-EXP(-LN(2)/35))/(LN(2)/35)*CG108*CH108*VLOOKUP('Données projet'!$B$12,Paramètres!$A$1:$I$89,3,0)*0.475*44/12</f>
        <v>13.669274667090983</v>
      </c>
      <c r="CL108" s="21">
        <f>EXP(-LN(2)/25)*CL107+(1-EXP(-LN(2)/25))/(LN(2)/25)*Calculateur!CG108*Calculateur!CI108*VLOOKUP('Données projet'!$B$12,Paramètres!$A$1:$I$89,3,0)*0.475*44/12</f>
        <v>16.270194560042544</v>
      </c>
      <c r="CM108" s="21">
        <f>EXP(-LN(2)/2)*CM107+(1-EXP(-LN(2)/2))/(LN(2)/2)*CG108*CJ108*VLOOKUP('Données projet'!$B$12,Paramètres!$A$1:$I$89,3,0)*0.475*44/12</f>
        <v>5.5015221557626521</v>
      </c>
      <c r="CN108" s="22">
        <f t="shared" si="66"/>
        <v>35.440991382896179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66.258448289823477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2.8421709430404007E-14</v>
      </c>
      <c r="CU108" s="17">
        <f>CT108*VLOOKUP('Données projet'!$B$13,Paramètres!$A$1:$I$89,3,0)*VLOOKUP('Données projet'!$B$13,Paramètres!$A$1:$I$89,5,0)</f>
        <v>2.4829205358400945E-14</v>
      </c>
      <c r="CV108" s="13">
        <f t="shared" si="95"/>
        <v>4.3867331143352915E-13</v>
      </c>
      <c r="CW108" s="20">
        <f t="shared" si="67"/>
        <v>8.0726688341261168E-13</v>
      </c>
      <c r="CX108" s="59">
        <f t="shared" si="68"/>
        <v>279.61431039602024</v>
      </c>
      <c r="CY108" s="59">
        <f ca="1">AVERAGE(OFFSET($CX$3,0,0,'Données projet'!$E$13+1,1))-AVERAGE(OFFSET($H$3,0,0,'Données projet'!$E$13+1,1))</f>
        <v>280.59827778697775</v>
      </c>
      <c r="CZ108" s="59">
        <f t="shared" si="96"/>
        <v>270.86588231964726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>
        <f>EXP(-LN(2)/35)*DF107+(1-EXP(-LN(2)/35))/(LN(2)/35)*DB108*DC108*VLOOKUP('Données projet'!$B$13,Paramètres!$A$1:$I$89,3,0)*0.475*44/12</f>
        <v>20.105314782446179</v>
      </c>
      <c r="DG108" s="21">
        <f>EXP(-LN(2)/25)*DG107+(1-EXP(-LN(2)/25))/(LN(2)/25)*Calculateur!DB108*Calculateur!DD108*VLOOKUP('Données projet'!$B$13,Paramètres!$A$1:$I$89,3,0)*0.475*44/12</f>
        <v>18.247985554562174</v>
      </c>
      <c r="DH108" s="21">
        <f>EXP(-LN(2)/2)*DH107+(1-EXP(-LN(2)/2))/(LN(2)/2)*DB108*DE108*VLOOKUP('Données projet'!$B$13,Paramètres!$A$1:$I$89,3,0)*0.475*44/12</f>
        <v>7.8455778967008866E-3</v>
      </c>
      <c r="DI108" s="22">
        <f t="shared" si="69"/>
        <v>38.361145914905052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66.258448289823477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>
        <f>VLOOKUP(A108,'Données projet'!$A$165:$I$185,2,0)</f>
        <v>177.56410256410254</v>
      </c>
      <c r="DM108" s="12">
        <f>VLOOKUP(A108,'Données projet'!$A$165:$I$185,9,0)</f>
        <v>3.0769230769230718</v>
      </c>
      <c r="DN108" s="12">
        <f t="array" ref="DN108">INDEX(DM:DM,MIN(IF(ISNUMBER(DM108:DM304),ROW(DM108:DM304),"")))</f>
        <v>3.0769230769230718</v>
      </c>
      <c r="DO108" s="12">
        <f>IF('Données projet'!$A$166&gt;35,DO107+DN108-DW107,IF(A108&lt;'Données projet'!$A$166,$DL$205^A108,IF(A108='Données projet'!$A$166,'Données projet'!$B$166,DO107+DN108-DW107)))</f>
        <v>177.56410256410263</v>
      </c>
      <c r="DP108" s="17">
        <f>DO108*VLOOKUP('Données projet'!$B$14,Paramètres!$A$1:$I$89,3,0)*VLOOKUP('Données projet'!$B$14,Paramètres!$A$1:$I$89,5,0)</f>
        <v>119.11000000000004</v>
      </c>
      <c r="DQ108" s="13">
        <f t="shared" si="97"/>
        <v>31.467331560315703</v>
      </c>
      <c r="DR108" s="20">
        <f t="shared" si="70"/>
        <v>262.25551913421657</v>
      </c>
      <c r="DS108" s="59">
        <f t="shared" si="71"/>
        <v>541.86982953023607</v>
      </c>
      <c r="DT108" s="59">
        <f ca="1">AVERAGE(OFFSET($DS$3,0,0,'Données projet'!$E$14+1,1))-AVERAGE(OFFSET($H$3,0,0,'Données projet'!$E$14+1,1))</f>
        <v>211.42385430331873</v>
      </c>
      <c r="DU108" s="59">
        <f t="shared" si="98"/>
        <v>146.84623106782686</v>
      </c>
      <c r="DV108" s="15">
        <f>IF(ISNA(VLOOKUP(A108,'Données projet'!$A$165:$I$185,3,0)),0,VLOOKUP(A108,'Données projet'!$A$165:$I$185,3,0))</f>
        <v>18</v>
      </c>
      <c r="DW108" s="15">
        <f>IF(ISNA(VLOOKUP(A108,'Données projet'!$A$165:$I$185,4,0)),0,VLOOKUP(A108,'Données projet'!$A$165:$I$185,4,0))</f>
        <v>10.897435897435898</v>
      </c>
      <c r="DX108" s="16">
        <f>IF(ISNA(VLOOKUP(A108,'Données projet'!$A$165:$I$185,5,0)),0%,VLOOKUP(A108,'Données projet'!$A$165:$I$185,5,0)*VLOOKUP('Données projet'!$B$14,Paramètres!$A$1:$I$89,7,0))</f>
        <v>0.13250000000000001</v>
      </c>
      <c r="DY108" s="16">
        <f>IF(ISNA(VLOOKUP(A108,'Données projet'!$A$165:$I$185,6,0)),0%,VLOOKUP(A108,'Données projet'!$A$165:$I$185,6,0)*VLOOKUP('Données projet'!$B$14,Paramètres!$A$1:$I$89,7,0))</f>
        <v>0.13250000000000001</v>
      </c>
      <c r="DZ108" s="16">
        <f>IF(ISNA(VLOOKUP(A108,'Données projet'!$A$165:$I$185,7,0)),0%,VLOOKUP(A108,'Données projet'!$A$165:$I$185,7,0))</f>
        <v>0.25</v>
      </c>
      <c r="EA108" s="21">
        <f>EXP(-LN(2)/35)*EA107+(1-EXP(-LN(2)/35))/(LN(2)/35)*DW108*DX108*VLOOKUP('Données projet'!$B$14,Paramètres!$A$1:$I$89,3,0)*0.475*44/12</f>
        <v>6.434020561521673</v>
      </c>
      <c r="EB108" s="21">
        <f>EXP(-LN(2)/25)*EB107+(1-EXP(-LN(2)/25))/(LN(2)/25)*Calculateur!DW108*Calculateur!DY108*VLOOKUP('Données projet'!$B$14,Paramètres!$A$1:$I$89,3,0)*0.475*44/12</f>
        <v>8.7097872510543812</v>
      </c>
      <c r="EC108" s="21">
        <f>EXP(-LN(2)/2)*EC107+(1-EXP(-LN(2)/2))/(LN(2)/2)*DW108*DZ108*VLOOKUP('Données projet'!$B$14,Paramètres!$A$1:$I$89,3,0)*0.475*44/12</f>
        <v>2.1209024616163989</v>
      </c>
      <c r="ED108" s="22">
        <f t="shared" si="72"/>
        <v>17.264710274192453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66.258448289823477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>
        <f>VLOOKUP(A108,'Données projet'!$A$191:$I$211,2,0)</f>
        <v>112.82051282051282</v>
      </c>
      <c r="EH108" s="12">
        <f>VLOOKUP(A108,'Données projet'!$A$191:$I$211,9,0)</f>
        <v>1.9230769230769227</v>
      </c>
      <c r="EI108" s="12">
        <f t="array" ref="EI108">INDEX(EH:EH,MIN(IF(ISNUMBER(EH108:EH304),ROW(EH108:EH304),"")))</f>
        <v>1.9230769230769227</v>
      </c>
      <c r="EJ108" s="12">
        <f>IF('Données projet'!$A$192&gt;35,EJ107+EI108-ER107,IF(A108&lt;'Données projet'!$A$192,$EG$205^A108,IF(A108='Données projet'!$A$192,'Données projet'!$B$192,EJ107+EI108-ER107)))</f>
        <v>112.82051282051276</v>
      </c>
      <c r="EK108" s="17">
        <f>EJ108*VLOOKUP('Données projet'!$B$15,Paramètres!$A$1:$I$89,3,0)*VLOOKUP('Données projet'!$B$15,Paramètres!$A$1:$I$89,5,0)</f>
        <v>121.43999999999993</v>
      </c>
      <c r="EL108" s="13">
        <f t="shared" si="99"/>
        <v>32.010622125421079</v>
      </c>
      <c r="EM108" s="20">
        <f t="shared" si="73"/>
        <v>267.25983353510821</v>
      </c>
      <c r="EN108" s="59">
        <f t="shared" si="74"/>
        <v>546.87414393112772</v>
      </c>
      <c r="EO108" s="59">
        <f ca="1">AVERAGE(OFFSET($EN$3,0,0,'Données projet'!$E$15+1,1))-AVERAGE(OFFSET($H$3,0,0,'Données projet'!$E$15+1,1))</f>
        <v>212.00478362779876</v>
      </c>
      <c r="EP108" s="59">
        <f t="shared" si="100"/>
        <v>133.62262474506707</v>
      </c>
      <c r="EQ108" s="15">
        <f>IF(ISNA(VLOOKUP(A108,'Données projet'!$A$191:$I$211,3,0)),0,VLOOKUP(A108,'Données projet'!$A$191:$I$211,3,0))</f>
        <v>17</v>
      </c>
      <c r="ER108" s="15">
        <f>IF(ISNA(VLOOKUP(A108,'Données projet'!$A$191:$I$211,4,0)),0,VLOOKUP(A108,'Données projet'!$A$191:$I$211,4,0))</f>
        <v>6.4102564102564097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0.1075</v>
      </c>
      <c r="EU108" s="16">
        <f>IF(ISNA(VLOOKUP(A108,'Données projet'!$A$191:$I$211,7,0)),0%,VLOOKUP(A108,'Données projet'!$A$191:$I$211,7,0))</f>
        <v>0.25</v>
      </c>
      <c r="EV108" s="21">
        <f>EXP(-LN(2)/35)*EV107+(1-EXP(-LN(2)/35))/(LN(2)/35)*ER108*ES108*VLOOKUP('Données projet'!$B$15,Paramètres!$A$1:$I$89,3,0)*0.475*44/12</f>
        <v>0</v>
      </c>
      <c r="EW108" s="21">
        <f>EXP(-LN(2)/25)*EW107+(1-EXP(-LN(2)/25))/(LN(2)/25)*Calculateur!ER108*Calculateur!ET108*VLOOKUP('Données projet'!$B$15,Paramètres!$A$1:$I$89,3,0)*0.475*44/12</f>
        <v>5.3671218642142016</v>
      </c>
      <c r="EX108" s="21">
        <f>EXP(-LN(2)/2)*EX107+(1-EXP(-LN(2)/2))/(LN(2)/2)*ER108*EU108*VLOOKUP('Données projet'!$B$15,Paramètres!$A$1:$I$89,3,0)*0.475*44/12</f>
        <v>1.9421425445484628</v>
      </c>
      <c r="EY108" s="22">
        <f t="shared" si="75"/>
        <v>7.3092644087626644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66.258448289823477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>
        <f>VLOOKUP(A108,'Données projet'!$A$217:$I$237,2,0)</f>
        <v>112.82051282051282</v>
      </c>
      <c r="FC108" s="12">
        <f>VLOOKUP(A108,'Données projet'!$A$217:$I$237,9,0)</f>
        <v>1.9230769230769227</v>
      </c>
      <c r="FD108" s="12">
        <f t="array" ref="FD108">INDEX(FC:FC,MIN(IF(ISNUMBER(FC108:FC304),ROW(FC108:FC304),"")))</f>
        <v>1.9230769230769227</v>
      </c>
      <c r="FE108" s="12">
        <f>IF('Données projet'!$A$218&gt;35,FE107+FD108-FM107,IF(A108&lt;'Données projet'!$A$218,$FB$205^A108,IF(A108='Données projet'!$A$218,'Données projet'!$B$218,FE107+FD108-FM107)))</f>
        <v>112.82051282051276</v>
      </c>
      <c r="FF108" s="17">
        <f>FE108*VLOOKUP('Données projet'!$B$16,Paramètres!$A$1:$I$89,3,0)*VLOOKUP('Données projet'!$B$16,Paramètres!$A$1:$I$89,5,0)</f>
        <v>109.11999999999995</v>
      </c>
      <c r="FG108" s="13">
        <f t="shared" si="101"/>
        <v>29.123552885085918</v>
      </c>
      <c r="FH108" s="20">
        <f t="shared" si="76"/>
        <v>240.7741879415245</v>
      </c>
      <c r="FI108" s="59">
        <f t="shared" si="77"/>
        <v>520.38849833754398</v>
      </c>
      <c r="FJ108" s="59">
        <f ca="1">AVERAGE(OFFSET($FI$3,0,0,'Données projet'!$E$16+1,1))-AVERAGE(OFFSET($H$3,0,0,'Données projet'!$E$16+1,1))</f>
        <v>196.65742339093146</v>
      </c>
      <c r="FK108" s="59">
        <f t="shared" si="102"/>
        <v>125.41980634506001</v>
      </c>
      <c r="FL108" s="15">
        <f>IF(ISNA(VLOOKUP(A108,'Données projet'!$A$217:$I$237,3,0)),0,VLOOKUP(A108,'Données projet'!$A$217:$I$237,3,0))</f>
        <v>17</v>
      </c>
      <c r="FM108" s="15">
        <f>IF(ISNA(VLOOKUP(A108,'Données projet'!$A$217:$I$237,4,0)),0,VLOOKUP(A108,'Données projet'!$A$217:$I$237,4,0))</f>
        <v>6.4102564102564097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0.1075</v>
      </c>
      <c r="FP108" s="16">
        <f>IF(ISNA(VLOOKUP(A108,'Données projet'!$A$217:$I$237,7,0)),0%,VLOOKUP(A108,'Données projet'!$A$217:$I$237,7,0))</f>
        <v>0.25</v>
      </c>
      <c r="FQ108" s="21">
        <f>EXP(-LN(2)/35)*FQ107+(1-EXP(-LN(2)/35))/(LN(2)/35)*FM108*FN108*VLOOKUP('Données projet'!$B$16,Paramètres!$A$1:$I$89,3,0)*0.475*44/12</f>
        <v>0</v>
      </c>
      <c r="FR108" s="21">
        <f>EXP(-LN(2)/25)*FR107+(1-EXP(-LN(2)/25))/(LN(2)/25)*Calculateur!FM108*Calculateur!FO108*VLOOKUP('Données projet'!$B$16,Paramètres!$A$1:$I$89,3,0)*0.475*44/12</f>
        <v>4.8226312403084153</v>
      </c>
      <c r="FS108" s="21">
        <f>EXP(-LN(2)/2)*FS107+(1-EXP(-LN(2)/2))/(LN(2)/2)*FM108*FP108*VLOOKUP('Données projet'!$B$16,Paramètres!$A$1:$I$89,3,0)*0.475*44/12</f>
        <v>1.745113590753691</v>
      </c>
      <c r="FT108" s="22">
        <f t="shared" si="78"/>
        <v>6.5677448310621065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66.258448289823477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66.258448289823477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>
      <c r="A109" s="10">
        <f t="shared" si="85"/>
        <v>106</v>
      </c>
      <c r="B109" s="73">
        <f>'Scénario référence'!$B$16*5+'Scénario référence'!$B$17*0+'Scénario référence'!$B$18*5</f>
        <v>4.6999999999999993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5.6553120000000039</v>
      </c>
      <c r="D109" s="11">
        <f t="shared" si="86"/>
        <v>2.1302113279809909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19.805259927345581</v>
      </c>
      <c r="H109" s="67">
        <f t="shared" si="56"/>
        <v>201.29311979623358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66.323355847138558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-2.2737367544323206E-13</v>
      </c>
      <c r="O109" s="13">
        <f>N109*VLOOKUP('Données projet'!$B$9,Paramètres!$A$1:$I$89,3,0)*VLOOKUP('Données projet'!$B$9,Paramètres!$A$1:$I$89,5,0)</f>
        <v>-1.3596945791505279E-13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366.93249569585623</v>
      </c>
      <c r="T109" s="59">
        <f t="shared" si="88"/>
        <v>272.47262353368501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91.585707983833373</v>
      </c>
      <c r="AA109" s="21">
        <f>EXP(-LN(2)/25)*AA108+(1-EXP(-LN(2)/25))/(LN(2)/25)*Calculateur!V109*Calculateur!X109*VLOOKUP('Données projet'!$B$9,Paramètres!$A$1:$I$89,3,0)*0.475*44/12</f>
        <v>25.164710091778524</v>
      </c>
      <c r="AB109" s="21">
        <f>EXP(-LN(2)/2)*AB108+(1-EXP(-LN(2)/2))/(LN(2)/2)*V109*Y109*VLOOKUP('Données projet'!$B$9,Paramètres!$A$1:$I$89,3,0)*0.475*44/12</f>
        <v>8.6324026856944222E-3</v>
      </c>
      <c r="AC109" s="22">
        <f t="shared" si="57"/>
        <v>116.75905047829758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66.323355847138558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1.1368683772161603E-13</v>
      </c>
      <c r="AJ109" s="13">
        <f>AI109*VLOOKUP('Données projet'!$B$10,Paramètres!$A$1:$I$89,3,0)*VLOOKUP('Données projet'!$B$10,Paramètres!$A$1:$I$89,5,0)</f>
        <v>5.3205440053716299E-14</v>
      </c>
      <c r="AK109" s="13">
        <f t="shared" si="89"/>
        <v>8.602146238565607E-13</v>
      </c>
      <c r="AL109" s="20">
        <f t="shared" si="58"/>
        <v>1.590873277977066E-12</v>
      </c>
      <c r="AM109" s="59">
        <f t="shared" si="59"/>
        <v>279.85230477284296</v>
      </c>
      <c r="AN109" s="59">
        <f ca="1">AVERAGE(OFFSET($AM$3,0,0,'Données projet'!$E$10+1,1))-AVERAGE(OFFSET($H$3,0,0,'Données projet'!$E$10+1,1))</f>
        <v>382.89338473200229</v>
      </c>
      <c r="AO109" s="59">
        <f t="shared" si="90"/>
        <v>360.46248248971744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180.63861927725142</v>
      </c>
      <c r="AV109" s="21">
        <f>EXP(-LN(2)/25)*AV108+(1-EXP(-LN(2)/25))/(LN(2)/25)*Calculateur!AQ109*Calculateur!AS109*VLOOKUP('Données projet'!$B$10,Paramètres!$A$1:$I$89,3,0)*0.475*44/12</f>
        <v>52.966968919470197</v>
      </c>
      <c r="AW109" s="21">
        <f>EXP(-LN(2)/2)*AW108+(1-EXP(-LN(2)/2))/(LN(2)/2)*AQ109*AT109*VLOOKUP('Données projet'!$B$10,Paramètres!$A$1:$I$89,3,0)*0.475*44/12</f>
        <v>27.738438576852314</v>
      </c>
      <c r="AX109" s="21">
        <f t="shared" si="60"/>
        <v>261.34402677357394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66.323355847138558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>
        <f>BD109*VLOOKUP('Données projet'!$B$11,Paramètres!$A$1:$I$89,3,0)*VLOOKUP('Données projet'!$B$11,Paramètres!$A$1:$I$89,5,0)</f>
        <v>0</v>
      </c>
      <c r="BF109" s="13" t="e">
        <f t="shared" si="91"/>
        <v>#NUM!</v>
      </c>
      <c r="BG109" s="20" t="e">
        <f t="shared" si="61"/>
        <v>#NUM!</v>
      </c>
      <c r="BH109" s="59" t="e">
        <f t="shared" si="62"/>
        <v>#NUM!</v>
      </c>
      <c r="BI109" s="59">
        <f ca="1">AVERAGE(OFFSET($BH$3,0,0,'Données projet'!$E$11+1,1))-AVERAGE(OFFSET($H$3,0,0,'Données projet'!$E$11+1,1))</f>
        <v>225.75484198243581</v>
      </c>
      <c r="BJ109" s="59">
        <f t="shared" si="92"/>
        <v>199.49566488421061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6.583976543559042</v>
      </c>
      <c r="BQ109" s="21">
        <f>EXP(-LN(2)/25)*BQ108+(1-EXP(-LN(2)/25))/(LN(2)/25)*Calculateur!BL109*Calculateur!BN109*VLOOKUP('Données projet'!$B$11,Paramètres!$A$1:$I$89,3,0)*0.475*44/12</f>
        <v>34.253337989860924</v>
      </c>
      <c r="BR109" s="21">
        <f>EXP(-LN(2)/2)*BR108+(1-EXP(-LN(2)/2))/(LN(2)/2)*BL109*BO109*VLOOKUP('Données projet'!$B$11,Paramètres!$A$1:$I$89,3,0)*0.475*44/12</f>
        <v>0</v>
      </c>
      <c r="BS109" s="22">
        <f t="shared" si="63"/>
        <v>40.837314533419963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66.323355847138558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4.2</v>
      </c>
      <c r="BY109" s="12">
        <f>IF('Données projet'!$A$114&gt;35,BY108+BX109-CG108,IF(A109&lt;'Données projet'!$A$114,$BV$205^A109,IF(A109='Données projet'!$A$114,'Données projet'!$B$114,BY108+BX109-CG108)))</f>
        <v>268.2</v>
      </c>
      <c r="BZ109" s="13">
        <f>BY109*VLOOKUP('Données projet'!$B$12,Paramètres!$A$1:$I$89,3,0)*VLOOKUP('Données projet'!$B$12,Paramètres!$A$1:$I$89,5,0)</f>
        <v>255.21911999999998</v>
      </c>
      <c r="CA109" s="13">
        <f t="shared" si="93"/>
        <v>61.702189391811984</v>
      </c>
      <c r="CB109" s="20">
        <f t="shared" si="64"/>
        <v>551.97128052407254</v>
      </c>
      <c r="CC109" s="59">
        <f t="shared" si="65"/>
        <v>831.82358529691396</v>
      </c>
      <c r="CD109" s="59">
        <f ca="1">AVERAGE(OFFSET($CC$3,0,0,'Données projet'!$E$12+1,1))-AVERAGE(OFFSET($H$3,0,0,'Données projet'!$E$12+1,1))</f>
        <v>413.9352601863377</v>
      </c>
      <c r="CE109" s="59">
        <f t="shared" si="94"/>
        <v>255.13997349799286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13.401228528303623</v>
      </c>
      <c r="CL109" s="21">
        <f>EXP(-LN(2)/25)*CL108+(1-EXP(-LN(2)/25))/(LN(2)/25)*Calculateur!CG109*Calculateur!CI109*VLOOKUP('Données projet'!$B$12,Paramètres!$A$1:$I$89,3,0)*0.475*44/12</f>
        <v>15.825285234185834</v>
      </c>
      <c r="CM109" s="21">
        <f>EXP(-LN(2)/2)*CM108+(1-EXP(-LN(2)/2))/(LN(2)/2)*CG109*CJ109*VLOOKUP('Données projet'!$B$12,Paramètres!$A$1:$I$89,3,0)*0.475*44/12</f>
        <v>3.8901636231878052</v>
      </c>
      <c r="CN109" s="22">
        <f t="shared" si="66"/>
        <v>33.116677385677264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66.323355847138558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2.8421709430404007E-14</v>
      </c>
      <c r="CU109" s="17">
        <f>CT109*VLOOKUP('Données projet'!$B$13,Paramètres!$A$1:$I$89,3,0)*VLOOKUP('Données projet'!$B$13,Paramètres!$A$1:$I$89,5,0)</f>
        <v>2.4829205358400945E-14</v>
      </c>
      <c r="CV109" s="13">
        <f t="shared" si="95"/>
        <v>4.3867331143352915E-13</v>
      </c>
      <c r="CW109" s="20">
        <f t="shared" si="67"/>
        <v>8.0726688341261168E-13</v>
      </c>
      <c r="CX109" s="59">
        <f t="shared" si="68"/>
        <v>279.85230477284216</v>
      </c>
      <c r="CY109" s="59">
        <f ca="1">AVERAGE(OFFSET($CX$3,0,0,'Données projet'!$E$13+1,1))-AVERAGE(OFFSET($H$3,0,0,'Données projet'!$E$13+1,1))</f>
        <v>280.59827778697775</v>
      </c>
      <c r="CZ109" s="59">
        <f t="shared" si="96"/>
        <v>270.86588231964726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>
        <f>EXP(-LN(2)/35)*DF108+(1-EXP(-LN(2)/35))/(LN(2)/35)*DB109*DC109*VLOOKUP('Données projet'!$B$13,Paramètres!$A$1:$I$89,3,0)*0.475*44/12</f>
        <v>19.711061822593553</v>
      </c>
      <c r="DG109" s="21">
        <f>EXP(-LN(2)/25)*DG108+(1-EXP(-LN(2)/25))/(LN(2)/25)*Calculateur!DB109*Calculateur!DD109*VLOOKUP('Données projet'!$B$13,Paramètres!$A$1:$I$89,3,0)*0.475*44/12</f>
        <v>17.748993429952819</v>
      </c>
      <c r="DH109" s="21">
        <f>EXP(-LN(2)/2)*DH108+(1-EXP(-LN(2)/2))/(LN(2)/2)*DB109*DE109*VLOOKUP('Données projet'!$B$13,Paramètres!$A$1:$I$89,3,0)*0.475*44/12</f>
        <v>5.5476613330844877E-3</v>
      </c>
      <c r="DI109" s="22">
        <f t="shared" si="69"/>
        <v>37.465602913879451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66.323355847138558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2.8205128205128291</v>
      </c>
      <c r="DO109" s="12">
        <f>IF('Données projet'!$A$166&gt;35,DO108+DN109-DW108,IF(A109&lt;'Données projet'!$A$166,$DL$205^A109,IF(A109='Données projet'!$A$166,'Données projet'!$B$166,DO108+DN109-DW108)))</f>
        <v>169.48717948717956</v>
      </c>
      <c r="DP109" s="17">
        <f>DO109*VLOOKUP('Données projet'!$B$14,Paramètres!$A$1:$I$89,3,0)*VLOOKUP('Données projet'!$B$14,Paramètres!$A$1:$I$89,5,0)</f>
        <v>113.69200000000006</v>
      </c>
      <c r="DQ109" s="13">
        <f t="shared" si="97"/>
        <v>30.199170227619074</v>
      </c>
      <c r="DR109" s="20">
        <f t="shared" si="70"/>
        <v>250.6104548131033</v>
      </c>
      <c r="DS109" s="59">
        <f t="shared" si="71"/>
        <v>530.4627595859447</v>
      </c>
      <c r="DT109" s="59">
        <f ca="1">AVERAGE(OFFSET($DS$3,0,0,'Données projet'!$E$14+1,1))-AVERAGE(OFFSET($H$3,0,0,'Données projet'!$E$14+1,1))</f>
        <v>211.42385430331873</v>
      </c>
      <c r="DU109" s="59">
        <f t="shared" si="98"/>
        <v>146.84623106782686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>
        <f>EXP(-LN(2)/35)*EA108+(1-EXP(-LN(2)/35))/(LN(2)/35)*DW109*DX109*VLOOKUP('Données projet'!$B$14,Paramètres!$A$1:$I$89,3,0)*0.475*44/12</f>
        <v>6.3078533426752763</v>
      </c>
      <c r="EB109" s="21">
        <f>EXP(-LN(2)/25)*EB108+(1-EXP(-LN(2)/25))/(LN(2)/25)*Calculateur!DW109*Calculateur!DY109*VLOOKUP('Données projet'!$B$14,Paramètres!$A$1:$I$89,3,0)*0.475*44/12</f>
        <v>8.4716176606464941</v>
      </c>
      <c r="EC109" s="21">
        <f>EXP(-LN(2)/2)*EC108+(1-EXP(-LN(2)/2))/(LN(2)/2)*DW109*DZ109*VLOOKUP('Données projet'!$B$14,Paramètres!$A$1:$I$89,3,0)*0.475*44/12</f>
        <v>1.499704512844197</v>
      </c>
      <c r="ED109" s="22">
        <f t="shared" si="72"/>
        <v>16.279175516165967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66.323355847138558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1.9230769230769227</v>
      </c>
      <c r="EJ109" s="12">
        <f>IF('Données projet'!$A$192&gt;35,EJ108+EI109-ER108,IF(A109&lt;'Données projet'!$A$192,$EG$205^A109,IF(A109='Données projet'!$A$192,'Données projet'!$B$192,EJ108+EI109-ER108)))</f>
        <v>108.33333333333327</v>
      </c>
      <c r="EK109" s="17">
        <f>EJ109*VLOOKUP('Données projet'!$B$15,Paramètres!$A$1:$I$89,3,0)*VLOOKUP('Données projet'!$B$15,Paramètres!$A$1:$I$89,5,0)</f>
        <v>116.60999999999994</v>
      </c>
      <c r="EL109" s="13">
        <f t="shared" si="99"/>
        <v>30.883023623410974</v>
      </c>
      <c r="EM109" s="20">
        <f t="shared" si="73"/>
        <v>256.88368281077402</v>
      </c>
      <c r="EN109" s="59">
        <f t="shared" si="74"/>
        <v>536.73598758361538</v>
      </c>
      <c r="EO109" s="59">
        <f ca="1">AVERAGE(OFFSET($EN$3,0,0,'Données projet'!$E$15+1,1))-AVERAGE(OFFSET($H$3,0,0,'Données projet'!$E$15+1,1))</f>
        <v>212.00478362779876</v>
      </c>
      <c r="EP109" s="59">
        <f t="shared" si="100"/>
        <v>133.62262474506707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>
        <f>EXP(-LN(2)/35)*EV108+(1-EXP(-LN(2)/35))/(LN(2)/35)*ER109*ES109*VLOOKUP('Données projet'!$B$15,Paramètres!$A$1:$I$89,3,0)*0.475*44/12</f>
        <v>0</v>
      </c>
      <c r="EW109" s="21">
        <f>EXP(-LN(2)/25)*EW108+(1-EXP(-LN(2)/25))/(LN(2)/25)*Calculateur!ER109*Calculateur!ET109*VLOOKUP('Données projet'!$B$15,Paramètres!$A$1:$I$89,3,0)*0.475*44/12</f>
        <v>5.2203576345925917</v>
      </c>
      <c r="EX109" s="21">
        <f>EXP(-LN(2)/2)*EX108+(1-EXP(-LN(2)/2))/(LN(2)/2)*ER109*EU109*VLOOKUP('Données projet'!$B$15,Paramètres!$A$1:$I$89,3,0)*0.475*44/12</f>
        <v>1.3733021632811147</v>
      </c>
      <c r="EY109" s="22">
        <f t="shared" si="75"/>
        <v>6.5936597978737064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66.323355847138558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1.9230769230769227</v>
      </c>
      <c r="FE109" s="12">
        <f>IF('Données projet'!$A$218&gt;35,FE108+FD109-FM108,IF(A109&lt;'Données projet'!$A$218,$FB$205^A109,IF(A109='Données projet'!$A$218,'Données projet'!$B$218,FE108+FD109-FM108)))</f>
        <v>108.33333333333327</v>
      </c>
      <c r="FF109" s="17">
        <f>FE109*VLOOKUP('Données projet'!$B$16,Paramètres!$A$1:$I$89,3,0)*VLOOKUP('Données projet'!$B$16,Paramètres!$A$1:$I$89,5,0)</f>
        <v>104.77999999999994</v>
      </c>
      <c r="FG109" s="13">
        <f t="shared" si="101"/>
        <v>28.097653592102308</v>
      </c>
      <c r="FH109" s="20">
        <f t="shared" si="76"/>
        <v>231.4285800062448</v>
      </c>
      <c r="FI109" s="59">
        <f t="shared" si="77"/>
        <v>511.28088477908614</v>
      </c>
      <c r="FJ109" s="59">
        <f ca="1">AVERAGE(OFFSET($FI$3,0,0,'Données projet'!$E$16+1,1))-AVERAGE(OFFSET($H$3,0,0,'Données projet'!$E$16+1,1))</f>
        <v>196.65742339093146</v>
      </c>
      <c r="FK109" s="59">
        <f t="shared" si="102"/>
        <v>125.41980634506001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>
        <f>EXP(-LN(2)/35)*FQ108+(1-EXP(-LN(2)/35))/(LN(2)/35)*FM109*FN109*VLOOKUP('Données projet'!$B$16,Paramètres!$A$1:$I$89,3,0)*0.475*44/12</f>
        <v>0</v>
      </c>
      <c r="FR109" s="21">
        <f>EXP(-LN(2)/25)*FR108+(1-EXP(-LN(2)/25))/(LN(2)/25)*Calculateur!FM109*Calculateur!FO109*VLOOKUP('Données projet'!$B$16,Paramètres!$A$1:$I$89,3,0)*0.475*44/12</f>
        <v>4.6907561354310268</v>
      </c>
      <c r="FS109" s="21">
        <f>EXP(-LN(2)/2)*FS108+(1-EXP(-LN(2)/2))/(LN(2)/2)*FM109*FP109*VLOOKUP('Données projet'!$B$16,Paramètres!$A$1:$I$89,3,0)*0.475*44/12</f>
        <v>1.2339816539627404</v>
      </c>
      <c r="FT109" s="22">
        <f t="shared" si="78"/>
        <v>5.9247377893937667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66.323355847138558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66.323355847138558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>
      <c r="A110" s="10">
        <f t="shared" si="85"/>
        <v>107</v>
      </c>
      <c r="B110" s="73">
        <f>'Scénario référence'!$B$16*5+'Scénario référence'!$B$17*0+'Scénario référence'!$B$18*5</f>
        <v>4.6999999999999993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5.7086640000000042</v>
      </c>
      <c r="D110" s="11">
        <f t="shared" si="86"/>
        <v>2.1479587324638736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19.838190177842918</v>
      </c>
      <c r="H110" s="67">
        <f t="shared" si="56"/>
        <v>201.41695125904127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66.387137403445792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-2.2737367544323206E-13</v>
      </c>
      <c r="O110" s="13">
        <f>N110*VLOOKUP('Données projet'!$B$9,Paramètres!$A$1:$I$89,3,0)*VLOOKUP('Données projet'!$B$9,Paramètres!$A$1:$I$89,5,0)</f>
        <v>-1.3596945791505279E-13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366.93249569585623</v>
      </c>
      <c r="T110" s="59">
        <f t="shared" si="88"/>
        <v>272.47262353368501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89.789768112036384</v>
      </c>
      <c r="AA110" s="21">
        <f>EXP(-LN(2)/25)*AA109+(1-EXP(-LN(2)/25))/(LN(2)/25)*Calculateur!V110*Calculateur!X110*VLOOKUP('Données projet'!$B$9,Paramètres!$A$1:$I$89,3,0)*0.475*44/12</f>
        <v>24.47657977096425</v>
      </c>
      <c r="AB110" s="21">
        <f>EXP(-LN(2)/2)*AB109+(1-EXP(-LN(2)/2))/(LN(2)/2)*V110*Y110*VLOOKUP('Données projet'!$B$9,Paramètres!$A$1:$I$89,3,0)*0.475*44/12</f>
        <v>6.104030476987491E-3</v>
      </c>
      <c r="AC110" s="22">
        <f t="shared" si="57"/>
        <v>114.27245191347762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66.387137403445792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1.1368683772161603E-13</v>
      </c>
      <c r="AJ110" s="13">
        <f>AI110*VLOOKUP('Données projet'!$B$10,Paramètres!$A$1:$I$89,3,0)*VLOOKUP('Données projet'!$B$10,Paramètres!$A$1:$I$89,5,0)</f>
        <v>5.3205440053716299E-14</v>
      </c>
      <c r="AK110" s="13">
        <f t="shared" si="89"/>
        <v>8.602146238565607E-13</v>
      </c>
      <c r="AL110" s="20">
        <f t="shared" si="58"/>
        <v>1.590873277977066E-12</v>
      </c>
      <c r="AM110" s="59">
        <f t="shared" si="59"/>
        <v>280.08617047930284</v>
      </c>
      <c r="AN110" s="59">
        <f ca="1">AVERAGE(OFFSET($AM$3,0,0,'Données projet'!$E$10+1,1))-AVERAGE(OFFSET($H$3,0,0,'Données projet'!$E$10+1,1))</f>
        <v>382.89338473200229</v>
      </c>
      <c r="AO110" s="59">
        <f t="shared" si="90"/>
        <v>360.46248248971744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177.09640613190305</v>
      </c>
      <c r="AV110" s="21">
        <f>EXP(-LN(2)/25)*AV109+(1-EXP(-LN(2)/25))/(LN(2)/25)*Calculateur!AQ110*Calculateur!AS110*VLOOKUP('Données projet'!$B$10,Paramètres!$A$1:$I$89,3,0)*0.475*44/12</f>
        <v>51.518584368955445</v>
      </c>
      <c r="AW110" s="21">
        <f>EXP(-LN(2)/2)*AW109+(1-EXP(-LN(2)/2))/(LN(2)/2)*AQ110*AT110*VLOOKUP('Données projet'!$B$10,Paramètres!$A$1:$I$89,3,0)*0.475*44/12</f>
        <v>19.6140380172188</v>
      </c>
      <c r="AX110" s="21">
        <f t="shared" si="60"/>
        <v>248.22902851807729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66.387137403445792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>
        <f>BD110*VLOOKUP('Données projet'!$B$11,Paramètres!$A$1:$I$89,3,0)*VLOOKUP('Données projet'!$B$11,Paramètres!$A$1:$I$89,5,0)</f>
        <v>0</v>
      </c>
      <c r="BF110" s="13" t="e">
        <f t="shared" si="91"/>
        <v>#NUM!</v>
      </c>
      <c r="BG110" s="20" t="e">
        <f t="shared" si="61"/>
        <v>#NUM!</v>
      </c>
      <c r="BH110" s="59" t="e">
        <f t="shared" si="62"/>
        <v>#NUM!</v>
      </c>
      <c r="BI110" s="59">
        <f ca="1">AVERAGE(OFFSET($BH$3,0,0,'Données projet'!$E$11+1,1))-AVERAGE(OFFSET($H$3,0,0,'Données projet'!$E$11+1,1))</f>
        <v>225.75484198243581</v>
      </c>
      <c r="BJ110" s="59">
        <f t="shared" si="92"/>
        <v>199.49566488421061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6.4548687793690105</v>
      </c>
      <c r="BQ110" s="21">
        <f>EXP(-LN(2)/25)*BQ109+(1-EXP(-LN(2)/25))/(LN(2)/25)*Calculateur!BL110*Calculateur!BN110*VLOOKUP('Données projet'!$B$11,Paramètres!$A$1:$I$89,3,0)*0.475*44/12</f>
        <v>33.31667866122342</v>
      </c>
      <c r="BR110" s="21">
        <f>EXP(-LN(2)/2)*BR109+(1-EXP(-LN(2)/2))/(LN(2)/2)*BL110*BO110*VLOOKUP('Données projet'!$B$11,Paramètres!$A$1:$I$89,3,0)*0.475*44/12</f>
        <v>0</v>
      </c>
      <c r="BS110" s="22">
        <f t="shared" si="63"/>
        <v>39.771547440592428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66.387137403445792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4.2</v>
      </c>
      <c r="BY110" s="12">
        <f>IF('Données projet'!$A$114&gt;35,BY109+BX110-CG109,IF(A110&lt;'Données projet'!$A$114,$BV$205^A110,IF(A110='Données projet'!$A$114,'Données projet'!$B$114,BY109+BX110-CG109)))</f>
        <v>272.39999999999998</v>
      </c>
      <c r="BZ110" s="13">
        <f>BY110*VLOOKUP('Données projet'!$B$12,Paramètres!$A$1:$I$89,3,0)*VLOOKUP('Données projet'!$B$12,Paramètres!$A$1:$I$89,5,0)</f>
        <v>259.21584000000001</v>
      </c>
      <c r="CA110" s="13">
        <f t="shared" si="93"/>
        <v>62.555197359548238</v>
      </c>
      <c r="CB110" s="20">
        <f t="shared" si="64"/>
        <v>560.41789006787985</v>
      </c>
      <c r="CC110" s="59">
        <f t="shared" si="65"/>
        <v>840.5040605471811</v>
      </c>
      <c r="CD110" s="59">
        <f ca="1">AVERAGE(OFFSET($CC$3,0,0,'Données projet'!$E$12+1,1))-AVERAGE(OFFSET($H$3,0,0,'Données projet'!$E$12+1,1))</f>
        <v>413.9352601863377</v>
      </c>
      <c r="CE110" s="59">
        <f t="shared" si="94"/>
        <v>255.13997349799286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13.138438610805881</v>
      </c>
      <c r="CL110" s="21">
        <f>EXP(-LN(2)/25)*CL109+(1-EXP(-LN(2)/25))/(LN(2)/25)*Calculateur!CG110*Calculateur!CI110*VLOOKUP('Données projet'!$B$12,Paramètres!$A$1:$I$89,3,0)*0.475*44/12</f>
        <v>15.392541977241441</v>
      </c>
      <c r="CM110" s="21">
        <f>EXP(-LN(2)/2)*CM109+(1-EXP(-LN(2)/2))/(LN(2)/2)*CG110*CJ110*VLOOKUP('Données projet'!$B$12,Paramètres!$A$1:$I$89,3,0)*0.475*44/12</f>
        <v>2.7507610778813265</v>
      </c>
      <c r="CN110" s="22">
        <f t="shared" si="66"/>
        <v>31.281741665928646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66.387137403445792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2.8421709430404007E-14</v>
      </c>
      <c r="CU110" s="17">
        <f>CT110*VLOOKUP('Données projet'!$B$13,Paramètres!$A$1:$I$89,3,0)*VLOOKUP('Données projet'!$B$13,Paramètres!$A$1:$I$89,5,0)</f>
        <v>2.4829205358400945E-14</v>
      </c>
      <c r="CV110" s="13">
        <f t="shared" si="95"/>
        <v>4.3867331143352915E-13</v>
      </c>
      <c r="CW110" s="20">
        <f t="shared" si="67"/>
        <v>8.0726688341261168E-13</v>
      </c>
      <c r="CX110" s="59">
        <f t="shared" si="68"/>
        <v>280.08617047930204</v>
      </c>
      <c r="CY110" s="59">
        <f ca="1">AVERAGE(OFFSET($CX$3,0,0,'Données projet'!$E$13+1,1))-AVERAGE(OFFSET($H$3,0,0,'Données projet'!$E$13+1,1))</f>
        <v>280.59827778697775</v>
      </c>
      <c r="CZ110" s="59">
        <f t="shared" si="96"/>
        <v>270.86588231964726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>
        <f>EXP(-LN(2)/35)*DF109+(1-EXP(-LN(2)/35))/(LN(2)/35)*DB110*DC110*VLOOKUP('Données projet'!$B$13,Paramètres!$A$1:$I$89,3,0)*0.475*44/12</f>
        <v>19.324539922813077</v>
      </c>
      <c r="DG110" s="21">
        <f>EXP(-LN(2)/25)*DG109+(1-EXP(-LN(2)/25))/(LN(2)/25)*Calculateur!DB110*Calculateur!DD110*VLOOKUP('Données projet'!$B$13,Paramètres!$A$1:$I$89,3,0)*0.475*44/12</f>
        <v>17.26364627123176</v>
      </c>
      <c r="DH110" s="21">
        <f>EXP(-LN(2)/2)*DH109+(1-EXP(-LN(2)/2))/(LN(2)/2)*DB110*DE110*VLOOKUP('Données projet'!$B$13,Paramètres!$A$1:$I$89,3,0)*0.475*44/12</f>
        <v>3.9227889483504433E-3</v>
      </c>
      <c r="DI110" s="22">
        <f t="shared" si="69"/>
        <v>36.592108982993189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66.387137403445792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2.8205128205128291</v>
      </c>
      <c r="DO110" s="12">
        <f>IF('Données projet'!$A$166&gt;35,DO109+DN110-DW109,IF(A110&lt;'Données projet'!$A$166,$DL$205^A110,IF(A110='Données projet'!$A$166,'Données projet'!$B$166,DO109+DN110-DW109)))</f>
        <v>172.30769230769238</v>
      </c>
      <c r="DP110" s="17">
        <f>DO110*VLOOKUP('Données projet'!$B$14,Paramètres!$A$1:$I$89,3,0)*VLOOKUP('Données projet'!$B$14,Paramètres!$A$1:$I$89,5,0)</f>
        <v>115.58400000000006</v>
      </c>
      <c r="DQ110" s="13">
        <f t="shared" si="97"/>
        <v>30.642803075950507</v>
      </c>
      <c r="DR110" s="20">
        <f t="shared" si="70"/>
        <v>254.67834869061383</v>
      </c>
      <c r="DS110" s="59">
        <f t="shared" si="71"/>
        <v>534.76451916991505</v>
      </c>
      <c r="DT110" s="59">
        <f ca="1">AVERAGE(OFFSET($DS$3,0,0,'Données projet'!$E$14+1,1))-AVERAGE(OFFSET($H$3,0,0,'Données projet'!$E$14+1,1))</f>
        <v>211.42385430331873</v>
      </c>
      <c r="DU110" s="59">
        <f t="shared" si="98"/>
        <v>146.84623106782686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>
        <f>EXP(-LN(2)/35)*EA109+(1-EXP(-LN(2)/35))/(LN(2)/35)*DW110*DX110*VLOOKUP('Données projet'!$B$14,Paramètres!$A$1:$I$89,3,0)*0.475*44/12</f>
        <v>6.1841601860360527</v>
      </c>
      <c r="EB110" s="21">
        <f>EXP(-LN(2)/25)*EB109+(1-EXP(-LN(2)/25))/(LN(2)/25)*Calculateur!DW110*Calculateur!DY110*VLOOKUP('Données projet'!$B$14,Paramètres!$A$1:$I$89,3,0)*0.475*44/12</f>
        <v>8.2399608302131053</v>
      </c>
      <c r="EC110" s="21">
        <f>EXP(-LN(2)/2)*EC109+(1-EXP(-LN(2)/2))/(LN(2)/2)*DW110*DZ110*VLOOKUP('Données projet'!$B$14,Paramètres!$A$1:$I$89,3,0)*0.475*44/12</f>
        <v>1.0604512308081995</v>
      </c>
      <c r="ED110" s="22">
        <f t="shared" si="72"/>
        <v>15.484572247057358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66.387137403445792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1.9230769230769227</v>
      </c>
      <c r="EJ110" s="12">
        <f>IF('Données projet'!$A$192&gt;35,EJ109+EI110-ER109,IF(A110&lt;'Données projet'!$A$192,$EG$205^A110,IF(A110='Données projet'!$A$192,'Données projet'!$B$192,EJ109+EI110-ER109)))</f>
        <v>110.25641025641019</v>
      </c>
      <c r="EK110" s="17">
        <f>EJ110*VLOOKUP('Données projet'!$B$15,Paramètres!$A$1:$I$89,3,0)*VLOOKUP('Données projet'!$B$15,Paramètres!$A$1:$I$89,5,0)</f>
        <v>118.67999999999992</v>
      </c>
      <c r="EL110" s="13">
        <f t="shared" si="99"/>
        <v>31.366933062144025</v>
      </c>
      <c r="EM110" s="20">
        <f t="shared" si="73"/>
        <v>261.33174174990069</v>
      </c>
      <c r="EN110" s="59">
        <f t="shared" si="74"/>
        <v>541.41791222920187</v>
      </c>
      <c r="EO110" s="59">
        <f ca="1">AVERAGE(OFFSET($EN$3,0,0,'Données projet'!$E$15+1,1))-AVERAGE(OFFSET($H$3,0,0,'Données projet'!$E$15+1,1))</f>
        <v>212.00478362779876</v>
      </c>
      <c r="EP110" s="59">
        <f t="shared" si="100"/>
        <v>133.62262474506707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>
        <f>EXP(-LN(2)/35)*EV109+(1-EXP(-LN(2)/35))/(LN(2)/35)*ER110*ES110*VLOOKUP('Données projet'!$B$15,Paramètres!$A$1:$I$89,3,0)*0.475*44/12</f>
        <v>0</v>
      </c>
      <c r="EW110" s="21">
        <f>EXP(-LN(2)/25)*EW109+(1-EXP(-LN(2)/25))/(LN(2)/25)*Calculateur!ER110*Calculateur!ET110*VLOOKUP('Données projet'!$B$15,Paramètres!$A$1:$I$89,3,0)*0.475*44/12</f>
        <v>5.0776066805479809</v>
      </c>
      <c r="EX110" s="21">
        <f>EXP(-LN(2)/2)*EX109+(1-EXP(-LN(2)/2))/(LN(2)/2)*ER110*EU110*VLOOKUP('Données projet'!$B$15,Paramètres!$A$1:$I$89,3,0)*0.475*44/12</f>
        <v>0.97107127227423151</v>
      </c>
      <c r="EY110" s="22">
        <f t="shared" si="75"/>
        <v>6.0486779528222128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66.387137403445792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1.9230769230769227</v>
      </c>
      <c r="FE110" s="12">
        <f>IF('Données projet'!$A$218&gt;35,FE109+FD110-FM109,IF(A110&lt;'Données projet'!$A$218,$FB$205^A110,IF(A110='Données projet'!$A$218,'Données projet'!$B$218,FE109+FD110-FM109)))</f>
        <v>110.25641025641019</v>
      </c>
      <c r="FF110" s="17">
        <f>FE110*VLOOKUP('Données projet'!$B$16,Paramètres!$A$1:$I$89,3,0)*VLOOKUP('Données projet'!$B$16,Paramètres!$A$1:$I$89,5,0)</f>
        <v>106.63999999999994</v>
      </c>
      <c r="FG110" s="13">
        <f t="shared" si="101"/>
        <v>28.537918766434593</v>
      </c>
      <c r="FH110" s="20">
        <f t="shared" si="76"/>
        <v>235.4348751848735</v>
      </c>
      <c r="FI110" s="59">
        <f t="shared" si="77"/>
        <v>515.52104566417472</v>
      </c>
      <c r="FJ110" s="59">
        <f ca="1">AVERAGE(OFFSET($FI$3,0,0,'Données projet'!$E$16+1,1))-AVERAGE(OFFSET($H$3,0,0,'Données projet'!$E$16+1,1))</f>
        <v>196.65742339093146</v>
      </c>
      <c r="FK110" s="59">
        <f t="shared" si="102"/>
        <v>125.41980634506001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>
        <f>EXP(-LN(2)/35)*FQ109+(1-EXP(-LN(2)/35))/(LN(2)/35)*FM110*FN110*VLOOKUP('Données projet'!$B$16,Paramètres!$A$1:$I$89,3,0)*0.475*44/12</f>
        <v>0</v>
      </c>
      <c r="FR110" s="21">
        <f>EXP(-LN(2)/25)*FR109+(1-EXP(-LN(2)/25))/(LN(2)/25)*Calculateur!FM110*Calculateur!FO110*VLOOKUP('Données projet'!$B$16,Paramètres!$A$1:$I$89,3,0)*0.475*44/12</f>
        <v>4.5624871622315206</v>
      </c>
      <c r="FS110" s="21">
        <f>EXP(-LN(2)/2)*FS109+(1-EXP(-LN(2)/2))/(LN(2)/2)*FM110*FP110*VLOOKUP('Données projet'!$B$16,Paramètres!$A$1:$I$89,3,0)*0.475*44/12</f>
        <v>0.8725567953768455</v>
      </c>
      <c r="FT110" s="22">
        <f t="shared" si="78"/>
        <v>5.4350439576083662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66.387137403445792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66.387137403445792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>
      <c r="A111" s="10">
        <f t="shared" si="85"/>
        <v>108</v>
      </c>
      <c r="B111" s="73">
        <f>'Scénario référence'!$B$16*5+'Scénario référence'!$B$17*0+'Scénario référence'!$B$18*5</f>
        <v>4.6999999999999993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5.7620160000000045</v>
      </c>
      <c r="D111" s="11">
        <f t="shared" si="86"/>
        <v>2.1656868406248986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19.871111491096446</v>
      </c>
      <c r="H111" s="67">
        <f t="shared" si="56"/>
        <v>201.54074911408838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66.449812492345288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-2.2737367544323206E-13</v>
      </c>
      <c r="O111" s="13">
        <f>N111*VLOOKUP('Données projet'!$B$9,Paramètres!$A$1:$I$89,3,0)*VLOOKUP('Données projet'!$B$9,Paramètres!$A$1:$I$89,5,0)</f>
        <v>-1.3596945791505279E-13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366.93249569585623</v>
      </c>
      <c r="T111" s="59">
        <f t="shared" si="88"/>
        <v>272.47262353368501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88.029045525710174</v>
      </c>
      <c r="AA111" s="21">
        <f>EXP(-LN(2)/25)*AA110+(1-EXP(-LN(2)/25))/(LN(2)/25)*Calculateur!V111*Calculateur!X111*VLOOKUP('Données projet'!$B$9,Paramètres!$A$1:$I$89,3,0)*0.475*44/12</f>
        <v>23.807266409959844</v>
      </c>
      <c r="AB111" s="21">
        <f>EXP(-LN(2)/2)*AB110+(1-EXP(-LN(2)/2))/(LN(2)/2)*V111*Y111*VLOOKUP('Données projet'!$B$9,Paramètres!$A$1:$I$89,3,0)*0.475*44/12</f>
        <v>4.3162013428472111E-3</v>
      </c>
      <c r="AC111" s="22">
        <f t="shared" si="57"/>
        <v>111.84062813701286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66.449812492345288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1.1368683772161603E-13</v>
      </c>
      <c r="AJ111" s="13">
        <f>AI111*VLOOKUP('Données projet'!$B$10,Paramètres!$A$1:$I$89,3,0)*VLOOKUP('Données projet'!$B$10,Paramètres!$A$1:$I$89,5,0)</f>
        <v>5.3205440053716299E-14</v>
      </c>
      <c r="AK111" s="13">
        <f t="shared" si="89"/>
        <v>8.602146238565607E-13</v>
      </c>
      <c r="AL111" s="20">
        <f t="shared" si="58"/>
        <v>1.590873277977066E-12</v>
      </c>
      <c r="AM111" s="59">
        <f t="shared" si="59"/>
        <v>280.31597913860099</v>
      </c>
      <c r="AN111" s="59">
        <f ca="1">AVERAGE(OFFSET($AM$3,0,0,'Données projet'!$E$10+1,1))-AVERAGE(OFFSET($H$3,0,0,'Données projet'!$E$10+1,1))</f>
        <v>382.89338473200229</v>
      </c>
      <c r="AO111" s="59">
        <f t="shared" si="90"/>
        <v>360.46248248971744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173.62365362579826</v>
      </c>
      <c r="AV111" s="21">
        <f>EXP(-LN(2)/25)*AV110+(1-EXP(-LN(2)/25))/(LN(2)/25)*Calculateur!AQ111*Calculateur!AS111*VLOOKUP('Données projet'!$B$10,Paramètres!$A$1:$I$89,3,0)*0.475*44/12</f>
        <v>50.10980597014175</v>
      </c>
      <c r="AW111" s="21">
        <f>EXP(-LN(2)/2)*AW110+(1-EXP(-LN(2)/2))/(LN(2)/2)*AQ111*AT111*VLOOKUP('Données projet'!$B$10,Paramètres!$A$1:$I$89,3,0)*0.475*44/12</f>
        <v>13.869219288426159</v>
      </c>
      <c r="AX111" s="21">
        <f t="shared" si="60"/>
        <v>237.60267888436618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66.449812492345288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>
        <f>BD111*VLOOKUP('Données projet'!$B$11,Paramètres!$A$1:$I$89,3,0)*VLOOKUP('Données projet'!$B$11,Paramètres!$A$1:$I$89,5,0)</f>
        <v>0</v>
      </c>
      <c r="BF111" s="13" t="e">
        <f t="shared" si="91"/>
        <v>#NUM!</v>
      </c>
      <c r="BG111" s="20" t="e">
        <f t="shared" si="61"/>
        <v>#NUM!</v>
      </c>
      <c r="BH111" s="59" t="e">
        <f t="shared" si="62"/>
        <v>#NUM!</v>
      </c>
      <c r="BI111" s="59">
        <f ca="1">AVERAGE(OFFSET($BH$3,0,0,'Données projet'!$E$11+1,1))-AVERAGE(OFFSET($H$3,0,0,'Données projet'!$E$11+1,1))</f>
        <v>225.75484198243581</v>
      </c>
      <c r="BJ111" s="59">
        <f t="shared" si="92"/>
        <v>199.49566488421061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6.328292739686785</v>
      </c>
      <c r="BQ111" s="21">
        <f>EXP(-LN(2)/25)*BQ110+(1-EXP(-LN(2)/25))/(LN(2)/25)*Calculateur!BL111*Calculateur!BN111*VLOOKUP('Données projet'!$B$11,Paramètres!$A$1:$I$89,3,0)*0.475*44/12</f>
        <v>32.405632331184279</v>
      </c>
      <c r="BR111" s="21">
        <f>EXP(-LN(2)/2)*BR110+(1-EXP(-LN(2)/2))/(LN(2)/2)*BL111*BO111*VLOOKUP('Données projet'!$B$11,Paramètres!$A$1:$I$89,3,0)*0.475*44/12</f>
        <v>0</v>
      </c>
      <c r="BS111" s="22">
        <f t="shared" si="63"/>
        <v>38.733925070871067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66.449812492345288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4.2</v>
      </c>
      <c r="BY111" s="12">
        <f>IF('Données projet'!$A$114&gt;35,BY110+BX111-CG110,IF(A111&lt;'Données projet'!$A$114,$BV$205^A111,IF(A111='Données projet'!$A$114,'Données projet'!$B$114,BY110+BX111-CG110)))</f>
        <v>276.59999999999997</v>
      </c>
      <c r="BZ111" s="13">
        <f>BY111*VLOOKUP('Données projet'!$B$12,Paramètres!$A$1:$I$89,3,0)*VLOOKUP('Données projet'!$B$12,Paramètres!$A$1:$I$89,5,0)</f>
        <v>263.21255999999994</v>
      </c>
      <c r="CA111" s="13">
        <f t="shared" si="93"/>
        <v>63.406675731103839</v>
      </c>
      <c r="CB111" s="20">
        <f t="shared" si="64"/>
        <v>568.86183556500578</v>
      </c>
      <c r="CC111" s="59">
        <f t="shared" si="65"/>
        <v>849.17781470360524</v>
      </c>
      <c r="CD111" s="59">
        <f ca="1">AVERAGE(OFFSET($CC$3,0,0,'Données projet'!$E$12+1,1))-AVERAGE(OFFSET($H$3,0,0,'Données projet'!$E$12+1,1))</f>
        <v>413.9352601863377</v>
      </c>
      <c r="CE111" s="59">
        <f t="shared" si="94"/>
        <v>255.13997349799286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12.880801843304248</v>
      </c>
      <c r="CL111" s="21">
        <f>EXP(-LN(2)/25)*CL110+(1-EXP(-LN(2)/25))/(LN(2)/25)*Calculateur!CG111*Calculateur!CI111*VLOOKUP('Données projet'!$B$12,Paramètres!$A$1:$I$89,3,0)*0.475*44/12</f>
        <v>14.971632107415171</v>
      </c>
      <c r="CM111" s="21">
        <f>EXP(-LN(2)/2)*CM110+(1-EXP(-LN(2)/2))/(LN(2)/2)*CG111*CJ111*VLOOKUP('Données projet'!$B$12,Paramètres!$A$1:$I$89,3,0)*0.475*44/12</f>
        <v>1.9450818115939028</v>
      </c>
      <c r="CN111" s="22">
        <f t="shared" si="66"/>
        <v>29.797515762313321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66.449812492345288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2.8421709430404007E-14</v>
      </c>
      <c r="CU111" s="17">
        <f>CT111*VLOOKUP('Données projet'!$B$13,Paramètres!$A$1:$I$89,3,0)*VLOOKUP('Données projet'!$B$13,Paramètres!$A$1:$I$89,5,0)</f>
        <v>2.4829205358400945E-14</v>
      </c>
      <c r="CV111" s="13">
        <f t="shared" si="95"/>
        <v>4.3867331143352915E-13</v>
      </c>
      <c r="CW111" s="20">
        <f t="shared" si="67"/>
        <v>8.0726688341261168E-13</v>
      </c>
      <c r="CX111" s="59">
        <f t="shared" si="68"/>
        <v>280.3159791386002</v>
      </c>
      <c r="CY111" s="59">
        <f ca="1">AVERAGE(OFFSET($CX$3,0,0,'Données projet'!$E$13+1,1))-AVERAGE(OFFSET($H$3,0,0,'Données projet'!$E$13+1,1))</f>
        <v>280.59827778697775</v>
      </c>
      <c r="CZ111" s="59">
        <f t="shared" si="96"/>
        <v>270.86588231964726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>
        <f>EXP(-LN(2)/35)*DF110+(1-EXP(-LN(2)/35))/(LN(2)/35)*DB111*DC111*VLOOKUP('Données projet'!$B$13,Paramètres!$A$1:$I$89,3,0)*0.475*44/12</f>
        <v>18.945597481732214</v>
      </c>
      <c r="DG111" s="21">
        <f>EXP(-LN(2)/25)*DG110+(1-EXP(-LN(2)/25))/(LN(2)/25)*Calculateur!DB111*Calculateur!DD111*VLOOKUP('Données projet'!$B$13,Paramètres!$A$1:$I$89,3,0)*0.475*44/12</f>
        <v>16.791570956089227</v>
      </c>
      <c r="DH111" s="21">
        <f>EXP(-LN(2)/2)*DH110+(1-EXP(-LN(2)/2))/(LN(2)/2)*DB111*DE111*VLOOKUP('Données projet'!$B$13,Paramètres!$A$1:$I$89,3,0)*0.475*44/12</f>
        <v>2.7738306665422438E-3</v>
      </c>
      <c r="DI111" s="22">
        <f t="shared" si="69"/>
        <v>35.73994226848798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66.449812492345288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2.8205128205128291</v>
      </c>
      <c r="DO111" s="12">
        <f>IF('Données projet'!$A$166&gt;35,DO110+DN111-DW110,IF(A111&lt;'Données projet'!$A$166,$DL$205^A111,IF(A111='Données projet'!$A$166,'Données projet'!$B$166,DO110+DN111-DW110)))</f>
        <v>175.1282051282052</v>
      </c>
      <c r="DP111" s="17">
        <f>DO111*VLOOKUP('Données projet'!$B$14,Paramètres!$A$1:$I$89,3,0)*VLOOKUP('Données projet'!$B$14,Paramètres!$A$1:$I$89,5,0)</f>
        <v>117.47600000000004</v>
      </c>
      <c r="DQ111" s="13">
        <f t="shared" si="97"/>
        <v>31.085591410160038</v>
      </c>
      <c r="DR111" s="20">
        <f t="shared" si="70"/>
        <v>258.74477170602881</v>
      </c>
      <c r="DS111" s="59">
        <f t="shared" si="71"/>
        <v>539.06075084462827</v>
      </c>
      <c r="DT111" s="59">
        <f ca="1">AVERAGE(OFFSET($DS$3,0,0,'Données projet'!$E$14+1,1))-AVERAGE(OFFSET($H$3,0,0,'Données projet'!$E$14+1,1))</f>
        <v>211.42385430331873</v>
      </c>
      <c r="DU111" s="59">
        <f t="shared" si="98"/>
        <v>146.84623106782686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>
        <f>EXP(-LN(2)/35)*EA110+(1-EXP(-LN(2)/35))/(LN(2)/35)*DW111*DX111*VLOOKUP('Données projet'!$B$14,Paramètres!$A$1:$I$89,3,0)*0.475*44/12</f>
        <v>6.0628925767531481</v>
      </c>
      <c r="EB111" s="21">
        <f>EXP(-LN(2)/25)*EB110+(1-EXP(-LN(2)/25))/(LN(2)/25)*Calculateur!DW111*Calculateur!DY111*VLOOKUP('Données projet'!$B$14,Paramètres!$A$1:$I$89,3,0)*0.475*44/12</f>
        <v>8.0146386679902211</v>
      </c>
      <c r="EC111" s="21">
        <f>EXP(-LN(2)/2)*EC110+(1-EXP(-LN(2)/2))/(LN(2)/2)*DW111*DZ111*VLOOKUP('Données projet'!$B$14,Paramètres!$A$1:$I$89,3,0)*0.475*44/12</f>
        <v>0.74985225642209852</v>
      </c>
      <c r="ED111" s="22">
        <f t="shared" si="72"/>
        <v>14.827383501165468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66.449812492345288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1.9230769230769227</v>
      </c>
      <c r="EJ111" s="12">
        <f>IF('Données projet'!$A$192&gt;35,EJ110+EI111-ER110,IF(A111&lt;'Données projet'!$A$192,$EG$205^A111,IF(A111='Données projet'!$A$192,'Données projet'!$B$192,EJ110+EI111-ER110)))</f>
        <v>112.17948717948711</v>
      </c>
      <c r="EK111" s="17">
        <f>EJ111*VLOOKUP('Données projet'!$B$15,Paramètres!$A$1:$I$89,3,0)*VLOOKUP('Données projet'!$B$15,Paramètres!$A$1:$I$89,5,0)</f>
        <v>120.74999999999993</v>
      </c>
      <c r="EL111" s="13">
        <f t="shared" si="99"/>
        <v>31.849860996192348</v>
      </c>
      <c r="EM111" s="20">
        <f t="shared" si="73"/>
        <v>265.77809123503482</v>
      </c>
      <c r="EN111" s="59">
        <f t="shared" si="74"/>
        <v>546.09407037363417</v>
      </c>
      <c r="EO111" s="59">
        <f ca="1">AVERAGE(OFFSET($EN$3,0,0,'Données projet'!$E$15+1,1))-AVERAGE(OFFSET($H$3,0,0,'Données projet'!$E$15+1,1))</f>
        <v>212.00478362779876</v>
      </c>
      <c r="EP111" s="59">
        <f t="shared" si="100"/>
        <v>133.62262474506707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>
        <f>EXP(-LN(2)/35)*EV110+(1-EXP(-LN(2)/35))/(LN(2)/35)*ER111*ES111*VLOOKUP('Données projet'!$B$15,Paramètres!$A$1:$I$89,3,0)*0.475*44/12</f>
        <v>0</v>
      </c>
      <c r="EW111" s="21">
        <f>EXP(-LN(2)/25)*EW110+(1-EXP(-LN(2)/25))/(LN(2)/25)*Calculateur!ER111*Calculateur!ET111*VLOOKUP('Données projet'!$B$15,Paramètres!$A$1:$I$89,3,0)*0.475*44/12</f>
        <v>4.9387592588486662</v>
      </c>
      <c r="EX111" s="21">
        <f>EXP(-LN(2)/2)*EX110+(1-EXP(-LN(2)/2))/(LN(2)/2)*ER111*EU111*VLOOKUP('Données projet'!$B$15,Paramètres!$A$1:$I$89,3,0)*0.475*44/12</f>
        <v>0.68665108164055744</v>
      </c>
      <c r="EY111" s="22">
        <f t="shared" si="75"/>
        <v>5.6254103404892239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66.449812492345288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1.9230769230769227</v>
      </c>
      <c r="FE111" s="12">
        <f>IF('Données projet'!$A$218&gt;35,FE110+FD111-FM110,IF(A111&lt;'Données projet'!$A$218,$FB$205^A111,IF(A111='Données projet'!$A$218,'Données projet'!$B$218,FE110+FD111-FM110)))</f>
        <v>112.17948717948711</v>
      </c>
      <c r="FF111" s="17">
        <f>FE111*VLOOKUP('Données projet'!$B$16,Paramètres!$A$1:$I$89,3,0)*VLOOKUP('Données projet'!$B$16,Paramètres!$A$1:$I$89,5,0)</f>
        <v>108.49999999999994</v>
      </c>
      <c r="FG111" s="13">
        <f t="shared" si="101"/>
        <v>28.977290958947286</v>
      </c>
      <c r="FH111" s="20">
        <f t="shared" si="76"/>
        <v>239.4396150868331</v>
      </c>
      <c r="FI111" s="59">
        <f t="shared" si="77"/>
        <v>519.75559422543256</v>
      </c>
      <c r="FJ111" s="59">
        <f ca="1">AVERAGE(OFFSET($FI$3,0,0,'Données projet'!$E$16+1,1))-AVERAGE(OFFSET($H$3,0,0,'Données projet'!$E$16+1,1))</f>
        <v>196.65742339093146</v>
      </c>
      <c r="FK111" s="59">
        <f t="shared" si="102"/>
        <v>125.41980634506001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>
        <f>EXP(-LN(2)/35)*FQ110+(1-EXP(-LN(2)/35))/(LN(2)/35)*FM111*FN111*VLOOKUP('Données projet'!$B$16,Paramètres!$A$1:$I$89,3,0)*0.475*44/12</f>
        <v>0</v>
      </c>
      <c r="FR111" s="21">
        <f>EXP(-LN(2)/25)*FR110+(1-EXP(-LN(2)/25))/(LN(2)/25)*Calculateur!FM111*Calculateur!FO111*VLOOKUP('Données projet'!$B$16,Paramètres!$A$1:$I$89,3,0)*0.475*44/12</f>
        <v>4.4377257108495272</v>
      </c>
      <c r="FS111" s="21">
        <f>EXP(-LN(2)/2)*FS110+(1-EXP(-LN(2)/2))/(LN(2)/2)*FM111*FP111*VLOOKUP('Données projet'!$B$16,Paramètres!$A$1:$I$89,3,0)*0.475*44/12</f>
        <v>0.6169908269813702</v>
      </c>
      <c r="FT111" s="22">
        <f t="shared" si="78"/>
        <v>5.0547165378308971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66.449812492345288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66.449812492345288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>
      <c r="A112" s="10">
        <f t="shared" si="85"/>
        <v>109</v>
      </c>
      <c r="B112" s="73">
        <f>'Scénario référence'!$B$16*5+'Scénario référence'!$B$17*0+'Scénario référence'!$B$18*5</f>
        <v>4.6999999999999993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5.8153680000000048</v>
      </c>
      <c r="D112" s="11">
        <f t="shared" si="86"/>
        <v>2.1833958518291285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19.904023959443666</v>
      </c>
      <c r="H112" s="67">
        <f t="shared" si="56"/>
        <v>201.66451370860241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66.511400308572888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-2.2737367544323206E-13</v>
      </c>
      <c r="O112" s="13">
        <f>N112*VLOOKUP('Données projet'!$B$9,Paramètres!$A$1:$I$89,3,0)*VLOOKUP('Données projet'!$B$9,Paramètres!$A$1:$I$89,5,0)</f>
        <v>-1.3596945791505279E-13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366.93249569585623</v>
      </c>
      <c r="T112" s="59">
        <f t="shared" si="88"/>
        <v>272.47262353368501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86.302849635367082</v>
      </c>
      <c r="AA112" s="21">
        <f>EXP(-LN(2)/25)*AA111+(1-EXP(-LN(2)/25))/(LN(2)/25)*Calculateur!V112*Calculateur!X112*VLOOKUP('Données projet'!$B$9,Paramètres!$A$1:$I$89,3,0)*0.475*44/12</f>
        <v>23.156255458009763</v>
      </c>
      <c r="AB112" s="21">
        <f>EXP(-LN(2)/2)*AB111+(1-EXP(-LN(2)/2))/(LN(2)/2)*V112*Y112*VLOOKUP('Données projet'!$B$9,Paramètres!$A$1:$I$89,3,0)*0.475*44/12</f>
        <v>3.0520152384937455E-3</v>
      </c>
      <c r="AC112" s="22">
        <f t="shared" si="57"/>
        <v>109.46215710861534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66.511400308572888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1.1368683772161603E-13</v>
      </c>
      <c r="AJ112" s="13">
        <f>AI112*VLOOKUP('Données projet'!$B$10,Paramètres!$A$1:$I$89,3,0)*VLOOKUP('Données projet'!$B$10,Paramètres!$A$1:$I$89,5,0)</f>
        <v>5.3205440053716299E-14</v>
      </c>
      <c r="AK112" s="13">
        <f t="shared" si="89"/>
        <v>8.602146238565607E-13</v>
      </c>
      <c r="AL112" s="20">
        <f t="shared" si="58"/>
        <v>1.590873277977066E-12</v>
      </c>
      <c r="AM112" s="59">
        <f t="shared" si="59"/>
        <v>280.54180113143553</v>
      </c>
      <c r="AN112" s="59">
        <f ca="1">AVERAGE(OFFSET($AM$3,0,0,'Données projet'!$E$10+1,1))-AVERAGE(OFFSET($H$3,0,0,'Données projet'!$E$10+1,1))</f>
        <v>382.89338473200229</v>
      </c>
      <c r="AO112" s="59">
        <f t="shared" si="90"/>
        <v>360.46248248971744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170.2189996781683</v>
      </c>
      <c r="AV112" s="21">
        <f>EXP(-LN(2)/25)*AV111+(1-EXP(-LN(2)/25))/(LN(2)/25)*Calculateur!AQ112*Calculateur!AS112*VLOOKUP('Données projet'!$B$10,Paramètres!$A$1:$I$89,3,0)*0.475*44/12</f>
        <v>48.739550690728052</v>
      </c>
      <c r="AW112" s="21">
        <f>EXP(-LN(2)/2)*AW111+(1-EXP(-LN(2)/2))/(LN(2)/2)*AQ112*AT112*VLOOKUP('Données projet'!$B$10,Paramètres!$A$1:$I$89,3,0)*0.475*44/12</f>
        <v>9.8070190086094016</v>
      </c>
      <c r="AX112" s="21">
        <f t="shared" si="60"/>
        <v>228.76556937750576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66.511400308572888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>
        <f>BD112*VLOOKUP('Données projet'!$B$11,Paramètres!$A$1:$I$89,3,0)*VLOOKUP('Données projet'!$B$11,Paramètres!$A$1:$I$89,5,0)</f>
        <v>0</v>
      </c>
      <c r="BF112" s="13" t="e">
        <f t="shared" si="91"/>
        <v>#NUM!</v>
      </c>
      <c r="BG112" s="20" t="e">
        <f t="shared" si="61"/>
        <v>#NUM!</v>
      </c>
      <c r="BH112" s="59" t="e">
        <f t="shared" si="62"/>
        <v>#NUM!</v>
      </c>
      <c r="BI112" s="59">
        <f ca="1">AVERAGE(OFFSET($BH$3,0,0,'Données projet'!$E$11+1,1))-AVERAGE(OFFSET($H$3,0,0,'Données projet'!$E$11+1,1))</f>
        <v>225.75484198243581</v>
      </c>
      <c r="BJ112" s="59">
        <f t="shared" si="92"/>
        <v>199.49566488421061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6.2041987789389674</v>
      </c>
      <c r="BQ112" s="21">
        <f>EXP(-LN(2)/25)*BQ111+(1-EXP(-LN(2)/25))/(LN(2)/25)*Calculateur!BL112*Calculateur!BN112*VLOOKUP('Données projet'!$B$11,Paramètres!$A$1:$I$89,3,0)*0.475*44/12</f>
        <v>31.519498610949906</v>
      </c>
      <c r="BR112" s="21">
        <f>EXP(-LN(2)/2)*BR111+(1-EXP(-LN(2)/2))/(LN(2)/2)*BL112*BO112*VLOOKUP('Données projet'!$B$11,Paramètres!$A$1:$I$89,3,0)*0.475*44/12</f>
        <v>0</v>
      </c>
      <c r="BS112" s="22">
        <f t="shared" si="63"/>
        <v>37.723697389888876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66.511400308572888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4.2</v>
      </c>
      <c r="BY112" s="12">
        <f>IF('Données projet'!$A$114&gt;35,BY111+BX112-CG111,IF(A112&lt;'Données projet'!$A$114,$BV$205^A112,IF(A112='Données projet'!$A$114,'Données projet'!$B$114,BY111+BX112-CG111)))</f>
        <v>280.79999999999995</v>
      </c>
      <c r="BZ112" s="13">
        <f>BY112*VLOOKUP('Données projet'!$B$12,Paramètres!$A$1:$I$89,3,0)*VLOOKUP('Données projet'!$B$12,Paramètres!$A$1:$I$89,5,0)</f>
        <v>267.20927999999998</v>
      </c>
      <c r="CA112" s="13">
        <f t="shared" si="93"/>
        <v>64.256650415058076</v>
      </c>
      <c r="CB112" s="20">
        <f t="shared" si="64"/>
        <v>577.30316213955939</v>
      </c>
      <c r="CC112" s="59">
        <f t="shared" si="65"/>
        <v>857.84496327099328</v>
      </c>
      <c r="CD112" s="59">
        <f ca="1">AVERAGE(OFFSET($CC$3,0,0,'Données projet'!$E$12+1,1))-AVERAGE(OFFSET($H$3,0,0,'Données projet'!$E$12+1,1))</f>
        <v>413.9352601863377</v>
      </c>
      <c r="CE112" s="59">
        <f t="shared" si="94"/>
        <v>255.13997349799286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12.628217175670409</v>
      </c>
      <c r="CL112" s="21">
        <f>EXP(-LN(2)/25)*CL111+(1-EXP(-LN(2)/25))/(LN(2)/25)*Calculateur!CG112*Calculateur!CI112*VLOOKUP('Données projet'!$B$12,Paramètres!$A$1:$I$89,3,0)*0.475*44/12</f>
        <v>14.562232040113988</v>
      </c>
      <c r="CM112" s="21">
        <f>EXP(-LN(2)/2)*CM111+(1-EXP(-LN(2)/2))/(LN(2)/2)*CG112*CJ112*VLOOKUP('Données projet'!$B$12,Paramètres!$A$1:$I$89,3,0)*0.475*44/12</f>
        <v>1.3753805389406635</v>
      </c>
      <c r="CN112" s="22">
        <f t="shared" si="66"/>
        <v>28.565829754725062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66.511400308572888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2.8421709430404007E-14</v>
      </c>
      <c r="CU112" s="17">
        <f>CT112*VLOOKUP('Données projet'!$B$13,Paramètres!$A$1:$I$89,3,0)*VLOOKUP('Données projet'!$B$13,Paramètres!$A$1:$I$89,5,0)</f>
        <v>2.4829205358400945E-14</v>
      </c>
      <c r="CV112" s="13">
        <f t="shared" si="95"/>
        <v>4.3867331143352915E-13</v>
      </c>
      <c r="CW112" s="20">
        <f t="shared" si="67"/>
        <v>8.0726688341261168E-13</v>
      </c>
      <c r="CX112" s="59">
        <f t="shared" si="68"/>
        <v>280.54180113143474</v>
      </c>
      <c r="CY112" s="59">
        <f ca="1">AVERAGE(OFFSET($CX$3,0,0,'Données projet'!$E$13+1,1))-AVERAGE(OFFSET($H$3,0,0,'Données projet'!$E$13+1,1))</f>
        <v>280.59827778697775</v>
      </c>
      <c r="CZ112" s="59">
        <f t="shared" si="96"/>
        <v>270.86588231964726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>
        <f>EXP(-LN(2)/35)*DF111+(1-EXP(-LN(2)/35))/(LN(2)/35)*DB112*DC112*VLOOKUP('Données projet'!$B$13,Paramètres!$A$1:$I$89,3,0)*0.475*44/12</f>
        <v>18.574085870788881</v>
      </c>
      <c r="DG112" s="21">
        <f>EXP(-LN(2)/25)*DG111+(1-EXP(-LN(2)/25))/(LN(2)/25)*Calculateur!DB112*Calculateur!DD112*VLOOKUP('Données projet'!$B$13,Paramètres!$A$1:$I$89,3,0)*0.475*44/12</f>
        <v>16.332404565264628</v>
      </c>
      <c r="DH112" s="21">
        <f>EXP(-LN(2)/2)*DH111+(1-EXP(-LN(2)/2))/(LN(2)/2)*DB112*DE112*VLOOKUP('Données projet'!$B$13,Paramètres!$A$1:$I$89,3,0)*0.475*44/12</f>
        <v>1.9613944741752216E-3</v>
      </c>
      <c r="DI112" s="22">
        <f t="shared" si="69"/>
        <v>34.908451830527682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66.511400308572888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2.8205128205128291</v>
      </c>
      <c r="DO112" s="12">
        <f>IF('Données projet'!$A$166&gt;35,DO111+DN112-DW111,IF(A112&lt;'Données projet'!$A$166,$DL$205^A112,IF(A112='Données projet'!$A$166,'Données projet'!$B$166,DO111+DN112-DW111)))</f>
        <v>177.94871794871801</v>
      </c>
      <c r="DP112" s="17">
        <f>DO112*VLOOKUP('Données projet'!$B$14,Paramètres!$A$1:$I$89,3,0)*VLOOKUP('Données projet'!$B$14,Paramètres!$A$1:$I$89,5,0)</f>
        <v>119.36800000000004</v>
      </c>
      <c r="DQ112" s="13">
        <f t="shared" si="97"/>
        <v>31.527550401783053</v>
      </c>
      <c r="DR112" s="20">
        <f t="shared" si="70"/>
        <v>262.80975028310553</v>
      </c>
      <c r="DS112" s="59">
        <f t="shared" si="71"/>
        <v>543.35155141453947</v>
      </c>
      <c r="DT112" s="59">
        <f ca="1">AVERAGE(OFFSET($DS$3,0,0,'Données projet'!$E$14+1,1))-AVERAGE(OFFSET($H$3,0,0,'Données projet'!$E$14+1,1))</f>
        <v>211.42385430331873</v>
      </c>
      <c r="DU112" s="59">
        <f t="shared" si="98"/>
        <v>146.84623106782686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>
        <f>EXP(-LN(2)/35)*EA111+(1-EXP(-LN(2)/35))/(LN(2)/35)*DW112*DX112*VLOOKUP('Données projet'!$B$14,Paramètres!$A$1:$I$89,3,0)*0.475*44/12</f>
        <v>5.9440029513223438</v>
      </c>
      <c r="EB112" s="21">
        <f>EXP(-LN(2)/25)*EB111+(1-EXP(-LN(2)/25))/(LN(2)/25)*Calculateur!DW112*Calculateur!DY112*VLOOKUP('Données projet'!$B$14,Paramètres!$A$1:$I$89,3,0)*0.475*44/12</f>
        <v>7.7954779521424991</v>
      </c>
      <c r="EC112" s="21">
        <f>EXP(-LN(2)/2)*EC111+(1-EXP(-LN(2)/2))/(LN(2)/2)*DW112*DZ112*VLOOKUP('Données projet'!$B$14,Paramètres!$A$1:$I$89,3,0)*0.475*44/12</f>
        <v>0.53022561540409974</v>
      </c>
      <c r="ED112" s="22">
        <f t="shared" si="72"/>
        <v>14.269706518868942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66.511400308572888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1.9230769230769227</v>
      </c>
      <c r="EJ112" s="12">
        <f>IF('Données projet'!$A$192&gt;35,EJ111+EI112-ER111,IF(A112&lt;'Données projet'!$A$192,$EG$205^A112,IF(A112='Données projet'!$A$192,'Données projet'!$B$192,EJ111+EI112-ER111)))</f>
        <v>114.10256410256403</v>
      </c>
      <c r="EK112" s="17">
        <f>EJ112*VLOOKUP('Données projet'!$B$15,Paramètres!$A$1:$I$89,3,0)*VLOOKUP('Données projet'!$B$15,Paramètres!$A$1:$I$89,5,0)</f>
        <v>122.81999999999991</v>
      </c>
      <c r="EL112" s="13">
        <f t="shared" si="99"/>
        <v>32.331826192996836</v>
      </c>
      <c r="EM112" s="20">
        <f t="shared" si="73"/>
        <v>270.22276395280261</v>
      </c>
      <c r="EN112" s="59">
        <f t="shared" si="74"/>
        <v>550.76456508423655</v>
      </c>
      <c r="EO112" s="59">
        <f ca="1">AVERAGE(OFFSET($EN$3,0,0,'Données projet'!$E$15+1,1))-AVERAGE(OFFSET($H$3,0,0,'Données projet'!$E$15+1,1))</f>
        <v>212.00478362779876</v>
      </c>
      <c r="EP112" s="59">
        <f t="shared" si="100"/>
        <v>133.62262474506707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>
        <f>EXP(-LN(2)/35)*EV111+(1-EXP(-LN(2)/35))/(LN(2)/35)*ER112*ES112*VLOOKUP('Données projet'!$B$15,Paramètres!$A$1:$I$89,3,0)*0.475*44/12</f>
        <v>0</v>
      </c>
      <c r="EW112" s="21">
        <f>EXP(-LN(2)/25)*EW111+(1-EXP(-LN(2)/25))/(LN(2)/25)*Calculateur!ER112*Calculateur!ET112*VLOOKUP('Données projet'!$B$15,Paramètres!$A$1:$I$89,3,0)*0.475*44/12</f>
        <v>4.8037086271973877</v>
      </c>
      <c r="EX112" s="21">
        <f>EXP(-LN(2)/2)*EX111+(1-EXP(-LN(2)/2))/(LN(2)/2)*ER112*EU112*VLOOKUP('Données projet'!$B$15,Paramètres!$A$1:$I$89,3,0)*0.475*44/12</f>
        <v>0.48553563613711587</v>
      </c>
      <c r="EY112" s="22">
        <f t="shared" si="75"/>
        <v>5.2892442633345036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66.511400308572888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1.9230769230769227</v>
      </c>
      <c r="FE112" s="12">
        <f>IF('Données projet'!$A$218&gt;35,FE111+FD112-FM111,IF(A112&lt;'Données projet'!$A$218,$FB$205^A112,IF(A112='Données projet'!$A$218,'Données projet'!$B$218,FE111+FD112-FM111)))</f>
        <v>114.10256410256403</v>
      </c>
      <c r="FF112" s="17">
        <f>FE112*VLOOKUP('Données projet'!$B$16,Paramètres!$A$1:$I$89,3,0)*VLOOKUP('Données projet'!$B$16,Paramètres!$A$1:$I$89,5,0)</f>
        <v>110.35999999999993</v>
      </c>
      <c r="FG112" s="13">
        <f t="shared" si="101"/>
        <v>29.415787244427506</v>
      </c>
      <c r="FH112" s="20">
        <f t="shared" si="76"/>
        <v>243.44282945071109</v>
      </c>
      <c r="FI112" s="59">
        <f t="shared" si="77"/>
        <v>523.98463058214497</v>
      </c>
      <c r="FJ112" s="59">
        <f ca="1">AVERAGE(OFFSET($FI$3,0,0,'Données projet'!$E$16+1,1))-AVERAGE(OFFSET($H$3,0,0,'Données projet'!$E$16+1,1))</f>
        <v>196.65742339093146</v>
      </c>
      <c r="FK112" s="59">
        <f t="shared" si="102"/>
        <v>125.41980634506001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>
        <f>EXP(-LN(2)/35)*FQ111+(1-EXP(-LN(2)/35))/(LN(2)/35)*FM112*FN112*VLOOKUP('Données projet'!$B$16,Paramètres!$A$1:$I$89,3,0)*0.475*44/12</f>
        <v>0</v>
      </c>
      <c r="FR112" s="21">
        <f>EXP(-LN(2)/25)*FR111+(1-EXP(-LN(2)/25))/(LN(2)/25)*Calculateur!FM112*Calculateur!FO112*VLOOKUP('Données projet'!$B$16,Paramètres!$A$1:$I$89,3,0)*0.475*44/12</f>
        <v>4.3163758679164941</v>
      </c>
      <c r="FS112" s="21">
        <f>EXP(-LN(2)/2)*FS111+(1-EXP(-LN(2)/2))/(LN(2)/2)*FM112*FP112*VLOOKUP('Données projet'!$B$16,Paramètres!$A$1:$I$89,3,0)*0.475*44/12</f>
        <v>0.43627839768842275</v>
      </c>
      <c r="FT112" s="22">
        <f t="shared" si="78"/>
        <v>4.7526542656049164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66.511400308572888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66.511400308572888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>
      <c r="A113" s="10">
        <f t="shared" si="85"/>
        <v>110</v>
      </c>
      <c r="B113" s="73">
        <f>'Scénario référence'!$B$16*5+'Scénario référence'!$B$17*0+'Scénario référence'!$B$18*5</f>
        <v>4.6999999999999993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5.868720000000005</v>
      </c>
      <c r="D113" s="11">
        <f t="shared" si="86"/>
        <v>2.2010859615725566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19.936927673430098</v>
      </c>
      <c r="H113" s="67">
        <f t="shared" si="56"/>
        <v>201.78824538307222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66.571919713878657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-2.2737367544323206E-13</v>
      </c>
      <c r="O113" s="13">
        <f>N113*VLOOKUP('Données projet'!$B$9,Paramètres!$A$1:$I$89,3,0)*VLOOKUP('Données projet'!$B$9,Paramètres!$A$1:$I$89,5,0)</f>
        <v>-1.3596945791505279E-13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366.93249569585623</v>
      </c>
      <c r="T113" s="59">
        <f t="shared" si="88"/>
        <v>272.47262353368501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84.610503393558091</v>
      </c>
      <c r="AA113" s="21">
        <f>EXP(-LN(2)/25)*AA112+(1-EXP(-LN(2)/25))/(LN(2)/25)*Calculateur!V113*Calculateur!X113*VLOOKUP('Données projet'!$B$9,Paramètres!$A$1:$I$89,3,0)*0.475*44/12</f>
        <v>22.523046434775935</v>
      </c>
      <c r="AB113" s="21">
        <f>EXP(-LN(2)/2)*AB112+(1-EXP(-LN(2)/2))/(LN(2)/2)*V113*Y113*VLOOKUP('Données projet'!$B$9,Paramètres!$A$1:$I$89,3,0)*0.475*44/12</f>
        <v>2.1581006714236056E-3</v>
      </c>
      <c r="AC113" s="22">
        <f t="shared" si="57"/>
        <v>107.13570792900545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66.571919713878657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1.1368683772161603E-13</v>
      </c>
      <c r="AJ113" s="13">
        <f>AI113*VLOOKUP('Données projet'!$B$10,Paramètres!$A$1:$I$89,3,0)*VLOOKUP('Données projet'!$B$10,Paramètres!$A$1:$I$89,5,0)</f>
        <v>5.3205440053716299E-14</v>
      </c>
      <c r="AK113" s="13">
        <f t="shared" si="89"/>
        <v>8.602146238565607E-13</v>
      </c>
      <c r="AL113" s="20">
        <f t="shared" si="58"/>
        <v>1.590873277977066E-12</v>
      </c>
      <c r="AM113" s="59">
        <f t="shared" si="59"/>
        <v>280.7637056175567</v>
      </c>
      <c r="AN113" s="59">
        <f ca="1">AVERAGE(OFFSET($AM$3,0,0,'Données projet'!$E$10+1,1))-AVERAGE(OFFSET($H$3,0,0,'Données projet'!$E$10+1,1))</f>
        <v>382.89338473200229</v>
      </c>
      <c r="AO113" s="59">
        <f t="shared" si="90"/>
        <v>360.46248248971744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166.88110891781753</v>
      </c>
      <c r="AV113" s="21">
        <f>EXP(-LN(2)/25)*AV112+(1-EXP(-LN(2)/25))/(LN(2)/25)*Calculateur!AQ113*Calculateur!AS113*VLOOKUP('Données projet'!$B$10,Paramètres!$A$1:$I$89,3,0)*0.475*44/12</f>
        <v>47.40676511398852</v>
      </c>
      <c r="AW113" s="21">
        <f>EXP(-LN(2)/2)*AW112+(1-EXP(-LN(2)/2))/(LN(2)/2)*AQ113*AT113*VLOOKUP('Données projet'!$B$10,Paramètres!$A$1:$I$89,3,0)*0.475*44/12</f>
        <v>6.9346096442130811</v>
      </c>
      <c r="AX113" s="21">
        <f t="shared" si="60"/>
        <v>221.22248367601912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66.571919713878657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>
        <f>BD113*VLOOKUP('Données projet'!$B$11,Paramètres!$A$1:$I$89,3,0)*VLOOKUP('Données projet'!$B$11,Paramètres!$A$1:$I$89,5,0)</f>
        <v>0</v>
      </c>
      <c r="BF113" s="13" t="e">
        <f t="shared" si="91"/>
        <v>#NUM!</v>
      </c>
      <c r="BG113" s="20" t="e">
        <f t="shared" si="61"/>
        <v>#NUM!</v>
      </c>
      <c r="BH113" s="59" t="e">
        <f t="shared" si="62"/>
        <v>#NUM!</v>
      </c>
      <c r="BI113" s="59">
        <f ca="1">AVERAGE(OFFSET($BH$3,0,0,'Données projet'!$E$11+1,1))-AVERAGE(OFFSET($H$3,0,0,'Données projet'!$E$11+1,1))</f>
        <v>225.75484198243581</v>
      </c>
      <c r="BJ113" s="59">
        <f t="shared" si="92"/>
        <v>199.49566488421061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6.0825382250715716</v>
      </c>
      <c r="BQ113" s="21">
        <f>EXP(-LN(2)/25)*BQ112+(1-EXP(-LN(2)/25))/(LN(2)/25)*Calculateur!BL113*Calculateur!BN113*VLOOKUP('Données projet'!$B$11,Paramètres!$A$1:$I$89,3,0)*0.475*44/12</f>
        <v>30.657596263895087</v>
      </c>
      <c r="BR113" s="21">
        <f>EXP(-LN(2)/2)*BR112+(1-EXP(-LN(2)/2))/(LN(2)/2)*BL113*BO113*VLOOKUP('Données projet'!$B$11,Paramètres!$A$1:$I$89,3,0)*0.475*44/12</f>
        <v>0</v>
      </c>
      <c r="BS113" s="22">
        <f t="shared" si="63"/>
        <v>36.74013448896666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66.571919713878657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>
        <f>VLOOKUP(A113,'Données projet'!$A$113:$I$133,2,0)</f>
        <v>285</v>
      </c>
      <c r="BW113" s="12">
        <f>VLOOKUP(A113,'Données projet'!$A$113:$I$133,9,0)</f>
        <v>4.2</v>
      </c>
      <c r="BX113" s="12">
        <f t="array" ref="BX113">INDEX(BW:BW,MIN(IF(ISNUMBER(BW113:BW309),ROW(BW113:BW309),"")))</f>
        <v>4.2</v>
      </c>
      <c r="BY113" s="12">
        <f>IF('Données projet'!$A$114&gt;35,BY112+BX113-CG112,IF(A113&lt;'Données projet'!$A$114,$BV$205^A113,IF(A113='Données projet'!$A$114,'Données projet'!$B$114,BY112+BX113-CG112)))</f>
        <v>284.99999999999994</v>
      </c>
      <c r="BZ113" s="13">
        <f>BY113*VLOOKUP('Données projet'!$B$12,Paramètres!$A$1:$I$89,3,0)*VLOOKUP('Données projet'!$B$12,Paramètres!$A$1:$I$89,5,0)</f>
        <v>271.20599999999996</v>
      </c>
      <c r="CA113" s="13">
        <f t="shared" si="93"/>
        <v>65.105146500461984</v>
      </c>
      <c r="CB113" s="20">
        <f t="shared" si="64"/>
        <v>585.74191348830459</v>
      </c>
      <c r="CC113" s="59">
        <f t="shared" si="65"/>
        <v>866.50561910585975</v>
      </c>
      <c r="CD113" s="59">
        <f ca="1">AVERAGE(OFFSET($CC$3,0,0,'Données projet'!$E$12+1,1))-AVERAGE(OFFSET($H$3,0,0,'Données projet'!$E$12+1,1))</f>
        <v>413.9352601863377</v>
      </c>
      <c r="CE113" s="59">
        <f t="shared" si="94"/>
        <v>255.13997349799286</v>
      </c>
      <c r="CF113" s="15">
        <f>IF(ISNA(VLOOKUP(A113,'Données projet'!$A$113:$I$133,3,0)),0,VLOOKUP(A113,'Données projet'!$A$113:$I$133,3,0))</f>
        <v>18</v>
      </c>
      <c r="CG113" s="15">
        <f>IF(ISNA(VLOOKUP(A113,'Données projet'!$A$113:$I$133,4,0)),0,VLOOKUP(A113,'Données projet'!$A$113:$I$133,4,0))</f>
        <v>19</v>
      </c>
      <c r="CH113" s="16">
        <f>IF(ISNA(VLOOKUP(A113,'Données projet'!$A$113:$I$133,5,0)),0%,VLOOKUP(A113,'Données projet'!$A$113:$I$133,5,0)*VLOOKUP('Données projet'!$B$12,Paramètres!$A$1:$I$89,7,0))</f>
        <v>0.1075</v>
      </c>
      <c r="CI113" s="16">
        <f>IF(ISNA(VLOOKUP(A113,'Données projet'!$A$113:$I$133,6,0)),0%,VLOOKUP(A113,'Données projet'!$A$113:$I$133,6,0)*VLOOKUP('Données projet'!$B$12,Paramètres!$A$1:$I$89,7,0))</f>
        <v>0.1075</v>
      </c>
      <c r="CJ113" s="16">
        <f>IF(ISNA(VLOOKUP(A113,'Données projet'!$A$113:$I$133,7,0)),0%,VLOOKUP(A113,'Données projet'!$A$113:$I$133,7,0))</f>
        <v>0.25</v>
      </c>
      <c r="CK113" s="21">
        <f>EXP(-LN(2)/35)*CK112+(1-EXP(-LN(2)/35))/(LN(2)/35)*CG113*CH113*VLOOKUP('Données projet'!$B$12,Paramètres!$A$1:$I$89,3,0)*0.475*44/12</f>
        <v>14.529225304193998</v>
      </c>
      <c r="CL113" s="21">
        <f>EXP(-LN(2)/25)*CL112+(1-EXP(-LN(2)/25))/(LN(2)/25)*Calculateur!CG113*Calculateur!CI113*VLOOKUP('Données projet'!$B$12,Paramètres!$A$1:$I$89,3,0)*0.475*44/12</f>
        <v>16.304206790618839</v>
      </c>
      <c r="CM113" s="21">
        <f>EXP(-LN(2)/2)*CM112+(1-EXP(-LN(2)/2))/(LN(2)/2)*CG113*CJ113*VLOOKUP('Données projet'!$B$12,Paramètres!$A$1:$I$89,3,0)*0.475*44/12</f>
        <v>5.2373769125047662</v>
      </c>
      <c r="CN113" s="22">
        <f t="shared" si="66"/>
        <v>36.0708090073176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66.571919713878657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2.8421709430404007E-14</v>
      </c>
      <c r="CU113" s="17">
        <f>CT113*VLOOKUP('Données projet'!$B$13,Paramètres!$A$1:$I$89,3,0)*VLOOKUP('Données projet'!$B$13,Paramètres!$A$1:$I$89,5,0)</f>
        <v>2.4829205358400945E-14</v>
      </c>
      <c r="CV113" s="13">
        <f t="shared" si="95"/>
        <v>4.3867331143352915E-13</v>
      </c>
      <c r="CW113" s="20">
        <f t="shared" si="67"/>
        <v>8.0726688341261168E-13</v>
      </c>
      <c r="CX113" s="59">
        <f t="shared" si="68"/>
        <v>280.7637056175559</v>
      </c>
      <c r="CY113" s="59">
        <f ca="1">AVERAGE(OFFSET($CX$3,0,0,'Données projet'!$E$13+1,1))-AVERAGE(OFFSET($H$3,0,0,'Données projet'!$E$13+1,1))</f>
        <v>280.59827778697775</v>
      </c>
      <c r="CZ113" s="59">
        <f t="shared" si="96"/>
        <v>270.86588231964726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>
        <f>EXP(-LN(2)/35)*DF112+(1-EXP(-LN(2)/35))/(LN(2)/35)*DB113*DC113*VLOOKUP('Données projet'!$B$13,Paramètres!$A$1:$I$89,3,0)*0.475*44/12</f>
        <v>18.209859375936439</v>
      </c>
      <c r="DG113" s="21">
        <f>EXP(-LN(2)/25)*DG112+(1-EXP(-LN(2)/25))/(LN(2)/25)*Calculateur!DB113*Calculateur!DD113*VLOOKUP('Données projet'!$B$13,Paramètres!$A$1:$I$89,3,0)*0.475*44/12</f>
        <v>15.88579410354364</v>
      </c>
      <c r="DH113" s="21">
        <f>EXP(-LN(2)/2)*DH112+(1-EXP(-LN(2)/2))/(LN(2)/2)*DB113*DE113*VLOOKUP('Données projet'!$B$13,Paramètres!$A$1:$I$89,3,0)*0.475*44/12</f>
        <v>1.3869153332711219E-3</v>
      </c>
      <c r="DI113" s="22">
        <f t="shared" si="69"/>
        <v>34.097040394813348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66.571919713878657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>
        <f>VLOOKUP(A113,'Données projet'!$A$165:$I$185,2,0)</f>
        <v>180.76923076923077</v>
      </c>
      <c r="DM113" s="12">
        <f>VLOOKUP(A113,'Données projet'!$A$165:$I$185,9,0)</f>
        <v>2.8205128205128291</v>
      </c>
      <c r="DN113" s="12">
        <f t="array" ref="DN113">INDEX(DM:DM,MIN(IF(ISNUMBER(DM113:DM309),ROW(DM113:DM309),"")))</f>
        <v>2.8205128205128291</v>
      </c>
      <c r="DO113" s="12">
        <f>IF('Données projet'!$A$166&gt;35,DO112+DN113-DW112,IF(A113&lt;'Données projet'!$A$166,$DL$205^A113,IF(A113='Données projet'!$A$166,'Données projet'!$B$166,DO112+DN113-DW112)))</f>
        <v>180.76923076923083</v>
      </c>
      <c r="DP113" s="17">
        <f>DO113*VLOOKUP('Données projet'!$B$14,Paramètres!$A$1:$I$89,3,0)*VLOOKUP('Données projet'!$B$14,Paramètres!$A$1:$I$89,5,0)</f>
        <v>121.26000000000005</v>
      </c>
      <c r="DQ113" s="13">
        <f t="shared" si="97"/>
        <v>31.968694713827716</v>
      </c>
      <c r="DR113" s="20">
        <f t="shared" si="70"/>
        <v>266.8733099599167</v>
      </c>
      <c r="DS113" s="59">
        <f t="shared" si="71"/>
        <v>547.63701557747186</v>
      </c>
      <c r="DT113" s="59">
        <f ca="1">AVERAGE(OFFSET($DS$3,0,0,'Données projet'!$E$14+1,1))-AVERAGE(OFFSET($H$3,0,0,'Données projet'!$E$14+1,1))</f>
        <v>211.42385430331873</v>
      </c>
      <c r="DU113" s="59">
        <f t="shared" si="98"/>
        <v>146.84623106782686</v>
      </c>
      <c r="DV113" s="15">
        <f>IF(ISNA(VLOOKUP(A113,'Données projet'!$A$165:$I$185,3,0)),0,VLOOKUP(A113,'Données projet'!$A$165:$I$185,3,0))</f>
        <v>19</v>
      </c>
      <c r="DW113" s="15">
        <f>IF(ISNA(VLOOKUP(A113,'Données projet'!$A$165:$I$185,4,0)),0,VLOOKUP(A113,'Données projet'!$A$165:$I$185,4,0))</f>
        <v>10.897435897435898</v>
      </c>
      <c r="DX113" s="16">
        <f>IF(ISNA(VLOOKUP(A113,'Données projet'!$A$165:$I$185,5,0)),0%,VLOOKUP(A113,'Données projet'!$A$165:$I$185,5,0)*VLOOKUP('Données projet'!$B$14,Paramètres!$A$1:$I$89,7,0))</f>
        <v>0.13250000000000001</v>
      </c>
      <c r="DY113" s="16">
        <f>IF(ISNA(VLOOKUP(A113,'Données projet'!$A$165:$I$185,6,0)),0%,VLOOKUP(A113,'Données projet'!$A$165:$I$185,6,0)*VLOOKUP('Données projet'!$B$14,Paramètres!$A$1:$I$89,7,0))</f>
        <v>0.13250000000000001</v>
      </c>
      <c r="DZ113" s="16">
        <f>IF(ISNA(VLOOKUP(A113,'Données projet'!$A$165:$I$185,7,0)),0%,VLOOKUP(A113,'Données projet'!$A$165:$I$185,7,0))</f>
        <v>0.25</v>
      </c>
      <c r="EA113" s="21">
        <f>EXP(-LN(2)/35)*EA112+(1-EXP(-LN(2)/35))/(LN(2)/35)*DW113*DX113*VLOOKUP('Données projet'!$B$14,Paramètres!$A$1:$I$89,3,0)*0.475*44/12</f>
        <v>6.8981756517868531</v>
      </c>
      <c r="EB113" s="21">
        <f>EXP(-LN(2)/25)*EB112+(1-EXP(-LN(2)/25))/(LN(2)/25)*Calculateur!DW113*Calculateur!DY113*VLOOKUP('Données projet'!$B$14,Paramètres!$A$1:$I$89,3,0)*0.475*44/12</f>
        <v>8.648825294630301</v>
      </c>
      <c r="EC113" s="21">
        <f>EXP(-LN(2)/2)*EC112+(1-EXP(-LN(2)/2))/(LN(2)/2)*DW113*DZ113*VLOOKUP('Données projet'!$B$14,Paramètres!$A$1:$I$89,3,0)*0.475*44/12</f>
        <v>2.099221564652396</v>
      </c>
      <c r="ED113" s="22">
        <f t="shared" si="72"/>
        <v>17.646222511069549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66.571919713878657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>
        <f>VLOOKUP(A113,'Données projet'!$A$191:$I$211,2,0)</f>
        <v>116.02564102564102</v>
      </c>
      <c r="EH113" s="12">
        <f>VLOOKUP(A113,'Données projet'!$A$191:$I$211,9,0)</f>
        <v>1.9230769230769227</v>
      </c>
      <c r="EI113" s="12">
        <f t="array" ref="EI113">INDEX(EH:EH,MIN(IF(ISNUMBER(EH113:EH309),ROW(EH113:EH309),"")))</f>
        <v>1.9230769230769227</v>
      </c>
      <c r="EJ113" s="12">
        <f>IF('Données projet'!$A$192&gt;35,EJ112+EI113-ER112,IF(A113&lt;'Données projet'!$A$192,$EG$205^A113,IF(A113='Données projet'!$A$192,'Données projet'!$B$192,EJ112+EI113-ER112)))</f>
        <v>116.02564102564095</v>
      </c>
      <c r="EK113" s="17">
        <f>EJ113*VLOOKUP('Données projet'!$B$15,Paramètres!$A$1:$I$89,3,0)*VLOOKUP('Données projet'!$B$15,Paramètres!$A$1:$I$89,5,0)</f>
        <v>124.88999999999992</v>
      </c>
      <c r="EL113" s="13">
        <f t="shared" si="99"/>
        <v>32.81284675113173</v>
      </c>
      <c r="EM113" s="20">
        <f t="shared" si="73"/>
        <v>274.66579142488757</v>
      </c>
      <c r="EN113" s="59">
        <f t="shared" si="74"/>
        <v>555.42949704244268</v>
      </c>
      <c r="EO113" s="59">
        <f ca="1">AVERAGE(OFFSET($EN$3,0,0,'Données projet'!$E$15+1,1))-AVERAGE(OFFSET($H$3,0,0,'Données projet'!$E$15+1,1))</f>
        <v>212.00478362779876</v>
      </c>
      <c r="EP113" s="59">
        <f t="shared" si="100"/>
        <v>133.62262474506707</v>
      </c>
      <c r="EQ113" s="15">
        <f>IF(ISNA(VLOOKUP(A113,'Données projet'!$A$191:$I$211,3,0)),0,VLOOKUP(A113,'Données projet'!$A$191:$I$211,3,0))</f>
        <v>18</v>
      </c>
      <c r="ER113" s="15">
        <f>IF(ISNA(VLOOKUP(A113,'Données projet'!$A$191:$I$211,4,0)),0,VLOOKUP(A113,'Données projet'!$A$191:$I$211,4,0))</f>
        <v>6.4102564102564097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0.1075</v>
      </c>
      <c r="EU113" s="16">
        <f>IF(ISNA(VLOOKUP(A113,'Données projet'!$A$191:$I$211,7,0)),0%,VLOOKUP(A113,'Données projet'!$A$191:$I$211,7,0))</f>
        <v>0.25</v>
      </c>
      <c r="EV113" s="21">
        <f>EXP(-LN(2)/35)*EV112+(1-EXP(-LN(2)/35))/(LN(2)/35)*ER113*ES113*VLOOKUP('Données projet'!$B$15,Paramètres!$A$1:$I$89,3,0)*0.475*44/12</f>
        <v>0</v>
      </c>
      <c r="EW113" s="21">
        <f>EXP(-LN(2)/25)*EW112+(1-EXP(-LN(2)/25))/(LN(2)/25)*Calculateur!ER113*Calculateur!ET113*VLOOKUP('Données projet'!$B$15,Paramètres!$A$1:$I$89,3,0)*0.475*44/12</f>
        <v>5.4891050320424259</v>
      </c>
      <c r="EX113" s="21">
        <f>EXP(-LN(2)/2)*EX112+(1-EXP(-LN(2)/2))/(LN(2)/2)*ER113*EU113*VLOOKUP('Données projet'!$B$15,Paramètres!$A$1:$I$89,3,0)*0.475*44/12</f>
        <v>1.9709094685145732</v>
      </c>
      <c r="EY113" s="22">
        <f t="shared" si="75"/>
        <v>7.4600145005569996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66.571919713878657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>
        <f>VLOOKUP(A113,'Données projet'!$A$217:$I$237,2,0)</f>
        <v>116.02564102564102</v>
      </c>
      <c r="FC113" s="12">
        <f>VLOOKUP(A113,'Données projet'!$A$217:$I$237,9,0)</f>
        <v>1.9230769230769227</v>
      </c>
      <c r="FD113" s="12">
        <f t="array" ref="FD113">INDEX(FC:FC,MIN(IF(ISNUMBER(FC113:FC309),ROW(FC113:FC309),"")))</f>
        <v>1.9230769230769227</v>
      </c>
      <c r="FE113" s="12">
        <f>IF('Données projet'!$A$218&gt;35,FE112+FD113-FM112,IF(A113&lt;'Données projet'!$A$218,$FB$205^A113,IF(A113='Données projet'!$A$218,'Données projet'!$B$218,FE112+FD113-FM112)))</f>
        <v>116.02564102564095</v>
      </c>
      <c r="FF113" s="17">
        <f>FE113*VLOOKUP('Données projet'!$B$16,Paramètres!$A$1:$I$89,3,0)*VLOOKUP('Données projet'!$B$16,Paramètres!$A$1:$I$89,5,0)</f>
        <v>112.21999999999993</v>
      </c>
      <c r="FG113" s="13">
        <f t="shared" si="101"/>
        <v>29.85342408912129</v>
      </c>
      <c r="FH113" s="20">
        <f t="shared" si="76"/>
        <v>247.44454695521941</v>
      </c>
      <c r="FI113" s="59">
        <f t="shared" si="77"/>
        <v>528.20825257277454</v>
      </c>
      <c r="FJ113" s="59">
        <f ca="1">AVERAGE(OFFSET($FI$3,0,0,'Données projet'!$E$16+1,1))-AVERAGE(OFFSET($H$3,0,0,'Données projet'!$E$16+1,1))</f>
        <v>196.65742339093146</v>
      </c>
      <c r="FK113" s="59">
        <f t="shared" si="102"/>
        <v>125.41980634506001</v>
      </c>
      <c r="FL113" s="15">
        <f>IF(ISNA(VLOOKUP(A113,'Données projet'!$A$217:$I$237,3,0)),0,VLOOKUP(A113,'Données projet'!$A$217:$I$237,3,0))</f>
        <v>18</v>
      </c>
      <c r="FM113" s="15">
        <f>IF(ISNA(VLOOKUP(A113,'Données projet'!$A$217:$I$237,4,0)),0,VLOOKUP(A113,'Données projet'!$A$217:$I$237,4,0))</f>
        <v>6.4102564102564097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0.1075</v>
      </c>
      <c r="FP113" s="16">
        <f>IF(ISNA(VLOOKUP(A113,'Données projet'!$A$217:$I$237,7,0)),0%,VLOOKUP(A113,'Données projet'!$A$217:$I$237,7,0))</f>
        <v>0.25</v>
      </c>
      <c r="FQ113" s="21">
        <f>EXP(-LN(2)/35)*FQ112+(1-EXP(-LN(2)/35))/(LN(2)/35)*FM113*FN113*VLOOKUP('Données projet'!$B$16,Paramètres!$A$1:$I$89,3,0)*0.475*44/12</f>
        <v>0</v>
      </c>
      <c r="FR113" s="21">
        <f>EXP(-LN(2)/25)*FR112+(1-EXP(-LN(2)/25))/(LN(2)/25)*Calculateur!FM113*Calculateur!FO113*VLOOKUP('Données projet'!$B$16,Paramètres!$A$1:$I$89,3,0)*0.475*44/12</f>
        <v>4.9322393041540646</v>
      </c>
      <c r="FS113" s="21">
        <f>EXP(-LN(2)/2)*FS112+(1-EXP(-LN(2)/2))/(LN(2)/2)*FM113*FP113*VLOOKUP('Données projet'!$B$16,Paramètres!$A$1:$I$89,3,0)*0.475*44/12</f>
        <v>1.7709621311290364</v>
      </c>
      <c r="FT113" s="22">
        <f t="shared" si="78"/>
        <v>6.7032014352831011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66.571919713878657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66.571919713878657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>
      <c r="A114" s="10">
        <f t="shared" si="85"/>
        <v>111</v>
      </c>
      <c r="B114" s="73">
        <f>'Scénario référence'!$B$16*5+'Scénario référence'!$B$17*0+'Scénario référence'!$B$18*5</f>
        <v>4.6999999999999993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5.9220720000000053</v>
      </c>
      <c r="D114" s="11">
        <f t="shared" si="86"/>
        <v>2.2187573615916696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19.969822721860002</v>
      </c>
      <c r="H114" s="67">
        <f t="shared" si="56"/>
        <v>201.91194447143886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66.631389242803493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-2.2737367544323206E-13</v>
      </c>
      <c r="O114" s="13">
        <f>N114*VLOOKUP('Données projet'!$B$9,Paramètres!$A$1:$I$89,3,0)*VLOOKUP('Données projet'!$B$9,Paramètres!$A$1:$I$89,5,0)</f>
        <v>-1.3596945791505279E-13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366.93249569585623</v>
      </c>
      <c r="T114" s="59">
        <f t="shared" si="88"/>
        <v>272.47262353368501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82.951343029321691</v>
      </c>
      <c r="AA114" s="21">
        <f>EXP(-LN(2)/25)*AA113+(1-EXP(-LN(2)/25))/(LN(2)/25)*Calculateur!V114*Calculateur!X114*VLOOKUP('Données projet'!$B$9,Paramètres!$A$1:$I$89,3,0)*0.475*44/12</f>
        <v>21.907152545581454</v>
      </c>
      <c r="AB114" s="21">
        <f>EXP(-LN(2)/2)*AB113+(1-EXP(-LN(2)/2))/(LN(2)/2)*V114*Y114*VLOOKUP('Données projet'!$B$9,Paramètres!$A$1:$I$89,3,0)*0.475*44/12</f>
        <v>1.5260076192468728E-3</v>
      </c>
      <c r="AC114" s="22">
        <f t="shared" si="57"/>
        <v>104.86002158252239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66.631389242803493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1.1368683772161603E-13</v>
      </c>
      <c r="AJ114" s="13">
        <f>AI114*VLOOKUP('Données projet'!$B$10,Paramètres!$A$1:$I$89,3,0)*VLOOKUP('Données projet'!$B$10,Paramètres!$A$1:$I$89,5,0)</f>
        <v>5.3205440053716299E-14</v>
      </c>
      <c r="AK114" s="13">
        <f t="shared" si="89"/>
        <v>8.602146238565607E-13</v>
      </c>
      <c r="AL114" s="20">
        <f t="shared" si="58"/>
        <v>1.590873277977066E-12</v>
      </c>
      <c r="AM114" s="59">
        <f t="shared" si="59"/>
        <v>280.98176055694773</v>
      </c>
      <c r="AN114" s="59">
        <f ca="1">AVERAGE(OFFSET($AM$3,0,0,'Données projet'!$E$10+1,1))-AVERAGE(OFFSET($H$3,0,0,'Données projet'!$E$10+1,1))</f>
        <v>382.89338473200229</v>
      </c>
      <c r="AO114" s="59">
        <f t="shared" si="90"/>
        <v>360.46248248971744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163.60867215936489</v>
      </c>
      <c r="AV114" s="21">
        <f>EXP(-LN(2)/25)*AV113+(1-EXP(-LN(2)/25))/(LN(2)/25)*Calculateur!AQ114*Calculateur!AS114*VLOOKUP('Données projet'!$B$10,Paramètres!$A$1:$I$89,3,0)*0.475*44/12</f>
        <v>46.110424628933075</v>
      </c>
      <c r="AW114" s="21">
        <f>EXP(-LN(2)/2)*AW113+(1-EXP(-LN(2)/2))/(LN(2)/2)*AQ114*AT114*VLOOKUP('Données projet'!$B$10,Paramètres!$A$1:$I$89,3,0)*0.475*44/12</f>
        <v>4.9035095043047017</v>
      </c>
      <c r="AX114" s="21">
        <f t="shared" si="60"/>
        <v>214.62260629260268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66.631389242803493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>
        <f>BD114*VLOOKUP('Données projet'!$B$11,Paramètres!$A$1:$I$89,3,0)*VLOOKUP('Données projet'!$B$11,Paramètres!$A$1:$I$89,5,0)</f>
        <v>0</v>
      </c>
      <c r="BF114" s="13" t="e">
        <f t="shared" si="91"/>
        <v>#NUM!</v>
      </c>
      <c r="BG114" s="20" t="e">
        <f t="shared" si="61"/>
        <v>#NUM!</v>
      </c>
      <c r="BH114" s="59" t="e">
        <f t="shared" si="62"/>
        <v>#NUM!</v>
      </c>
      <c r="BI114" s="59">
        <f ca="1">AVERAGE(OFFSET($BH$3,0,0,'Données projet'!$E$11+1,1))-AVERAGE(OFFSET($H$3,0,0,'Données projet'!$E$11+1,1))</f>
        <v>225.75484198243581</v>
      </c>
      <c r="BJ114" s="59">
        <f t="shared" si="92"/>
        <v>199.49566488421061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5.963263360459905</v>
      </c>
      <c r="BQ114" s="21">
        <f>EXP(-LN(2)/25)*BQ113+(1-EXP(-LN(2)/25))/(LN(2)/25)*Calculateur!BL114*Calculateur!BN114*VLOOKUP('Données projet'!$B$11,Paramètres!$A$1:$I$89,3,0)*0.475*44/12</f>
        <v>29.819262681845956</v>
      </c>
      <c r="BR114" s="21">
        <f>EXP(-LN(2)/2)*BR113+(1-EXP(-LN(2)/2))/(LN(2)/2)*BL114*BO114*VLOOKUP('Données projet'!$B$11,Paramètres!$A$1:$I$89,3,0)*0.475*44/12</f>
        <v>0</v>
      </c>
      <c r="BS114" s="22">
        <f t="shared" si="63"/>
        <v>35.782526042305861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66.631389242803493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3.8</v>
      </c>
      <c r="BY114" s="12">
        <f>IF('Données projet'!$A$114&gt;35,BY113+BX114-CG113,IF(A114&lt;'Données projet'!$A$114,$BV$205^A114,IF(A114='Données projet'!$A$114,'Données projet'!$B$114,BY113+BX114-CG113)))</f>
        <v>269.79999999999995</v>
      </c>
      <c r="BZ114" s="13">
        <f>BY114*VLOOKUP('Données projet'!$B$12,Paramètres!$A$1:$I$89,3,0)*VLOOKUP('Données projet'!$B$12,Paramètres!$A$1:$I$89,5,0)</f>
        <v>256.74167999999997</v>
      </c>
      <c r="CA114" s="13">
        <f t="shared" si="93"/>
        <v>62.027326852695715</v>
      </c>
      <c r="CB114" s="20">
        <f t="shared" si="64"/>
        <v>555.18935360177829</v>
      </c>
      <c r="CC114" s="59">
        <f t="shared" si="65"/>
        <v>836.17111415872444</v>
      </c>
      <c r="CD114" s="59">
        <f ca="1">AVERAGE(OFFSET($CC$3,0,0,'Données projet'!$E$12+1,1))-AVERAGE(OFFSET($H$3,0,0,'Données projet'!$E$12+1,1))</f>
        <v>413.9352601863377</v>
      </c>
      <c r="CE114" s="59">
        <f t="shared" si="94"/>
        <v>255.13997349799286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14.244316057931144</v>
      </c>
      <c r="CL114" s="21">
        <f>EXP(-LN(2)/25)*CL113+(1-EXP(-LN(2)/25))/(LN(2)/25)*Calculateur!CG114*Calculateur!CI114*VLOOKUP('Données projet'!$B$12,Paramètres!$A$1:$I$89,3,0)*0.475*44/12</f>
        <v>15.858367398528395</v>
      </c>
      <c r="CM114" s="21">
        <f>EXP(-LN(2)/2)*CM113+(1-EXP(-LN(2)/2))/(LN(2)/2)*CG114*CJ114*VLOOKUP('Données projet'!$B$12,Paramètres!$A$1:$I$89,3,0)*0.475*44/12</f>
        <v>3.703384730461984</v>
      </c>
      <c r="CN114" s="22">
        <f t="shared" si="66"/>
        <v>33.806068186921522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66.631389242803493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2.8421709430404007E-14</v>
      </c>
      <c r="CU114" s="17">
        <f>CT114*VLOOKUP('Données projet'!$B$13,Paramètres!$A$1:$I$89,3,0)*VLOOKUP('Données projet'!$B$13,Paramètres!$A$1:$I$89,5,0)</f>
        <v>2.4829205358400945E-14</v>
      </c>
      <c r="CV114" s="13">
        <f t="shared" si="95"/>
        <v>4.3867331143352915E-13</v>
      </c>
      <c r="CW114" s="20">
        <f t="shared" si="67"/>
        <v>8.0726688341261168E-13</v>
      </c>
      <c r="CX114" s="59">
        <f t="shared" si="68"/>
        <v>280.98176055694694</v>
      </c>
      <c r="CY114" s="59">
        <f ca="1">AVERAGE(OFFSET($CX$3,0,0,'Données projet'!$E$13+1,1))-AVERAGE(OFFSET($H$3,0,0,'Données projet'!$E$13+1,1))</f>
        <v>280.59827778697775</v>
      </c>
      <c r="CZ114" s="59">
        <f t="shared" si="96"/>
        <v>270.86588231964726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>
        <f>EXP(-LN(2)/35)*DF113+(1-EXP(-LN(2)/35))/(LN(2)/35)*DB114*DC114*VLOOKUP('Données projet'!$B$13,Paramètres!$A$1:$I$89,3,0)*0.475*44/12</f>
        <v>17.852775140491829</v>
      </c>
      <c r="DG114" s="21">
        <f>EXP(-LN(2)/25)*DG113+(1-EXP(-LN(2)/25))/(LN(2)/25)*Calculateur!DB114*Calculateur!DD114*VLOOKUP('Données projet'!$B$13,Paramètres!$A$1:$I$89,3,0)*0.475*44/12</f>
        <v>15.451396228384635</v>
      </c>
      <c r="DH114" s="21">
        <f>EXP(-LN(2)/2)*DH113+(1-EXP(-LN(2)/2))/(LN(2)/2)*DB114*DE114*VLOOKUP('Données projet'!$B$13,Paramètres!$A$1:$I$89,3,0)*0.475*44/12</f>
        <v>9.8069723708761082E-4</v>
      </c>
      <c r="DI114" s="22">
        <f t="shared" si="69"/>
        <v>33.305152066113557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66.631389242803493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2.6923076923076907</v>
      </c>
      <c r="DO114" s="12">
        <f>IF('Données projet'!$A$166&gt;35,DO113+DN114-DW113,IF(A114&lt;'Données projet'!$A$166,$DL$205^A114,IF(A114='Données projet'!$A$166,'Données projet'!$B$166,DO113+DN114-DW113)))</f>
        <v>172.5641025641026</v>
      </c>
      <c r="DP114" s="17">
        <f>DO114*VLOOKUP('Données projet'!$B$14,Paramètres!$A$1:$I$89,3,0)*VLOOKUP('Données projet'!$B$14,Paramètres!$A$1:$I$89,5,0)</f>
        <v>115.75600000000001</v>
      </c>
      <c r="DQ114" s="13">
        <f t="shared" si="97"/>
        <v>30.683091226429859</v>
      </c>
      <c r="DR114" s="20">
        <f t="shared" si="70"/>
        <v>255.04808388603203</v>
      </c>
      <c r="DS114" s="59">
        <f t="shared" si="71"/>
        <v>536.02984444297817</v>
      </c>
      <c r="DT114" s="59">
        <f ca="1">AVERAGE(OFFSET($DS$3,0,0,'Données projet'!$E$14+1,1))-AVERAGE(OFFSET($H$3,0,0,'Données projet'!$E$14+1,1))</f>
        <v>211.42385430331873</v>
      </c>
      <c r="DU114" s="59">
        <f t="shared" si="98"/>
        <v>146.84623106782686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>
        <f>EXP(-LN(2)/35)*EA113+(1-EXP(-LN(2)/35))/(LN(2)/35)*DW114*DX114*VLOOKUP('Données projet'!$B$14,Paramètres!$A$1:$I$89,3,0)*0.475*44/12</f>
        <v>6.762906634727007</v>
      </c>
      <c r="EB114" s="21">
        <f>EXP(-LN(2)/25)*EB113+(1-EXP(-LN(2)/25))/(LN(2)/25)*Calculateur!DW114*Calculateur!DY114*VLOOKUP('Données projet'!$B$14,Paramètres!$A$1:$I$89,3,0)*0.475*44/12</f>
        <v>8.4123227121266808</v>
      </c>
      <c r="EC114" s="21">
        <f>EXP(-LN(2)/2)*EC113+(1-EXP(-LN(2)/2))/(LN(2)/2)*DW114*DZ114*VLOOKUP('Données projet'!$B$14,Paramètres!$A$1:$I$89,3,0)*0.475*44/12</f>
        <v>1.4843738035787437</v>
      </c>
      <c r="ED114" s="22">
        <f t="shared" si="72"/>
        <v>16.659603150432432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66.631389242803493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1.9230769230769227</v>
      </c>
      <c r="EJ114" s="12">
        <f>IF('Données projet'!$A$192&gt;35,EJ113+EI114-ER113,IF(A114&lt;'Données projet'!$A$192,$EG$205^A114,IF(A114='Données projet'!$A$192,'Données projet'!$B$192,EJ113+EI114-ER113)))</f>
        <v>111.53846153846146</v>
      </c>
      <c r="EK114" s="17">
        <f>EJ114*VLOOKUP('Données projet'!$B$15,Paramètres!$A$1:$I$89,3,0)*VLOOKUP('Données projet'!$B$15,Paramètres!$A$1:$I$89,5,0)</f>
        <v>120.0599999999999</v>
      </c>
      <c r="EL114" s="13">
        <f t="shared" si="99"/>
        <v>31.688992901661088</v>
      </c>
      <c r="EM114" s="20">
        <f t="shared" si="73"/>
        <v>264.29616263705952</v>
      </c>
      <c r="EN114" s="59">
        <f t="shared" si="74"/>
        <v>545.27792319400567</v>
      </c>
      <c r="EO114" s="59">
        <f ca="1">AVERAGE(OFFSET($EN$3,0,0,'Données projet'!$E$15+1,1))-AVERAGE(OFFSET($H$3,0,0,'Données projet'!$E$15+1,1))</f>
        <v>212.00478362779876</v>
      </c>
      <c r="EP114" s="59">
        <f t="shared" si="100"/>
        <v>133.62262474506707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>
        <f>EXP(-LN(2)/35)*EV113+(1-EXP(-LN(2)/35))/(LN(2)/35)*ER114*ES114*VLOOKUP('Données projet'!$B$15,Paramètres!$A$1:$I$89,3,0)*0.475*44/12</f>
        <v>0</v>
      </c>
      <c r="EW114" s="21">
        <f>EXP(-LN(2)/25)*EW113+(1-EXP(-LN(2)/25))/(LN(2)/25)*Calculateur!ER114*Calculateur!ET114*VLOOKUP('Données projet'!$B$15,Paramètres!$A$1:$I$89,3,0)*0.475*44/12</f>
        <v>5.3390051662817379</v>
      </c>
      <c r="EX114" s="21">
        <f>EXP(-LN(2)/2)*EX113+(1-EXP(-LN(2)/2))/(LN(2)/2)*ER114*EU114*VLOOKUP('Données projet'!$B$15,Paramètres!$A$1:$I$89,3,0)*0.475*44/12</f>
        <v>1.393643450291429</v>
      </c>
      <c r="EY114" s="22">
        <f t="shared" si="75"/>
        <v>6.7326486165731669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66.631389242803493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1.9230769230769227</v>
      </c>
      <c r="FE114" s="12">
        <f>IF('Données projet'!$A$218&gt;35,FE113+FD114-FM113,IF(A114&lt;'Données projet'!$A$218,$FB$205^A114,IF(A114='Données projet'!$A$218,'Données projet'!$B$218,FE113+FD114-FM113)))</f>
        <v>111.53846153846146</v>
      </c>
      <c r="FF114" s="17">
        <f>FE114*VLOOKUP('Données projet'!$B$16,Paramètres!$A$1:$I$89,3,0)*VLOOKUP('Données projet'!$B$16,Paramètres!$A$1:$I$89,5,0)</f>
        <v>107.87999999999992</v>
      </c>
      <c r="FG114" s="13">
        <f t="shared" si="101"/>
        <v>28.830931714811175</v>
      </c>
      <c r="FH114" s="20">
        <f t="shared" si="76"/>
        <v>238.10487273662932</v>
      </c>
      <c r="FI114" s="59">
        <f t="shared" si="77"/>
        <v>519.08663329357546</v>
      </c>
      <c r="FJ114" s="59">
        <f ca="1">AVERAGE(OFFSET($FI$3,0,0,'Données projet'!$E$16+1,1))-AVERAGE(OFFSET($H$3,0,0,'Données projet'!$E$16+1,1))</f>
        <v>196.65742339093146</v>
      </c>
      <c r="FK114" s="59">
        <f t="shared" si="102"/>
        <v>125.41980634506001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>
        <f>EXP(-LN(2)/35)*FQ113+(1-EXP(-LN(2)/35))/(LN(2)/35)*FM114*FN114*VLOOKUP('Données projet'!$B$16,Paramètres!$A$1:$I$89,3,0)*0.475*44/12</f>
        <v>0</v>
      </c>
      <c r="FR114" s="21">
        <f>EXP(-LN(2)/25)*FR113+(1-EXP(-LN(2)/25))/(LN(2)/25)*Calculateur!FM114*Calculateur!FO114*VLOOKUP('Données projet'!$B$16,Paramètres!$A$1:$I$89,3,0)*0.475*44/12</f>
        <v>4.7973669610067793</v>
      </c>
      <c r="FS114" s="21">
        <f>EXP(-LN(2)/2)*FS113+(1-EXP(-LN(2)/2))/(LN(2)/2)*FM114*FP114*VLOOKUP('Données projet'!$B$16,Paramètres!$A$1:$I$89,3,0)*0.475*44/12</f>
        <v>1.2522593321459214</v>
      </c>
      <c r="FT114" s="22">
        <f t="shared" si="78"/>
        <v>6.0496262931527003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66.631389242803493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66.631389242803493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>
      <c r="A115" s="10">
        <f t="shared" si="85"/>
        <v>112</v>
      </c>
      <c r="B115" s="73">
        <f>'Scénario référence'!$B$16*5+'Scénario référence'!$B$17*0+'Scénario référence'!$B$18*5</f>
        <v>4.6999999999999993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5.9754240000000056</v>
      </c>
      <c r="D115" s="11">
        <f t="shared" si="86"/>
        <v>2.2364102399689485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20.00270919184527</v>
      </c>
      <c r="H115" s="67">
        <f t="shared" si="56"/>
        <v>202.03561130127929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66.689827108355445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-2.2737367544323206E-13</v>
      </c>
      <c r="O115" s="13">
        <f>N115*VLOOKUP('Données projet'!$B$9,Paramètres!$A$1:$I$89,3,0)*VLOOKUP('Données projet'!$B$9,Paramètres!$A$1:$I$89,5,0)</f>
        <v>-1.3596945791505279E-13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366.93249569585623</v>
      </c>
      <c r="T115" s="59">
        <f t="shared" si="88"/>
        <v>272.47262353368501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81.324717787840072</v>
      </c>
      <c r="AA115" s="21">
        <f>EXP(-LN(2)/25)*AA114+(1-EXP(-LN(2)/25))/(LN(2)/25)*Calculateur!V115*Calculateur!X115*VLOOKUP('Données projet'!$B$9,Paramètres!$A$1:$I$89,3,0)*0.475*44/12</f>
        <v>21.308100307175447</v>
      </c>
      <c r="AB115" s="21">
        <f>EXP(-LN(2)/2)*AB114+(1-EXP(-LN(2)/2))/(LN(2)/2)*V115*Y115*VLOOKUP('Données projet'!$B$9,Paramètres!$A$1:$I$89,3,0)*0.475*44/12</f>
        <v>1.0790503357118028E-3</v>
      </c>
      <c r="AC115" s="22">
        <f t="shared" si="57"/>
        <v>102.63389714535124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66.689827108355445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1.1368683772161603E-13</v>
      </c>
      <c r="AJ115" s="13">
        <f>AI115*VLOOKUP('Données projet'!$B$10,Paramètres!$A$1:$I$89,3,0)*VLOOKUP('Données projet'!$B$10,Paramètres!$A$1:$I$89,5,0)</f>
        <v>5.3205440053716299E-14</v>
      </c>
      <c r="AK115" s="13">
        <f t="shared" si="89"/>
        <v>8.602146238565607E-13</v>
      </c>
      <c r="AL115" s="20">
        <f t="shared" si="58"/>
        <v>1.590873277977066E-12</v>
      </c>
      <c r="AM115" s="59">
        <f t="shared" si="59"/>
        <v>281.19603273063825</v>
      </c>
      <c r="AN115" s="59">
        <f ca="1">AVERAGE(OFFSET($AM$3,0,0,'Données projet'!$E$10+1,1))-AVERAGE(OFFSET($H$3,0,0,'Données projet'!$E$10+1,1))</f>
        <v>382.89338473200229</v>
      </c>
      <c r="AO115" s="59">
        <f t="shared" si="90"/>
        <v>360.46248248971744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160.40040588975617</v>
      </c>
      <c r="AV115" s="21">
        <f>EXP(-LN(2)/25)*AV114+(1-EXP(-LN(2)/25))/(LN(2)/25)*Calculateur!AQ115*Calculateur!AS115*VLOOKUP('Données projet'!$B$10,Paramètres!$A$1:$I$89,3,0)*0.475*44/12</f>
        <v>44.849532642613056</v>
      </c>
      <c r="AW115" s="21">
        <f>EXP(-LN(2)/2)*AW114+(1-EXP(-LN(2)/2))/(LN(2)/2)*AQ115*AT115*VLOOKUP('Données projet'!$B$10,Paramètres!$A$1:$I$89,3,0)*0.475*44/12</f>
        <v>3.467304822106541</v>
      </c>
      <c r="AX115" s="21">
        <f t="shared" si="60"/>
        <v>208.71724335447578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66.689827108355445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>
        <f>BD115*VLOOKUP('Données projet'!$B$11,Paramètres!$A$1:$I$89,3,0)*VLOOKUP('Données projet'!$B$11,Paramètres!$A$1:$I$89,5,0)</f>
        <v>0</v>
      </c>
      <c r="BF115" s="13" t="e">
        <f t="shared" si="91"/>
        <v>#NUM!</v>
      </c>
      <c r="BG115" s="20" t="e">
        <f t="shared" si="61"/>
        <v>#NUM!</v>
      </c>
      <c r="BH115" s="59" t="e">
        <f t="shared" si="62"/>
        <v>#NUM!</v>
      </c>
      <c r="BI115" s="59">
        <f ca="1">AVERAGE(OFFSET($BH$3,0,0,'Données projet'!$E$11+1,1))-AVERAGE(OFFSET($H$3,0,0,'Données projet'!$E$11+1,1))</f>
        <v>225.75484198243581</v>
      </c>
      <c r="BJ115" s="59">
        <f t="shared" si="92"/>
        <v>199.49566488421061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5.846327403192789</v>
      </c>
      <c r="BQ115" s="21">
        <f>EXP(-LN(2)/25)*BQ114+(1-EXP(-LN(2)/25))/(LN(2)/25)*Calculateur!BL115*Calculateur!BN115*VLOOKUP('Données projet'!$B$11,Paramètres!$A$1:$I$89,3,0)*0.475*44/12</f>
        <v>29.003853375684006</v>
      </c>
      <c r="BR115" s="21">
        <f>EXP(-LN(2)/2)*BR114+(1-EXP(-LN(2)/2))/(LN(2)/2)*BL115*BO115*VLOOKUP('Données projet'!$B$11,Paramètres!$A$1:$I$89,3,0)*0.475*44/12</f>
        <v>0</v>
      </c>
      <c r="BS115" s="22">
        <f t="shared" si="63"/>
        <v>34.850180778876798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66.689827108355445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3.8</v>
      </c>
      <c r="BY115" s="12">
        <f>IF('Données projet'!$A$114&gt;35,BY114+BX115-CG114,IF(A115&lt;'Données projet'!$A$114,$BV$205^A115,IF(A115='Données projet'!$A$114,'Données projet'!$B$114,BY114+BX115-CG114)))</f>
        <v>273.59999999999997</v>
      </c>
      <c r="BZ115" s="13">
        <f>BY115*VLOOKUP('Données projet'!$B$12,Paramètres!$A$1:$I$89,3,0)*VLOOKUP('Données projet'!$B$12,Paramètres!$A$1:$I$89,5,0)</f>
        <v>260.35775999999998</v>
      </c>
      <c r="CA115" s="13">
        <f t="shared" si="93"/>
        <v>62.7986318267358</v>
      </c>
      <c r="CB115" s="20">
        <f t="shared" si="64"/>
        <v>562.83071576489817</v>
      </c>
      <c r="CC115" s="59">
        <f t="shared" si="65"/>
        <v>844.02674849553478</v>
      </c>
      <c r="CD115" s="59">
        <f ca="1">AVERAGE(OFFSET($CC$3,0,0,'Données projet'!$E$12+1,1))-AVERAGE(OFFSET($H$3,0,0,'Données projet'!$E$12+1,1))</f>
        <v>413.9352601863377</v>
      </c>
      <c r="CE115" s="59">
        <f t="shared" si="94"/>
        <v>255.13997349799286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13.964993708210024</v>
      </c>
      <c r="CL115" s="21">
        <f>EXP(-LN(2)/25)*CL114+(1-EXP(-LN(2)/25))/(LN(2)/25)*Calculateur!CG115*Calculateur!CI115*VLOOKUP('Données projet'!$B$12,Paramètres!$A$1:$I$89,3,0)*0.475*44/12</f>
        <v>15.42471950806034</v>
      </c>
      <c r="CM115" s="21">
        <f>EXP(-LN(2)/2)*CM114+(1-EXP(-LN(2)/2))/(LN(2)/2)*CG115*CJ115*VLOOKUP('Données projet'!$B$12,Paramètres!$A$1:$I$89,3,0)*0.475*44/12</f>
        <v>2.6186884562523836</v>
      </c>
      <c r="CN115" s="22">
        <f t="shared" si="66"/>
        <v>32.008401672522751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66.689827108355445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2.8421709430404007E-14</v>
      </c>
      <c r="CU115" s="17">
        <f>CT115*VLOOKUP('Données projet'!$B$13,Paramètres!$A$1:$I$89,3,0)*VLOOKUP('Données projet'!$B$13,Paramètres!$A$1:$I$89,5,0)</f>
        <v>2.4829205358400945E-14</v>
      </c>
      <c r="CV115" s="13">
        <f t="shared" si="95"/>
        <v>4.3867331143352915E-13</v>
      </c>
      <c r="CW115" s="20">
        <f t="shared" si="67"/>
        <v>8.0726688341261168E-13</v>
      </c>
      <c r="CX115" s="59">
        <f t="shared" si="68"/>
        <v>281.19603273063746</v>
      </c>
      <c r="CY115" s="59">
        <f ca="1">AVERAGE(OFFSET($CX$3,0,0,'Données projet'!$E$13+1,1))-AVERAGE(OFFSET($H$3,0,0,'Données projet'!$E$13+1,1))</f>
        <v>280.59827778697775</v>
      </c>
      <c r="CZ115" s="59">
        <f t="shared" si="96"/>
        <v>270.86588231964726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>
        <f>EXP(-LN(2)/35)*DF114+(1-EXP(-LN(2)/35))/(LN(2)/35)*DB115*DC115*VLOOKUP('Données projet'!$B$13,Paramètres!$A$1:$I$89,3,0)*0.475*44/12</f>
        <v>17.50269310910441</v>
      </c>
      <c r="DG115" s="21">
        <f>EXP(-LN(2)/25)*DG114+(1-EXP(-LN(2)/25))/(LN(2)/25)*Calculateur!DB115*Calculateur!DD115*VLOOKUP('Données projet'!$B$13,Paramètres!$A$1:$I$89,3,0)*0.475*44/12</f>
        <v>15.028876985965844</v>
      </c>
      <c r="DH115" s="21">
        <f>EXP(-LN(2)/2)*DH114+(1-EXP(-LN(2)/2))/(LN(2)/2)*DB115*DE115*VLOOKUP('Données projet'!$B$13,Paramètres!$A$1:$I$89,3,0)*0.475*44/12</f>
        <v>6.9345766663556096E-4</v>
      </c>
      <c r="DI115" s="22">
        <f t="shared" si="69"/>
        <v>32.532263552736886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66.689827108355445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2.6923076923076907</v>
      </c>
      <c r="DO115" s="12">
        <f>IF('Données projet'!$A$166&gt;35,DO114+DN115-DW114,IF(A115&lt;'Données projet'!$A$166,$DL$205^A115,IF(A115='Données projet'!$A$166,'Données projet'!$B$166,DO114+DN115-DW114)))</f>
        <v>175.25641025641028</v>
      </c>
      <c r="DP115" s="17">
        <f>DO115*VLOOKUP('Données projet'!$B$14,Paramètres!$A$1:$I$89,3,0)*VLOOKUP('Données projet'!$B$14,Paramètres!$A$1:$I$89,5,0)</f>
        <v>117.56200000000001</v>
      </c>
      <c r="DQ115" s="13">
        <f t="shared" si="97"/>
        <v>31.10569833447618</v>
      </c>
      <c r="DR115" s="20">
        <f t="shared" si="70"/>
        <v>258.92957459921269</v>
      </c>
      <c r="DS115" s="59">
        <f t="shared" si="71"/>
        <v>540.12560732984934</v>
      </c>
      <c r="DT115" s="59">
        <f ca="1">AVERAGE(OFFSET($DS$3,0,0,'Données projet'!$E$14+1,1))-AVERAGE(OFFSET($H$3,0,0,'Données projet'!$E$14+1,1))</f>
        <v>211.42385430331873</v>
      </c>
      <c r="DU115" s="59">
        <f t="shared" si="98"/>
        <v>146.84623106782686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>
        <f>EXP(-LN(2)/35)*EA114+(1-EXP(-LN(2)/35))/(LN(2)/35)*DW115*DX115*VLOOKUP('Données projet'!$B$14,Paramètres!$A$1:$I$89,3,0)*0.475*44/12</f>
        <v>6.6302901605857514</v>
      </c>
      <c r="EB115" s="21">
        <f>EXP(-LN(2)/25)*EB114+(1-EXP(-LN(2)/25))/(LN(2)/25)*Calculateur!DW115*Calculateur!DY115*VLOOKUP('Données projet'!$B$14,Paramètres!$A$1:$I$89,3,0)*0.475*44/12</f>
        <v>8.1822873051787521</v>
      </c>
      <c r="EC115" s="21">
        <f>EXP(-LN(2)/2)*EC114+(1-EXP(-LN(2)/2))/(LN(2)/2)*DW115*DZ115*VLOOKUP('Données projet'!$B$14,Paramètres!$A$1:$I$89,3,0)*0.475*44/12</f>
        <v>1.049610782326198</v>
      </c>
      <c r="ED115" s="22">
        <f t="shared" si="72"/>
        <v>15.862188248090701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66.689827108355445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1.9230769230769227</v>
      </c>
      <c r="EJ115" s="12">
        <f>IF('Données projet'!$A$192&gt;35,EJ114+EI115-ER114,IF(A115&lt;'Données projet'!$A$192,$EG$205^A115,IF(A115='Données projet'!$A$192,'Données projet'!$B$192,EJ114+EI115-ER114)))</f>
        <v>113.46153846153838</v>
      </c>
      <c r="EK115" s="17">
        <f>EJ115*VLOOKUP('Données projet'!$B$15,Paramètres!$A$1:$I$89,3,0)*VLOOKUP('Données projet'!$B$15,Paramètres!$A$1:$I$89,5,0)</f>
        <v>122.12999999999991</v>
      </c>
      <c r="EL115" s="13">
        <f t="shared" si="99"/>
        <v>32.171276967630739</v>
      </c>
      <c r="EM115" s="20">
        <f t="shared" si="73"/>
        <v>268.74139071862339</v>
      </c>
      <c r="EN115" s="59">
        <f t="shared" si="74"/>
        <v>549.93742344926</v>
      </c>
      <c r="EO115" s="59">
        <f ca="1">AVERAGE(OFFSET($EN$3,0,0,'Données projet'!$E$15+1,1))-AVERAGE(OFFSET($H$3,0,0,'Données projet'!$E$15+1,1))</f>
        <v>212.00478362779876</v>
      </c>
      <c r="EP115" s="59">
        <f t="shared" si="100"/>
        <v>133.62262474506707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>
        <f>EXP(-LN(2)/35)*EV114+(1-EXP(-LN(2)/35))/(LN(2)/35)*ER115*ES115*VLOOKUP('Données projet'!$B$15,Paramètres!$A$1:$I$89,3,0)*0.475*44/12</f>
        <v>0</v>
      </c>
      <c r="EW115" s="21">
        <f>EXP(-LN(2)/25)*EW114+(1-EXP(-LN(2)/25))/(LN(2)/25)*Calculateur!ER115*Calculateur!ET115*VLOOKUP('Données projet'!$B$15,Paramètres!$A$1:$I$89,3,0)*0.475*44/12</f>
        <v>5.1930097892436846</v>
      </c>
      <c r="EX115" s="21">
        <f>EXP(-LN(2)/2)*EX114+(1-EXP(-LN(2)/2))/(LN(2)/2)*ER115*EU115*VLOOKUP('Données projet'!$B$15,Paramètres!$A$1:$I$89,3,0)*0.475*44/12</f>
        <v>0.98545473425728669</v>
      </c>
      <c r="EY115" s="22">
        <f t="shared" si="75"/>
        <v>6.1784645235009714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66.689827108355445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1.9230769230769227</v>
      </c>
      <c r="FE115" s="12">
        <f>IF('Données projet'!$A$218&gt;35,FE114+FD115-FM114,IF(A115&lt;'Données projet'!$A$218,$FB$205^A115,IF(A115='Données projet'!$A$218,'Données projet'!$B$218,FE114+FD115-FM114)))</f>
        <v>113.46153846153838</v>
      </c>
      <c r="FF115" s="17">
        <f>FE115*VLOOKUP('Données projet'!$B$16,Paramètres!$A$1:$I$89,3,0)*VLOOKUP('Données projet'!$B$16,Paramètres!$A$1:$I$89,5,0)</f>
        <v>109.73999999999992</v>
      </c>
      <c r="FG115" s="13">
        <f t="shared" si="101"/>
        <v>29.269718110335369</v>
      </c>
      <c r="FH115" s="20">
        <f t="shared" si="76"/>
        <v>242.10859237550062</v>
      </c>
      <c r="FI115" s="59">
        <f t="shared" si="77"/>
        <v>523.30462510613734</v>
      </c>
      <c r="FJ115" s="59">
        <f ca="1">AVERAGE(OFFSET($FI$3,0,0,'Données projet'!$E$16+1,1))-AVERAGE(OFFSET($H$3,0,0,'Données projet'!$E$16+1,1))</f>
        <v>196.65742339093146</v>
      </c>
      <c r="FK115" s="59">
        <f t="shared" si="102"/>
        <v>125.41980634506001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>
        <f>EXP(-LN(2)/35)*FQ114+(1-EXP(-LN(2)/35))/(LN(2)/35)*FM115*FN115*VLOOKUP('Données projet'!$B$16,Paramètres!$A$1:$I$89,3,0)*0.475*44/12</f>
        <v>0</v>
      </c>
      <c r="FR115" s="21">
        <f>EXP(-LN(2)/25)*FR114+(1-EXP(-LN(2)/25))/(LN(2)/25)*Calculateur!FM115*Calculateur!FO115*VLOOKUP('Données projet'!$B$16,Paramètres!$A$1:$I$89,3,0)*0.475*44/12</f>
        <v>4.6661827091754846</v>
      </c>
      <c r="FS115" s="21">
        <f>EXP(-LN(2)/2)*FS114+(1-EXP(-LN(2)/2))/(LN(2)/2)*FM115*FP115*VLOOKUP('Données projet'!$B$16,Paramètres!$A$1:$I$89,3,0)*0.475*44/12</f>
        <v>0.88548106556451822</v>
      </c>
      <c r="FT115" s="22">
        <f t="shared" si="78"/>
        <v>5.5516637747400033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66.689827108355445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66.689827108355445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>
      <c r="A116" s="10">
        <f t="shared" si="85"/>
        <v>113</v>
      </c>
      <c r="B116" s="73">
        <f>'Scénario référence'!$B$16*5+'Scénario référence'!$B$17*0+'Scénario référence'!$B$18*5</f>
        <v>4.6999999999999993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6.0287760000000059</v>
      </c>
      <c r="D116" s="11">
        <f t="shared" si="86"/>
        <v>2.2540447812344908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20.035587168852466</v>
      </c>
      <c r="H116" s="67">
        <f t="shared" si="56"/>
        <v>202.15924619398342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66.747251207587553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-2.2737367544323206E-13</v>
      </c>
      <c r="O116" s="13">
        <f>N116*VLOOKUP('Données projet'!$B$9,Paramètres!$A$1:$I$89,3,0)*VLOOKUP('Données projet'!$B$9,Paramètres!$A$1:$I$89,5,0)</f>
        <v>-1.3596945791505279E-13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366.93249569585623</v>
      </c>
      <c r="T116" s="59">
        <f t="shared" si="88"/>
        <v>272.47262353368501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79.729989675200471</v>
      </c>
      <c r="AA116" s="21">
        <f>EXP(-LN(2)/25)*AA115+(1-EXP(-LN(2)/25))/(LN(2)/25)*Calculateur!V116*Calculateur!X116*VLOOKUP('Données projet'!$B$9,Paramètres!$A$1:$I$89,3,0)*0.475*44/12</f>
        <v>20.725429183731439</v>
      </c>
      <c r="AB116" s="21">
        <f>EXP(-LN(2)/2)*AB115+(1-EXP(-LN(2)/2))/(LN(2)/2)*V116*Y116*VLOOKUP('Données projet'!$B$9,Paramètres!$A$1:$I$89,3,0)*0.475*44/12</f>
        <v>7.6300380962343638E-4</v>
      </c>
      <c r="AC116" s="22">
        <f t="shared" si="57"/>
        <v>100.45618186274153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66.747251207587553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1.1368683772161603E-13</v>
      </c>
      <c r="AJ116" s="13">
        <f>AI116*VLOOKUP('Données projet'!$B$10,Paramètres!$A$1:$I$89,3,0)*VLOOKUP('Données projet'!$B$10,Paramètres!$A$1:$I$89,5,0)</f>
        <v>5.3205440053716299E-14</v>
      </c>
      <c r="AK116" s="13">
        <f t="shared" si="89"/>
        <v>8.602146238565607E-13</v>
      </c>
      <c r="AL116" s="20">
        <f t="shared" si="58"/>
        <v>1.590873277977066E-12</v>
      </c>
      <c r="AM116" s="59">
        <f t="shared" si="59"/>
        <v>281.40658776115595</v>
      </c>
      <c r="AN116" s="59">
        <f ca="1">AVERAGE(OFFSET($AM$3,0,0,'Données projet'!$E$10+1,1))-AVERAGE(OFFSET($H$3,0,0,'Données projet'!$E$10+1,1))</f>
        <v>382.89338473200229</v>
      </c>
      <c r="AO116" s="59">
        <f t="shared" si="90"/>
        <v>360.46248248971744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157.25505176484529</v>
      </c>
      <c r="AV116" s="21">
        <f>EXP(-LN(2)/25)*AV115+(1-EXP(-LN(2)/25))/(LN(2)/25)*Calculateur!AQ116*Calculateur!AS116*VLOOKUP('Données projet'!$B$10,Paramètres!$A$1:$I$89,3,0)*0.475*44/12</f>
        <v>43.623119813966383</v>
      </c>
      <c r="AW116" s="21">
        <f>EXP(-LN(2)/2)*AW115+(1-EXP(-LN(2)/2))/(LN(2)/2)*AQ116*AT116*VLOOKUP('Données projet'!$B$10,Paramètres!$A$1:$I$89,3,0)*0.475*44/12</f>
        <v>2.4517547521523513</v>
      </c>
      <c r="AX116" s="21">
        <f t="shared" si="60"/>
        <v>203.32992633096401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66.747251207587553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>
        <f>BD116*VLOOKUP('Données projet'!$B$11,Paramètres!$A$1:$I$89,3,0)*VLOOKUP('Données projet'!$B$11,Paramètres!$A$1:$I$89,5,0)</f>
        <v>0</v>
      </c>
      <c r="BF116" s="13" t="e">
        <f t="shared" si="91"/>
        <v>#NUM!</v>
      </c>
      <c r="BG116" s="20" t="e">
        <f t="shared" si="61"/>
        <v>#NUM!</v>
      </c>
      <c r="BH116" s="59" t="e">
        <f t="shared" si="62"/>
        <v>#NUM!</v>
      </c>
      <c r="BI116" s="59">
        <f ca="1">AVERAGE(OFFSET($BH$3,0,0,'Données projet'!$E$11+1,1))-AVERAGE(OFFSET($H$3,0,0,'Données projet'!$E$11+1,1))</f>
        <v>225.75484198243581</v>
      </c>
      <c r="BJ116" s="59">
        <f t="shared" si="92"/>
        <v>199.49566488421061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5.7316844887237899</v>
      </c>
      <c r="BQ116" s="21">
        <f>EXP(-LN(2)/25)*BQ115+(1-EXP(-LN(2)/25))/(LN(2)/25)*Calculateur!BL116*Calculateur!BN116*VLOOKUP('Données projet'!$B$11,Paramètres!$A$1:$I$89,3,0)*0.475*44/12</f>
        <v>28.210741479879566</v>
      </c>
      <c r="BR116" s="21">
        <f>EXP(-LN(2)/2)*BR115+(1-EXP(-LN(2)/2))/(LN(2)/2)*BL116*BO116*VLOOKUP('Données projet'!$B$11,Paramètres!$A$1:$I$89,3,0)*0.475*44/12</f>
        <v>0</v>
      </c>
      <c r="BS116" s="22">
        <f t="shared" si="63"/>
        <v>33.942425968603359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66.747251207587553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3.8</v>
      </c>
      <c r="BY116" s="12">
        <f>IF('Données projet'!$A$114&gt;35,BY115+BX116-CG115,IF(A116&lt;'Données projet'!$A$114,$BV$205^A116,IF(A116='Données projet'!$A$114,'Données projet'!$B$114,BY115+BX116-CG115)))</f>
        <v>277.39999999999998</v>
      </c>
      <c r="BZ116" s="13">
        <f>BY116*VLOOKUP('Données projet'!$B$12,Paramètres!$A$1:$I$89,3,0)*VLOOKUP('Données projet'!$B$12,Paramètres!$A$1:$I$89,5,0)</f>
        <v>263.97383999999994</v>
      </c>
      <c r="CA116" s="13">
        <f t="shared" si="93"/>
        <v>63.56869082277958</v>
      </c>
      <c r="CB116" s="20">
        <f t="shared" si="64"/>
        <v>570.46990784967431</v>
      </c>
      <c r="CC116" s="59">
        <f t="shared" si="65"/>
        <v>851.87649561082867</v>
      </c>
      <c r="CD116" s="59">
        <f ca="1">AVERAGE(OFFSET($CC$3,0,0,'Données projet'!$E$12+1,1))-AVERAGE(OFFSET($H$3,0,0,'Données projet'!$E$12+1,1))</f>
        <v>413.9352601863377</v>
      </c>
      <c r="CE116" s="59">
        <f t="shared" si="94"/>
        <v>255.13997349799286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13.691148699397123</v>
      </c>
      <c r="CL116" s="21">
        <f>EXP(-LN(2)/25)*CL115+(1-EXP(-LN(2)/25))/(LN(2)/25)*Calculateur!CG116*Calculateur!CI116*VLOOKUP('Données projet'!$B$12,Paramètres!$A$1:$I$89,3,0)*0.475*44/12</f>
        <v>15.002929741961685</v>
      </c>
      <c r="CM116" s="21">
        <f>EXP(-LN(2)/2)*CM115+(1-EXP(-LN(2)/2))/(LN(2)/2)*CG116*CJ116*VLOOKUP('Données projet'!$B$12,Paramètres!$A$1:$I$89,3,0)*0.475*44/12</f>
        <v>1.8516923652309922</v>
      </c>
      <c r="CN116" s="22">
        <f t="shared" si="66"/>
        <v>30.5457708065898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66.747251207587553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2.8421709430404007E-14</v>
      </c>
      <c r="CU116" s="17">
        <f>CT116*VLOOKUP('Données projet'!$B$13,Paramètres!$A$1:$I$89,3,0)*VLOOKUP('Données projet'!$B$13,Paramètres!$A$1:$I$89,5,0)</f>
        <v>2.4829205358400945E-14</v>
      </c>
      <c r="CV116" s="13">
        <f t="shared" si="95"/>
        <v>4.3867331143352915E-13</v>
      </c>
      <c r="CW116" s="20">
        <f t="shared" si="67"/>
        <v>8.0726688341261168E-13</v>
      </c>
      <c r="CX116" s="59">
        <f t="shared" si="68"/>
        <v>281.40658776115515</v>
      </c>
      <c r="CY116" s="59">
        <f ca="1">AVERAGE(OFFSET($CX$3,0,0,'Données projet'!$E$13+1,1))-AVERAGE(OFFSET($H$3,0,0,'Données projet'!$E$13+1,1))</f>
        <v>280.59827778697775</v>
      </c>
      <c r="CZ116" s="59">
        <f t="shared" si="96"/>
        <v>270.86588231964726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>
        <f>EXP(-LN(2)/35)*DF115+(1-EXP(-LN(2)/35))/(LN(2)/35)*DB116*DC116*VLOOKUP('Données projet'!$B$13,Paramètres!$A$1:$I$89,3,0)*0.475*44/12</f>
        <v>17.159475972823543</v>
      </c>
      <c r="DG116" s="21">
        <f>EXP(-LN(2)/25)*DG115+(1-EXP(-LN(2)/25))/(LN(2)/25)*Calculateur!DB116*Calculateur!DD116*VLOOKUP('Données projet'!$B$13,Paramètres!$A$1:$I$89,3,0)*0.475*44/12</f>
        <v>14.617911554450316</v>
      </c>
      <c r="DH116" s="21">
        <f>EXP(-LN(2)/2)*DH115+(1-EXP(-LN(2)/2))/(LN(2)/2)*DB116*DE116*VLOOKUP('Données projet'!$B$13,Paramètres!$A$1:$I$89,3,0)*0.475*44/12</f>
        <v>4.9034861854380541E-4</v>
      </c>
      <c r="DI116" s="22">
        <f t="shared" si="69"/>
        <v>31.777877875892404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66.747251207587553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2.6923076923076907</v>
      </c>
      <c r="DO116" s="12">
        <f>IF('Données projet'!$A$166&gt;35,DO115+DN116-DW115,IF(A116&lt;'Données projet'!$A$166,$DL$205^A116,IF(A116='Données projet'!$A$166,'Données projet'!$B$166,DO115+DN116-DW115)))</f>
        <v>177.94871794871796</v>
      </c>
      <c r="DP116" s="17">
        <f>DO116*VLOOKUP('Données projet'!$B$14,Paramètres!$A$1:$I$89,3,0)*VLOOKUP('Données projet'!$B$14,Paramètres!$A$1:$I$89,5,0)</f>
        <v>119.36800000000002</v>
      </c>
      <c r="DQ116" s="13">
        <f t="shared" si="97"/>
        <v>31.527550401783053</v>
      </c>
      <c r="DR116" s="20">
        <f t="shared" si="70"/>
        <v>262.80975028310553</v>
      </c>
      <c r="DS116" s="59">
        <f t="shared" si="71"/>
        <v>544.21633804425983</v>
      </c>
      <c r="DT116" s="59">
        <f ca="1">AVERAGE(OFFSET($DS$3,0,0,'Données projet'!$E$14+1,1))-AVERAGE(OFFSET($H$3,0,0,'Données projet'!$E$14+1,1))</f>
        <v>211.42385430331873</v>
      </c>
      <c r="DU116" s="59">
        <f t="shared" si="98"/>
        <v>146.84623106782686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>
        <f>EXP(-LN(2)/35)*EA115+(1-EXP(-LN(2)/35))/(LN(2)/35)*DW116*DX116*VLOOKUP('Données projet'!$B$14,Paramètres!$A$1:$I$89,3,0)*0.475*44/12</f>
        <v>6.5002742146143433</v>
      </c>
      <c r="EB116" s="21">
        <f>EXP(-LN(2)/25)*EB115+(1-EXP(-LN(2)/25))/(LN(2)/25)*Calculateur!DW116*Calculateur!DY116*VLOOKUP('Données projet'!$B$14,Paramètres!$A$1:$I$89,3,0)*0.475*44/12</f>
        <v>7.9585422285308507</v>
      </c>
      <c r="EC116" s="21">
        <f>EXP(-LN(2)/2)*EC115+(1-EXP(-LN(2)/2))/(LN(2)/2)*DW116*DZ116*VLOOKUP('Données projet'!$B$14,Paramètres!$A$1:$I$89,3,0)*0.475*44/12</f>
        <v>0.74218690178937186</v>
      </c>
      <c r="ED116" s="22">
        <f t="shared" si="72"/>
        <v>15.201003344934566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66.747251207587553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1.9230769230769227</v>
      </c>
      <c r="EJ116" s="12">
        <f>IF('Données projet'!$A$192&gt;35,EJ115+EI116-ER115,IF(A116&lt;'Données projet'!$A$192,$EG$205^A116,IF(A116='Données projet'!$A$192,'Données projet'!$B$192,EJ115+EI116-ER115)))</f>
        <v>115.3846153846153</v>
      </c>
      <c r="EK116" s="17">
        <f>EJ116*VLOOKUP('Données projet'!$B$15,Paramètres!$A$1:$I$89,3,0)*VLOOKUP('Données projet'!$B$15,Paramètres!$A$1:$I$89,5,0)</f>
        <v>124.19999999999992</v>
      </c>
      <c r="EL116" s="13">
        <f t="shared" si="99"/>
        <v>32.652610434210608</v>
      </c>
      <c r="EM116" s="20">
        <f t="shared" si="73"/>
        <v>273.18496317291664</v>
      </c>
      <c r="EN116" s="59">
        <f t="shared" si="74"/>
        <v>554.59155093407094</v>
      </c>
      <c r="EO116" s="59">
        <f ca="1">AVERAGE(OFFSET($EN$3,0,0,'Données projet'!$E$15+1,1))-AVERAGE(OFFSET($H$3,0,0,'Données projet'!$E$15+1,1))</f>
        <v>212.00478362779876</v>
      </c>
      <c r="EP116" s="59">
        <f t="shared" si="100"/>
        <v>133.62262474506707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>
        <f>EXP(-LN(2)/35)*EV115+(1-EXP(-LN(2)/35))/(LN(2)/35)*ER116*ES116*VLOOKUP('Données projet'!$B$15,Paramètres!$A$1:$I$89,3,0)*0.475*44/12</f>
        <v>0</v>
      </c>
      <c r="EW116" s="21">
        <f>EXP(-LN(2)/25)*EW115+(1-EXP(-LN(2)/25))/(LN(2)/25)*Calculateur!ER116*Calculateur!ET116*VLOOKUP('Données projet'!$B$15,Paramètres!$A$1:$I$89,3,0)*0.475*44/12</f>
        <v>5.0510066634683</v>
      </c>
      <c r="EX116" s="21">
        <f>EXP(-LN(2)/2)*EX115+(1-EXP(-LN(2)/2))/(LN(2)/2)*ER116*EU116*VLOOKUP('Données projet'!$B$15,Paramètres!$A$1:$I$89,3,0)*0.475*44/12</f>
        <v>0.69682172514571461</v>
      </c>
      <c r="EY116" s="22">
        <f t="shared" si="75"/>
        <v>5.7478283886140149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66.747251207587553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1.9230769230769227</v>
      </c>
      <c r="FE116" s="12">
        <f>IF('Données projet'!$A$218&gt;35,FE115+FD116-FM115,IF(A116&lt;'Données projet'!$A$218,$FB$205^A116,IF(A116='Données projet'!$A$218,'Données projet'!$B$218,FE115+FD116-FM115)))</f>
        <v>115.3846153846153</v>
      </c>
      <c r="FF116" s="17">
        <f>FE116*VLOOKUP('Données projet'!$B$16,Paramètres!$A$1:$I$89,3,0)*VLOOKUP('Données projet'!$B$16,Paramètres!$A$1:$I$89,5,0)</f>
        <v>111.59999999999992</v>
      </c>
      <c r="FG116" s="13">
        <f t="shared" si="101"/>
        <v>29.707639641956273</v>
      </c>
      <c r="FH116" s="20">
        <f t="shared" si="76"/>
        <v>246.11080570974036</v>
      </c>
      <c r="FI116" s="59">
        <f t="shared" si="77"/>
        <v>527.51739347089472</v>
      </c>
      <c r="FJ116" s="59">
        <f ca="1">AVERAGE(OFFSET($FI$3,0,0,'Données projet'!$E$16+1,1))-AVERAGE(OFFSET($H$3,0,0,'Données projet'!$E$16+1,1))</f>
        <v>196.65742339093146</v>
      </c>
      <c r="FK116" s="59">
        <f t="shared" si="102"/>
        <v>125.41980634506001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>
        <f>EXP(-LN(2)/35)*FQ115+(1-EXP(-LN(2)/35))/(LN(2)/35)*FM116*FN116*VLOOKUP('Données projet'!$B$16,Paramètres!$A$1:$I$89,3,0)*0.475*44/12</f>
        <v>0</v>
      </c>
      <c r="FR116" s="21">
        <f>EXP(-LN(2)/25)*FR115+(1-EXP(-LN(2)/25))/(LN(2)/25)*Calculateur!FM116*Calculateur!FO116*VLOOKUP('Données projet'!$B$16,Paramètres!$A$1:$I$89,3,0)*0.475*44/12</f>
        <v>4.5385856976091974</v>
      </c>
      <c r="FS116" s="21">
        <f>EXP(-LN(2)/2)*FS115+(1-EXP(-LN(2)/2))/(LN(2)/2)*FM116*FP116*VLOOKUP('Données projet'!$B$16,Paramètres!$A$1:$I$89,3,0)*0.475*44/12</f>
        <v>0.62612966607296072</v>
      </c>
      <c r="FT116" s="22">
        <f t="shared" si="78"/>
        <v>5.1647153636821583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66.747251207587553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66.747251207587553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>
      <c r="A117" s="10">
        <f t="shared" si="85"/>
        <v>114</v>
      </c>
      <c r="B117" s="73">
        <f>'Scénario référence'!$B$16*5+'Scénario référence'!$B$17*0+'Scénario référence'!$B$18*5</f>
        <v>4.6999999999999993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6.0821280000000062</v>
      </c>
      <c r="D117" s="11">
        <f t="shared" si="86"/>
        <v>2.2716611664639408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20.068456736748214</v>
      </c>
      <c r="H117" s="67">
        <f t="shared" si="56"/>
        <v>202.28284946492471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66.803679127079036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-2.2737367544323206E-13</v>
      </c>
      <c r="O117" s="13">
        <f>N117*VLOOKUP('Données projet'!$B$9,Paramètres!$A$1:$I$89,3,0)*VLOOKUP('Données projet'!$B$9,Paramètres!$A$1:$I$89,5,0)</f>
        <v>-1.3596945791505279E-13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366.93249569585623</v>
      </c>
      <c r="T117" s="59">
        <f t="shared" si="88"/>
        <v>272.47262353368501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78.166533208161624</v>
      </c>
      <c r="AA117" s="21">
        <f>EXP(-LN(2)/25)*AA116+(1-EXP(-LN(2)/25))/(LN(2)/25)*Calculateur!V117*Calculateur!X117*VLOOKUP('Données projet'!$B$9,Paramètres!$A$1:$I$89,3,0)*0.475*44/12</f>
        <v>20.158691232799352</v>
      </c>
      <c r="AB117" s="21">
        <f>EXP(-LN(2)/2)*AB116+(1-EXP(-LN(2)/2))/(LN(2)/2)*V117*Y117*VLOOKUP('Données projet'!$B$9,Paramètres!$A$1:$I$89,3,0)*0.475*44/12</f>
        <v>5.3952516785590139E-4</v>
      </c>
      <c r="AC117" s="22">
        <f t="shared" si="57"/>
        <v>98.325763966128832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66.803679127079036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1.1368683772161603E-13</v>
      </c>
      <c r="AJ117" s="13">
        <f>AI117*VLOOKUP('Données projet'!$B$10,Paramètres!$A$1:$I$89,3,0)*VLOOKUP('Données projet'!$B$10,Paramètres!$A$1:$I$89,5,0)</f>
        <v>5.3205440053716299E-14</v>
      </c>
      <c r="AK117" s="13">
        <f t="shared" si="89"/>
        <v>8.602146238565607E-13</v>
      </c>
      <c r="AL117" s="20">
        <f t="shared" si="58"/>
        <v>1.590873277977066E-12</v>
      </c>
      <c r="AM117" s="59">
        <f t="shared" si="59"/>
        <v>281.61349013262469</v>
      </c>
      <c r="AN117" s="59">
        <f ca="1">AVERAGE(OFFSET($AM$3,0,0,'Données projet'!$E$10+1,1))-AVERAGE(OFFSET($H$3,0,0,'Données projet'!$E$10+1,1))</f>
        <v>382.89338473200229</v>
      </c>
      <c r="AO117" s="59">
        <f t="shared" si="90"/>
        <v>360.46248248971744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154.17137611584732</v>
      </c>
      <c r="AV117" s="21">
        <f>EXP(-LN(2)/25)*AV116+(1-EXP(-LN(2)/25))/(LN(2)/25)*Calculateur!AQ117*Calculateur!AS117*VLOOKUP('Données projet'!$B$10,Paramètres!$A$1:$I$89,3,0)*0.475*44/12</f>
        <v>42.430243308613306</v>
      </c>
      <c r="AW117" s="21">
        <f>EXP(-LN(2)/2)*AW116+(1-EXP(-LN(2)/2))/(LN(2)/2)*AQ117*AT117*VLOOKUP('Données projet'!$B$10,Paramètres!$A$1:$I$89,3,0)*0.475*44/12</f>
        <v>1.7336524110532707</v>
      </c>
      <c r="AX117" s="21">
        <f t="shared" si="60"/>
        <v>198.33527183551391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66.803679127079036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>
        <f>BD117*VLOOKUP('Données projet'!$B$11,Paramètres!$A$1:$I$89,3,0)*VLOOKUP('Données projet'!$B$11,Paramètres!$A$1:$I$89,5,0)</f>
        <v>0</v>
      </c>
      <c r="BF117" s="13" t="e">
        <f t="shared" si="91"/>
        <v>#NUM!</v>
      </c>
      <c r="BG117" s="20" t="e">
        <f t="shared" si="61"/>
        <v>#NUM!</v>
      </c>
      <c r="BH117" s="59" t="e">
        <f t="shared" si="62"/>
        <v>#NUM!</v>
      </c>
      <c r="BI117" s="59">
        <f ca="1">AVERAGE(OFFSET($BH$3,0,0,'Données projet'!$E$11+1,1))-AVERAGE(OFFSET($H$3,0,0,'Données projet'!$E$11+1,1))</f>
        <v>225.75484198243581</v>
      </c>
      <c r="BJ117" s="59">
        <f t="shared" si="92"/>
        <v>199.49566488421061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5.619289651882255</v>
      </c>
      <c r="BQ117" s="21">
        <f>EXP(-LN(2)/25)*BQ116+(1-EXP(-LN(2)/25))/(LN(2)/25)*Calculateur!BL117*Calculateur!BN117*VLOOKUP('Données projet'!$B$11,Paramètres!$A$1:$I$89,3,0)*0.475*44/12</f>
        <v>27.439317270573842</v>
      </c>
      <c r="BR117" s="21">
        <f>EXP(-LN(2)/2)*BR116+(1-EXP(-LN(2)/2))/(LN(2)/2)*BL117*BO117*VLOOKUP('Données projet'!$B$11,Paramètres!$A$1:$I$89,3,0)*0.475*44/12</f>
        <v>0</v>
      </c>
      <c r="BS117" s="22">
        <f t="shared" si="63"/>
        <v>33.058606922456093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66.803679127079036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3.8</v>
      </c>
      <c r="BY117" s="12">
        <f>IF('Données projet'!$A$114&gt;35,BY116+BX117-CG116,IF(A117&lt;'Données projet'!$A$114,$BV$205^A117,IF(A117='Données projet'!$A$114,'Données projet'!$B$114,BY116+BX117-CG116)))</f>
        <v>281.2</v>
      </c>
      <c r="BZ117" s="13">
        <f>BY117*VLOOKUP('Données projet'!$B$12,Paramètres!$A$1:$I$89,3,0)*VLOOKUP('Données projet'!$B$12,Paramètres!$A$1:$I$89,5,0)</f>
        <v>267.58992000000001</v>
      </c>
      <c r="CA117" s="13">
        <f t="shared" si="93"/>
        <v>64.33752288177115</v>
      </c>
      <c r="CB117" s="20">
        <f t="shared" si="64"/>
        <v>578.1069630190849</v>
      </c>
      <c r="CC117" s="59">
        <f t="shared" si="65"/>
        <v>859.72045315170794</v>
      </c>
      <c r="CD117" s="59">
        <f ca="1">AVERAGE(OFFSET($CC$3,0,0,'Données projet'!$E$12+1,1))-AVERAGE(OFFSET($H$3,0,0,'Données projet'!$E$12+1,1))</f>
        <v>413.9352601863377</v>
      </c>
      <c r="CE117" s="59">
        <f t="shared" si="94"/>
        <v>255.13997349799286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13.422673624178081</v>
      </c>
      <c r="CL117" s="21">
        <f>EXP(-LN(2)/25)*CL116+(1-EXP(-LN(2)/25))/(LN(2)/25)*Calculateur!CG117*Calculateur!CI117*VLOOKUP('Données projet'!$B$12,Paramètres!$A$1:$I$89,3,0)*0.475*44/12</f>
        <v>14.592673839197957</v>
      </c>
      <c r="CM117" s="21">
        <f>EXP(-LN(2)/2)*CM116+(1-EXP(-LN(2)/2))/(LN(2)/2)*CG117*CJ117*VLOOKUP('Données projet'!$B$12,Paramètres!$A$1:$I$89,3,0)*0.475*44/12</f>
        <v>1.309344228126192</v>
      </c>
      <c r="CN117" s="22">
        <f t="shared" si="66"/>
        <v>29.324691691502231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66.803679127079036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2.8421709430404007E-14</v>
      </c>
      <c r="CU117" s="17">
        <f>CT117*VLOOKUP('Données projet'!$B$13,Paramètres!$A$1:$I$89,3,0)*VLOOKUP('Données projet'!$B$13,Paramètres!$A$1:$I$89,5,0)</f>
        <v>2.4829205358400945E-14</v>
      </c>
      <c r="CV117" s="13">
        <f t="shared" si="95"/>
        <v>4.3867331143352915E-13</v>
      </c>
      <c r="CW117" s="20">
        <f t="shared" si="67"/>
        <v>8.0726688341261168E-13</v>
      </c>
      <c r="CX117" s="59">
        <f t="shared" si="68"/>
        <v>281.61349013262389</v>
      </c>
      <c r="CY117" s="59">
        <f ca="1">AVERAGE(OFFSET($CX$3,0,0,'Données projet'!$E$13+1,1))-AVERAGE(OFFSET($H$3,0,0,'Données projet'!$E$13+1,1))</f>
        <v>280.59827778697775</v>
      </c>
      <c r="CZ117" s="59">
        <f t="shared" si="96"/>
        <v>270.86588231964726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>
        <f>EXP(-LN(2)/35)*DF116+(1-EXP(-LN(2)/35))/(LN(2)/35)*DB117*DC117*VLOOKUP('Données projet'!$B$13,Paramètres!$A$1:$I$89,3,0)*0.475*44/12</f>
        <v>16.822989115243359</v>
      </c>
      <c r="DG117" s="21">
        <f>EXP(-LN(2)/25)*DG116+(1-EXP(-LN(2)/25))/(LN(2)/25)*Calculateur!DB117*Calculateur!DD117*VLOOKUP('Données projet'!$B$13,Paramètres!$A$1:$I$89,3,0)*0.475*44/12</f>
        <v>14.218183994271314</v>
      </c>
      <c r="DH117" s="21">
        <f>EXP(-LN(2)/2)*DH116+(1-EXP(-LN(2)/2))/(LN(2)/2)*DB117*DE117*VLOOKUP('Données projet'!$B$13,Paramètres!$A$1:$I$89,3,0)*0.475*44/12</f>
        <v>3.4672883331778048E-4</v>
      </c>
      <c r="DI117" s="22">
        <f t="shared" si="69"/>
        <v>31.041519838347991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66.803679127079036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2.6923076923076907</v>
      </c>
      <c r="DO117" s="12">
        <f>IF('Données projet'!$A$166&gt;35,DO116+DN117-DW116,IF(A117&lt;'Données projet'!$A$166,$DL$205^A117,IF(A117='Données projet'!$A$166,'Données projet'!$B$166,DO116+DN117-DW116)))</f>
        <v>180.64102564102564</v>
      </c>
      <c r="DP117" s="17">
        <f>DO117*VLOOKUP('Données projet'!$B$14,Paramètres!$A$1:$I$89,3,0)*VLOOKUP('Données projet'!$B$14,Paramètres!$A$1:$I$89,5,0)</f>
        <v>121.17400000000001</v>
      </c>
      <c r="DQ117" s="13">
        <f t="shared" si="97"/>
        <v>31.948660171331834</v>
      </c>
      <c r="DR117" s="20">
        <f t="shared" si="70"/>
        <v>266.68863313173625</v>
      </c>
      <c r="DS117" s="59">
        <f t="shared" si="71"/>
        <v>548.30212326435935</v>
      </c>
      <c r="DT117" s="59">
        <f ca="1">AVERAGE(OFFSET($DS$3,0,0,'Données projet'!$E$14+1,1))-AVERAGE(OFFSET($H$3,0,0,'Données projet'!$E$14+1,1))</f>
        <v>211.42385430331873</v>
      </c>
      <c r="DU117" s="59">
        <f t="shared" si="98"/>
        <v>146.84623106782686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>
        <f>EXP(-LN(2)/35)*EA116+(1-EXP(-LN(2)/35))/(LN(2)/35)*DW117*DX117*VLOOKUP('Données projet'!$B$14,Paramètres!$A$1:$I$89,3,0)*0.475*44/12</f>
        <v>6.372807802041538</v>
      </c>
      <c r="EB117" s="21">
        <f>EXP(-LN(2)/25)*EB116+(1-EXP(-LN(2)/25))/(LN(2)/25)*Calculateur!DW117*Calculateur!DY117*VLOOKUP('Données projet'!$B$14,Paramètres!$A$1:$I$89,3,0)*0.475*44/12</f>
        <v>7.7409154727701281</v>
      </c>
      <c r="EC117" s="21">
        <f>EXP(-LN(2)/2)*EC116+(1-EXP(-LN(2)/2))/(LN(2)/2)*DW117*DZ117*VLOOKUP('Données projet'!$B$14,Paramètres!$A$1:$I$89,3,0)*0.475*44/12</f>
        <v>0.52480539116309899</v>
      </c>
      <c r="ED117" s="22">
        <f t="shared" si="72"/>
        <v>14.638528665974764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66.803679127079036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1.9230769230769227</v>
      </c>
      <c r="EJ117" s="12">
        <f>IF('Données projet'!$A$192&gt;35,EJ116+EI117-ER116,IF(A117&lt;'Données projet'!$A$192,$EG$205^A117,IF(A117='Données projet'!$A$192,'Données projet'!$B$192,EJ116+EI117-ER116)))</f>
        <v>117.30769230769222</v>
      </c>
      <c r="EK117" s="17">
        <f>EJ117*VLOOKUP('Données projet'!$B$15,Paramètres!$A$1:$I$89,3,0)*VLOOKUP('Données projet'!$B$15,Paramètres!$A$1:$I$89,5,0)</f>
        <v>126.2699999999999</v>
      </c>
      <c r="EL117" s="13">
        <f t="shared" si="99"/>
        <v>33.133010973389659</v>
      </c>
      <c r="EM117" s="20">
        <f t="shared" si="73"/>
        <v>277.62691077865344</v>
      </c>
      <c r="EN117" s="59">
        <f t="shared" si="74"/>
        <v>559.24040091127654</v>
      </c>
      <c r="EO117" s="59">
        <f ca="1">AVERAGE(OFFSET($EN$3,0,0,'Données projet'!$E$15+1,1))-AVERAGE(OFFSET($H$3,0,0,'Données projet'!$E$15+1,1))</f>
        <v>212.00478362779876</v>
      </c>
      <c r="EP117" s="59">
        <f t="shared" si="100"/>
        <v>133.62262474506707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>
        <f>EXP(-LN(2)/35)*EV116+(1-EXP(-LN(2)/35))/(LN(2)/35)*ER117*ES117*VLOOKUP('Données projet'!$B$15,Paramètres!$A$1:$I$89,3,0)*0.475*44/12</f>
        <v>0</v>
      </c>
      <c r="EW117" s="21">
        <f>EXP(-LN(2)/25)*EW116+(1-EXP(-LN(2)/25))/(LN(2)/25)*Calculateur!ER117*Calculateur!ET117*VLOOKUP('Données projet'!$B$15,Paramètres!$A$1:$I$89,3,0)*0.475*44/12</f>
        <v>4.9128866206348629</v>
      </c>
      <c r="EX117" s="21">
        <f>EXP(-LN(2)/2)*EX116+(1-EXP(-LN(2)/2))/(LN(2)/2)*ER117*EU117*VLOOKUP('Données projet'!$B$15,Paramètres!$A$1:$I$89,3,0)*0.475*44/12</f>
        <v>0.4927273671286434</v>
      </c>
      <c r="EY117" s="22">
        <f t="shared" si="75"/>
        <v>5.4056139877635063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66.803679127079036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1.9230769230769227</v>
      </c>
      <c r="FE117" s="12">
        <f>IF('Données projet'!$A$218&gt;35,FE116+FD117-FM116,IF(A117&lt;'Données projet'!$A$218,$FB$205^A117,IF(A117='Données projet'!$A$218,'Données projet'!$B$218,FE116+FD117-FM116)))</f>
        <v>117.30769230769222</v>
      </c>
      <c r="FF117" s="17">
        <f>FE117*VLOOKUP('Données projet'!$B$16,Paramètres!$A$1:$I$89,3,0)*VLOOKUP('Données projet'!$B$16,Paramètres!$A$1:$I$89,5,0)</f>
        <v>113.45999999999994</v>
      </c>
      <c r="FG117" s="13">
        <f t="shared" si="101"/>
        <v>30.144712387808749</v>
      </c>
      <c r="FH117" s="20">
        <f t="shared" si="76"/>
        <v>250.11154074210015</v>
      </c>
      <c r="FI117" s="59">
        <f t="shared" si="77"/>
        <v>531.72503087472319</v>
      </c>
      <c r="FJ117" s="59">
        <f ca="1">AVERAGE(OFFSET($FI$3,0,0,'Données projet'!$E$16+1,1))-AVERAGE(OFFSET($H$3,0,0,'Données projet'!$E$16+1,1))</f>
        <v>196.65742339093146</v>
      </c>
      <c r="FK117" s="59">
        <f t="shared" si="102"/>
        <v>125.41980634506001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>
        <f>EXP(-LN(2)/35)*FQ116+(1-EXP(-LN(2)/35))/(LN(2)/35)*FM117*FN117*VLOOKUP('Données projet'!$B$16,Paramètres!$A$1:$I$89,3,0)*0.475*44/12</f>
        <v>0</v>
      </c>
      <c r="FR117" s="21">
        <f>EXP(-LN(2)/25)*FR116+(1-EXP(-LN(2)/25))/(LN(2)/25)*Calculateur!FM117*Calculateur!FO117*VLOOKUP('Données projet'!$B$16,Paramètres!$A$1:$I$89,3,0)*0.475*44/12</f>
        <v>4.4144778330342254</v>
      </c>
      <c r="FS117" s="21">
        <f>EXP(-LN(2)/2)*FS116+(1-EXP(-LN(2)/2))/(LN(2)/2)*FM117*FP117*VLOOKUP('Données projet'!$B$16,Paramètres!$A$1:$I$89,3,0)*0.475*44/12</f>
        <v>0.44274053278225911</v>
      </c>
      <c r="FT117" s="22">
        <f t="shared" si="78"/>
        <v>4.8572183658164843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66.803679127079036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66.803679127079036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>
      <c r="A118" s="10">
        <f t="shared" si="85"/>
        <v>115</v>
      </c>
      <c r="B118" s="73">
        <f>'Scénario référence'!$B$16*5+'Scénario référence'!$B$17*0+'Scénario référence'!$B$18*5</f>
        <v>4.6999999999999993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6.1354800000000065</v>
      </c>
      <c r="D118" s="11">
        <f t="shared" si="86"/>
        <v>2.2892595733728758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20.101317977842875</v>
      </c>
      <c r="H118" s="67">
        <f t="shared" si="56"/>
        <v>202.40642142362447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66.85912814832129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-2.2737367544323206E-13</v>
      </c>
      <c r="O118" s="13">
        <f>N118*VLOOKUP('Données projet'!$B$9,Paramètres!$A$1:$I$89,3,0)*VLOOKUP('Données projet'!$B$9,Paramètres!$A$1:$I$89,5,0)</f>
        <v>-1.3596945791505279E-13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366.93249569585623</v>
      </c>
      <c r="T118" s="59">
        <f t="shared" si="88"/>
        <v>272.47262353368501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76.63373516882713</v>
      </c>
      <c r="AA118" s="21">
        <f>EXP(-LN(2)/25)*AA117+(1-EXP(-LN(2)/25))/(LN(2)/25)*Calculateur!V118*Calculateur!X118*VLOOKUP('Données projet'!$B$9,Paramètres!$A$1:$I$89,3,0)*0.475*44/12</f>
        <v>19.607450760938956</v>
      </c>
      <c r="AB118" s="21">
        <f>EXP(-LN(2)/2)*AB117+(1-EXP(-LN(2)/2))/(LN(2)/2)*V118*Y118*VLOOKUP('Données projet'!$B$9,Paramètres!$A$1:$I$89,3,0)*0.475*44/12</f>
        <v>3.8150190481171819E-4</v>
      </c>
      <c r="AC118" s="22">
        <f t="shared" si="57"/>
        <v>96.241567431670902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66.85912814832129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1.1368683772161603E-13</v>
      </c>
      <c r="AJ118" s="13">
        <f>AI118*VLOOKUP('Données projet'!$B$10,Paramètres!$A$1:$I$89,3,0)*VLOOKUP('Données projet'!$B$10,Paramètres!$A$1:$I$89,5,0)</f>
        <v>5.3205440053716299E-14</v>
      </c>
      <c r="AK118" s="13">
        <f t="shared" si="89"/>
        <v>8.602146238565607E-13</v>
      </c>
      <c r="AL118" s="20">
        <f t="shared" si="58"/>
        <v>1.590873277977066E-12</v>
      </c>
      <c r="AM118" s="59">
        <f t="shared" si="59"/>
        <v>281.816803210513</v>
      </c>
      <c r="AN118" s="59">
        <f ca="1">AVERAGE(OFFSET($AM$3,0,0,'Données projet'!$E$10+1,1))-AVERAGE(OFFSET($H$3,0,0,'Données projet'!$E$10+1,1))</f>
        <v>382.89338473200229</v>
      </c>
      <c r="AO118" s="59">
        <f t="shared" si="90"/>
        <v>360.46248248971744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151.14816946546978</v>
      </c>
      <c r="AV118" s="21">
        <f>EXP(-LN(2)/25)*AV117+(1-EXP(-LN(2)/25))/(LN(2)/25)*Calculateur!AQ118*Calculateur!AS118*VLOOKUP('Données projet'!$B$10,Paramètres!$A$1:$I$89,3,0)*0.475*44/12</f>
        <v>41.269986074029752</v>
      </c>
      <c r="AW118" s="21">
        <f>EXP(-LN(2)/2)*AW117+(1-EXP(-LN(2)/2))/(LN(2)/2)*AQ118*AT118*VLOOKUP('Données projet'!$B$10,Paramètres!$A$1:$I$89,3,0)*0.475*44/12</f>
        <v>1.2258773760761756</v>
      </c>
      <c r="AX118" s="21">
        <f t="shared" si="60"/>
        <v>193.64403291557571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66.85912814832129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>
        <f>BD118*VLOOKUP('Données projet'!$B$11,Paramètres!$A$1:$I$89,3,0)*VLOOKUP('Données projet'!$B$11,Paramètres!$A$1:$I$89,5,0)</f>
        <v>0</v>
      </c>
      <c r="BF118" s="13" t="e">
        <f t="shared" si="91"/>
        <v>#NUM!</v>
      </c>
      <c r="BG118" s="20" t="e">
        <f t="shared" si="61"/>
        <v>#NUM!</v>
      </c>
      <c r="BH118" s="59" t="e">
        <f t="shared" si="62"/>
        <v>#NUM!</v>
      </c>
      <c r="BI118" s="59">
        <f ca="1">AVERAGE(OFFSET($BH$3,0,0,'Données projet'!$E$11+1,1))-AVERAGE(OFFSET($H$3,0,0,'Données projet'!$E$11+1,1))</f>
        <v>225.75484198243581</v>
      </c>
      <c r="BJ118" s="59">
        <f t="shared" si="92"/>
        <v>199.49566488421061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5.5090988092371012</v>
      </c>
      <c r="BQ118" s="21">
        <f>EXP(-LN(2)/25)*BQ117+(1-EXP(-LN(2)/25))/(LN(2)/25)*Calculateur!BL118*Calculateur!BN118*VLOOKUP('Données projet'!$B$11,Paramètres!$A$1:$I$89,3,0)*0.475*44/12</f>
        <v>26.688987696839018</v>
      </c>
      <c r="BR118" s="21">
        <f>EXP(-LN(2)/2)*BR117+(1-EXP(-LN(2)/2))/(LN(2)/2)*BL118*BO118*VLOOKUP('Données projet'!$B$11,Paramètres!$A$1:$I$89,3,0)*0.475*44/12</f>
        <v>0</v>
      </c>
      <c r="BS118" s="22">
        <f t="shared" si="63"/>
        <v>32.198086506076116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66.85912814832129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>
        <f>VLOOKUP(A118,'Données projet'!$A$113:$I$133,2,0)</f>
        <v>285</v>
      </c>
      <c r="BW118" s="12">
        <f>VLOOKUP(A118,'Données projet'!$A$113:$I$133,9,0)</f>
        <v>3.8</v>
      </c>
      <c r="BX118" s="12">
        <f t="array" ref="BX118">INDEX(BW:BW,MIN(IF(ISNUMBER(BW118:BW314),ROW(BW118:BW314),"")))</f>
        <v>3.8</v>
      </c>
      <c r="BY118" s="12">
        <f>IF('Données projet'!$A$114&gt;35,BY117+BX118-CG117,IF(A118&lt;'Données projet'!$A$114,$BV$205^A118,IF(A118='Données projet'!$A$114,'Données projet'!$B$114,BY117+BX118-CG117)))</f>
        <v>285</v>
      </c>
      <c r="BZ118" s="13">
        <f>BY118*VLOOKUP('Données projet'!$B$12,Paramètres!$A$1:$I$89,3,0)*VLOOKUP('Données projet'!$B$12,Paramètres!$A$1:$I$89,5,0)</f>
        <v>271.20600000000002</v>
      </c>
      <c r="CA118" s="13">
        <f t="shared" si="93"/>
        <v>65.105146500462041</v>
      </c>
      <c r="CB118" s="20">
        <f t="shared" si="64"/>
        <v>585.7419134883047</v>
      </c>
      <c r="CC118" s="59">
        <f t="shared" si="65"/>
        <v>867.55871669881617</v>
      </c>
      <c r="CD118" s="59">
        <f ca="1">AVERAGE(OFFSET($CC$3,0,0,'Données projet'!$E$12+1,1))-AVERAGE(OFFSET($H$3,0,0,'Données projet'!$E$12+1,1))</f>
        <v>413.9352601863377</v>
      </c>
      <c r="CE118" s="59">
        <f t="shared" si="94"/>
        <v>255.13997349799286</v>
      </c>
      <c r="CF118" s="15">
        <f>IF(ISNA(VLOOKUP(A118,'Données projet'!$A$113:$I$133,3,0)),0,VLOOKUP(A118,'Données projet'!$A$113:$I$133,3,0))</f>
        <v>19</v>
      </c>
      <c r="CG118" s="15">
        <f>IF(ISNA(VLOOKUP(A118,'Données projet'!$A$113:$I$133,4,0)),0,VLOOKUP(A118,'Données projet'!$A$113:$I$133,4,0))</f>
        <v>18</v>
      </c>
      <c r="CH118" s="16">
        <f>IF(ISNA(VLOOKUP(A118,'Données projet'!$A$113:$I$133,5,0)),0%,VLOOKUP(A118,'Données projet'!$A$113:$I$133,5,0)*VLOOKUP('Données projet'!$B$12,Paramètres!$A$1:$I$89,7,0))</f>
        <v>0.1075</v>
      </c>
      <c r="CI118" s="16">
        <f>IF(ISNA(VLOOKUP(A118,'Données projet'!$A$113:$I$133,6,0)),0%,VLOOKUP(A118,'Données projet'!$A$113:$I$133,6,0)*VLOOKUP('Données projet'!$B$12,Paramètres!$A$1:$I$89,7,0))</f>
        <v>0.1075</v>
      </c>
      <c r="CJ118" s="16">
        <f>IF(ISNA(VLOOKUP(A118,'Données projet'!$A$113:$I$133,7,0)),0%,VLOOKUP(A118,'Données projet'!$A$113:$I$133,7,0))</f>
        <v>0.25</v>
      </c>
      <c r="CK118" s="21">
        <f>EXP(-LN(2)/35)*CK117+(1-EXP(-LN(2)/35))/(LN(2)/35)*CG118*CH118*VLOOKUP('Données projet'!$B$12,Paramètres!$A$1:$I$89,3,0)*0.475*44/12</f>
        <v>15.195016642901939</v>
      </c>
      <c r="CL118" s="21">
        <f>EXP(-LN(2)/25)*CL117+(1-EXP(-LN(2)/25))/(LN(2)/25)*Calculateur!CG118*Calculateur!CI118*VLOOKUP('Données projet'!$B$12,Paramètres!$A$1:$I$89,3,0)*0.475*44/12</f>
        <v>16.221175117556715</v>
      </c>
      <c r="CM118" s="21">
        <f>EXP(-LN(2)/2)*CM117+(1-EXP(-LN(2)/2))/(LN(2)/2)*CG118*CJ118*VLOOKUP('Données projet'!$B$12,Paramètres!$A$1:$I$89,3,0)*0.475*44/12</f>
        <v>4.9662171363386891</v>
      </c>
      <c r="CN118" s="22">
        <f t="shared" si="66"/>
        <v>36.382408896797344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66.85912814832129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2.8421709430404007E-14</v>
      </c>
      <c r="CU118" s="17">
        <f>CT118*VLOOKUP('Données projet'!$B$13,Paramètres!$A$1:$I$89,3,0)*VLOOKUP('Données projet'!$B$13,Paramètres!$A$1:$I$89,5,0)</f>
        <v>2.4829205358400945E-14</v>
      </c>
      <c r="CV118" s="13">
        <f t="shared" si="95"/>
        <v>4.3867331143352915E-13</v>
      </c>
      <c r="CW118" s="20">
        <f t="shared" si="67"/>
        <v>8.0726688341261168E-13</v>
      </c>
      <c r="CX118" s="59">
        <f t="shared" si="68"/>
        <v>281.81680321051221</v>
      </c>
      <c r="CY118" s="59">
        <f ca="1">AVERAGE(OFFSET($CX$3,0,0,'Données projet'!$E$13+1,1))-AVERAGE(OFFSET($H$3,0,0,'Données projet'!$E$13+1,1))</f>
        <v>280.59827778697775</v>
      </c>
      <c r="CZ118" s="59">
        <f t="shared" si="96"/>
        <v>270.86588231964726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>
        <f>EXP(-LN(2)/35)*DF117+(1-EXP(-LN(2)/35))/(LN(2)/35)*DB118*DC118*VLOOKUP('Données projet'!$B$13,Paramètres!$A$1:$I$89,3,0)*0.475*44/12</f>
        <v>16.493100559703606</v>
      </c>
      <c r="DG118" s="21">
        <f>EXP(-LN(2)/25)*DG117+(1-EXP(-LN(2)/25))/(LN(2)/25)*Calculateur!DB118*Calculateur!DD118*VLOOKUP('Données projet'!$B$13,Paramètres!$A$1:$I$89,3,0)*0.475*44/12</f>
        <v>13.829387005246165</v>
      </c>
      <c r="DH118" s="21">
        <f>EXP(-LN(2)/2)*DH117+(1-EXP(-LN(2)/2))/(LN(2)/2)*DB118*DE118*VLOOKUP('Données projet'!$B$13,Paramètres!$A$1:$I$89,3,0)*0.475*44/12</f>
        <v>2.4517430927190271E-4</v>
      </c>
      <c r="DI118" s="22">
        <f t="shared" si="69"/>
        <v>30.322732739259042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66.85912814832129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>
        <f>VLOOKUP(A118,'Données projet'!$A$165:$I$185,2,0)</f>
        <v>183.33333333333331</v>
      </c>
      <c r="DM118" s="12">
        <f>VLOOKUP(A118,'Données projet'!$A$165:$I$185,9,0)</f>
        <v>2.6923076923076907</v>
      </c>
      <c r="DN118" s="12">
        <f t="array" ref="DN118">INDEX(DM:DM,MIN(IF(ISNUMBER(DM118:DM314),ROW(DM118:DM314),"")))</f>
        <v>2.6923076923076907</v>
      </c>
      <c r="DO118" s="12">
        <f>IF('Données projet'!$A$166&gt;35,DO117+DN118-DW117,IF(A118&lt;'Données projet'!$A$166,$DL$205^A118,IF(A118='Données projet'!$A$166,'Données projet'!$B$166,DO117+DN118-DW117)))</f>
        <v>183.33333333333331</v>
      </c>
      <c r="DP118" s="17">
        <f>DO118*VLOOKUP('Données projet'!$B$14,Paramètres!$A$1:$I$89,3,0)*VLOOKUP('Données projet'!$B$14,Paramètres!$A$1:$I$89,5,0)</f>
        <v>122.97999999999999</v>
      </c>
      <c r="DQ118" s="13">
        <f t="shared" si="97"/>
        <v>32.369039984453188</v>
      </c>
      <c r="DR118" s="20">
        <f t="shared" si="70"/>
        <v>270.56624463958929</v>
      </c>
      <c r="DS118" s="59">
        <f t="shared" si="71"/>
        <v>552.38304785010064</v>
      </c>
      <c r="DT118" s="59">
        <f ca="1">AVERAGE(OFFSET($DS$3,0,0,'Données projet'!$E$14+1,1))-AVERAGE(OFFSET($H$3,0,0,'Données projet'!$E$14+1,1))</f>
        <v>211.42385430331873</v>
      </c>
      <c r="DU118" s="59">
        <f t="shared" si="98"/>
        <v>146.84623106782686</v>
      </c>
      <c r="DV118" s="15">
        <f>IF(ISNA(VLOOKUP(A118,'Données projet'!$A$165:$I$185,3,0)),0,VLOOKUP(A118,'Données projet'!$A$165:$I$185,3,0))</f>
        <v>20</v>
      </c>
      <c r="DW118" s="15">
        <f>IF(ISNA(VLOOKUP(A118,'Données projet'!$A$165:$I$185,4,0)),0,VLOOKUP(A118,'Données projet'!$A$165:$I$185,4,0))</f>
        <v>183.33333333333331</v>
      </c>
      <c r="DX118" s="16">
        <f>IF(ISNA(VLOOKUP(A118,'Données projet'!$A$165:$I$185,5,0)),0%,VLOOKUP(A118,'Données projet'!$A$165:$I$185,5,0)*VLOOKUP('Données projet'!$B$14,Paramètres!$A$1:$I$89,7,0))</f>
        <v>0.13250000000000001</v>
      </c>
      <c r="DY118" s="16">
        <f>IF(ISNA(VLOOKUP(A118,'Données projet'!$A$165:$I$185,6,0)),0%,VLOOKUP(A118,'Données projet'!$A$165:$I$185,6,0)*VLOOKUP('Données projet'!$B$14,Paramètres!$A$1:$I$89,7,0))</f>
        <v>0.13250000000000001</v>
      </c>
      <c r="DZ118" s="16">
        <f>IF(ISNA(VLOOKUP(A118,'Données projet'!$A$165:$I$185,7,0)),0%,VLOOKUP(A118,'Données projet'!$A$165:$I$185,7,0))</f>
        <v>0.25</v>
      </c>
      <c r="EA118" s="21">
        <f>EXP(-LN(2)/35)*EA117+(1-EXP(-LN(2)/35))/(LN(2)/35)*DW118*DX118*VLOOKUP('Données projet'!$B$14,Paramètres!$A$1:$I$89,3,0)*0.475*44/12</f>
        <v>24.26131494200494</v>
      </c>
      <c r="EB118" s="21">
        <f>EXP(-LN(2)/25)*EB117+(1-EXP(-LN(2)/25))/(LN(2)/25)*Calculateur!DW118*Calculateur!DY118*VLOOKUP('Données projet'!$B$14,Paramètres!$A$1:$I$89,3,0)*0.475*44/12</f>
        <v>25.471787835158114</v>
      </c>
      <c r="EC118" s="21">
        <f>EXP(-LN(2)/2)*EC117+(1-EXP(-LN(2)/2))/(LN(2)/2)*DW118*DZ118*VLOOKUP('Données projet'!$B$14,Paramètres!$A$1:$I$89,3,0)*0.475*44/12</f>
        <v>29.379828440437347</v>
      </c>
      <c r="ED118" s="22">
        <f t="shared" si="72"/>
        <v>79.112931217600405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66.85912814832129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>
        <f>VLOOKUP(A118,'Données projet'!$A$191:$I$211,2,0)</f>
        <v>119.23076923076923</v>
      </c>
      <c r="EH118" s="12">
        <f>VLOOKUP(A118,'Données projet'!$A$191:$I$211,9,0)</f>
        <v>1.9230769230769227</v>
      </c>
      <c r="EI118" s="12">
        <f t="array" ref="EI118">INDEX(EH:EH,MIN(IF(ISNUMBER(EH118:EH314),ROW(EH118:EH314),"")))</f>
        <v>1.9230769230769227</v>
      </c>
      <c r="EJ118" s="12">
        <f>IF('Données projet'!$A$192&gt;35,EJ117+EI118-ER117,IF(A118&lt;'Données projet'!$A$192,$EG$205^A118,IF(A118='Données projet'!$A$192,'Données projet'!$B$192,EJ117+EI118-ER117)))</f>
        <v>119.23076923076914</v>
      </c>
      <c r="EK118" s="17">
        <f>EJ118*VLOOKUP('Données projet'!$B$15,Paramètres!$A$1:$I$89,3,0)*VLOOKUP('Données projet'!$B$15,Paramètres!$A$1:$I$89,5,0)</f>
        <v>128.33999999999989</v>
      </c>
      <c r="EL118" s="13">
        <f t="shared" si="99"/>
        <v>33.612495644528238</v>
      </c>
      <c r="EM118" s="20">
        <f t="shared" si="73"/>
        <v>282.06726324755317</v>
      </c>
      <c r="EN118" s="59">
        <f t="shared" si="74"/>
        <v>563.88406645806458</v>
      </c>
      <c r="EO118" s="59">
        <f ca="1">AVERAGE(OFFSET($EN$3,0,0,'Données projet'!$E$15+1,1))-AVERAGE(OFFSET($H$3,0,0,'Données projet'!$E$15+1,1))</f>
        <v>212.00478362779876</v>
      </c>
      <c r="EP118" s="59">
        <f t="shared" si="100"/>
        <v>133.62262474506707</v>
      </c>
      <c r="EQ118" s="15">
        <f>IF(ISNA(VLOOKUP(A118,'Données projet'!$A$191:$I$211,3,0)),0,VLOOKUP(A118,'Données projet'!$A$191:$I$211,3,0))</f>
        <v>19</v>
      </c>
      <c r="ER118" s="15">
        <f>IF(ISNA(VLOOKUP(A118,'Données projet'!$A$191:$I$211,4,0)),0,VLOOKUP(A118,'Données projet'!$A$191:$I$211,4,0))</f>
        <v>6.4102564102564097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0.1075</v>
      </c>
      <c r="EU118" s="16">
        <f>IF(ISNA(VLOOKUP(A118,'Données projet'!$A$191:$I$211,7,0)),0%,VLOOKUP(A118,'Données projet'!$A$191:$I$211,7,0))</f>
        <v>0.25</v>
      </c>
      <c r="EV118" s="21">
        <f>EXP(-LN(2)/35)*EV117+(1-EXP(-LN(2)/35))/(LN(2)/35)*ER118*ES118*VLOOKUP('Données projet'!$B$15,Paramètres!$A$1:$I$89,3,0)*0.475*44/12</f>
        <v>0</v>
      </c>
      <c r="EW118" s="21">
        <f>EXP(-LN(2)/25)*EW117+(1-EXP(-LN(2)/25))/(LN(2)/25)*Calculateur!ER118*Calculateur!ET118*VLOOKUP('Données projet'!$B$15,Paramètres!$A$1:$I$89,3,0)*0.475*44/12</f>
        <v>5.5952975475079327</v>
      </c>
      <c r="EX118" s="21">
        <f>EXP(-LN(2)/2)*EX117+(1-EXP(-LN(2)/2))/(LN(2)/2)*ER118*EU118*VLOOKUP('Données projet'!$B$15,Paramètres!$A$1:$I$89,3,0)*0.475*44/12</f>
        <v>1.9759947902671517</v>
      </c>
      <c r="EY118" s="22">
        <f t="shared" si="75"/>
        <v>7.571292337775084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66.85912814832129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>
        <f>VLOOKUP(A118,'Données projet'!$A$217:$I$237,2,0)</f>
        <v>119.23076923076923</v>
      </c>
      <c r="FC118" s="12">
        <f>VLOOKUP(A118,'Données projet'!$A$217:$I$237,9,0)</f>
        <v>1.9230769230769227</v>
      </c>
      <c r="FD118" s="12">
        <f t="array" ref="FD118">INDEX(FC:FC,MIN(IF(ISNUMBER(FC118:FC314),ROW(FC118:FC314),"")))</f>
        <v>1.9230769230769227</v>
      </c>
      <c r="FE118" s="12">
        <f>IF('Données projet'!$A$218&gt;35,FE117+FD118-FM117,IF(A118&lt;'Données projet'!$A$218,$FB$205^A118,IF(A118='Données projet'!$A$218,'Données projet'!$B$218,FE117+FD118-FM117)))</f>
        <v>119.23076923076914</v>
      </c>
      <c r="FF118" s="17">
        <f>FE118*VLOOKUP('Données projet'!$B$16,Paramètres!$A$1:$I$89,3,0)*VLOOKUP('Données projet'!$B$16,Paramètres!$A$1:$I$89,5,0)</f>
        <v>115.31999999999991</v>
      </c>
      <c r="FG118" s="13">
        <f t="shared" si="101"/>
        <v>30.580951868652893</v>
      </c>
      <c r="FH118" s="20">
        <f t="shared" si="76"/>
        <v>254.11082450457027</v>
      </c>
      <c r="FI118" s="59">
        <f t="shared" si="77"/>
        <v>535.92762771508171</v>
      </c>
      <c r="FJ118" s="59">
        <f ca="1">AVERAGE(OFFSET($FI$3,0,0,'Données projet'!$E$16+1,1))-AVERAGE(OFFSET($H$3,0,0,'Données projet'!$E$16+1,1))</f>
        <v>196.65742339093146</v>
      </c>
      <c r="FK118" s="59">
        <f t="shared" si="102"/>
        <v>125.41980634506001</v>
      </c>
      <c r="FL118" s="15">
        <f>IF(ISNA(VLOOKUP(A118,'Données projet'!$A$217:$I$237,3,0)),0,VLOOKUP(A118,'Données projet'!$A$217:$I$237,3,0))</f>
        <v>19</v>
      </c>
      <c r="FM118" s="15">
        <f>IF(ISNA(VLOOKUP(A118,'Données projet'!$A$217:$I$237,4,0)),0,VLOOKUP(A118,'Données projet'!$A$217:$I$237,4,0))</f>
        <v>6.4102564102564097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0.1075</v>
      </c>
      <c r="FP118" s="16">
        <f>IF(ISNA(VLOOKUP(A118,'Données projet'!$A$217:$I$237,7,0)),0%,VLOOKUP(A118,'Données projet'!$A$217:$I$237,7,0))</f>
        <v>0.25</v>
      </c>
      <c r="FQ118" s="21">
        <f>EXP(-LN(2)/35)*FQ117+(1-EXP(-LN(2)/35))/(LN(2)/35)*FM118*FN118*VLOOKUP('Données projet'!$B$16,Paramètres!$A$1:$I$89,3,0)*0.475*44/12</f>
        <v>0</v>
      </c>
      <c r="FR118" s="21">
        <f>EXP(-LN(2)/25)*FR117+(1-EXP(-LN(2)/25))/(LN(2)/25)*Calculateur!FM118*Calculateur!FO118*VLOOKUP('Données projet'!$B$16,Paramètres!$A$1:$I$89,3,0)*0.475*44/12</f>
        <v>5.027658665876694</v>
      </c>
      <c r="FS118" s="21">
        <f>EXP(-LN(2)/2)*FS117+(1-EXP(-LN(2)/2))/(LN(2)/2)*FM118*FP118*VLOOKUP('Données projet'!$B$16,Paramètres!$A$1:$I$89,3,0)*0.475*44/12</f>
        <v>1.7755315506748319</v>
      </c>
      <c r="FT118" s="22">
        <f t="shared" si="78"/>
        <v>6.8031902165515259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66.85912814832129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66.85912814832129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>
      <c r="A119" s="10">
        <f t="shared" si="85"/>
        <v>116</v>
      </c>
      <c r="B119" s="73">
        <f>'Scénario référence'!$B$16*5+'Scénario référence'!$B$17*0+'Scénario référence'!$B$18*5</f>
        <v>4.6999999999999993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6.1888320000000068</v>
      </c>
      <c r="D119" s="11">
        <f t="shared" si="86"/>
        <v>2.3068401764078201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20.134170972932747</v>
      </c>
      <c r="H119" s="67">
        <f t="shared" si="56"/>
        <v>202.52996237391031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66.913615253010406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-2.2737367544323206E-13</v>
      </c>
      <c r="O119" s="13">
        <f>N119*VLOOKUP('Données projet'!$B$9,Paramètres!$A$1:$I$89,3,0)*VLOOKUP('Données projet'!$B$9,Paramètres!$A$1:$I$89,5,0)</f>
        <v>-1.3596945791505279E-13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366.93249569585623</v>
      </c>
      <c r="T119" s="59">
        <f t="shared" si="88"/>
        <v>272.47262353368501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75.130994364129492</v>
      </c>
      <c r="AA119" s="21">
        <f>EXP(-LN(2)/25)*AA118+(1-EXP(-LN(2)/25))/(LN(2)/25)*Calculateur!V119*Calculateur!X119*VLOOKUP('Données projet'!$B$9,Paramètres!$A$1:$I$89,3,0)*0.475*44/12</f>
        <v>19.071283988770059</v>
      </c>
      <c r="AB119" s="21">
        <f>EXP(-LN(2)/2)*AB118+(1-EXP(-LN(2)/2))/(LN(2)/2)*V119*Y119*VLOOKUP('Données projet'!$B$9,Paramètres!$A$1:$I$89,3,0)*0.475*44/12</f>
        <v>2.6976258392795069E-4</v>
      </c>
      <c r="AC119" s="22">
        <f t="shared" si="57"/>
        <v>94.202548115483481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66.913615253010406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1.1368683772161603E-13</v>
      </c>
      <c r="AJ119" s="13">
        <f>AI119*VLOOKUP('Données projet'!$B$10,Paramètres!$A$1:$I$89,3,0)*VLOOKUP('Données projet'!$B$10,Paramètres!$A$1:$I$89,5,0)</f>
        <v>5.3205440053716299E-14</v>
      </c>
      <c r="AK119" s="13">
        <f t="shared" si="89"/>
        <v>8.602146238565607E-13</v>
      </c>
      <c r="AL119" s="20">
        <f t="shared" si="58"/>
        <v>1.590873277977066E-12</v>
      </c>
      <c r="AM119" s="59">
        <f t="shared" si="59"/>
        <v>282.01658926103977</v>
      </c>
      <c r="AN119" s="59">
        <f ca="1">AVERAGE(OFFSET($AM$3,0,0,'Données projet'!$E$10+1,1))-AVERAGE(OFFSET($H$3,0,0,'Données projet'!$E$10+1,1))</f>
        <v>382.89338473200229</v>
      </c>
      <c r="AO119" s="59">
        <f t="shared" si="90"/>
        <v>360.46248248971744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148.18424605353215</v>
      </c>
      <c r="AV119" s="21">
        <f>EXP(-LN(2)/25)*AV118+(1-EXP(-LN(2)/25))/(LN(2)/25)*Calculateur!AQ119*Calculateur!AS119*VLOOKUP('Données projet'!$B$10,Paramètres!$A$1:$I$89,3,0)*0.475*44/12</f>
        <v>40.141456134541166</v>
      </c>
      <c r="AW119" s="21">
        <f>EXP(-LN(2)/2)*AW118+(1-EXP(-LN(2)/2))/(LN(2)/2)*AQ119*AT119*VLOOKUP('Données projet'!$B$10,Paramètres!$A$1:$I$89,3,0)*0.475*44/12</f>
        <v>0.86682620552663536</v>
      </c>
      <c r="AX119" s="21">
        <f t="shared" si="60"/>
        <v>189.19252839359996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66.913615253010406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>
        <f>BD119*VLOOKUP('Données projet'!$B$11,Paramètres!$A$1:$I$89,3,0)*VLOOKUP('Données projet'!$B$11,Paramètres!$A$1:$I$89,5,0)</f>
        <v>0</v>
      </c>
      <c r="BF119" s="13" t="e">
        <f t="shared" si="91"/>
        <v>#NUM!</v>
      </c>
      <c r="BG119" s="20" t="e">
        <f t="shared" si="61"/>
        <v>#NUM!</v>
      </c>
      <c r="BH119" s="59" t="e">
        <f t="shared" si="62"/>
        <v>#NUM!</v>
      </c>
      <c r="BI119" s="59">
        <f ca="1">AVERAGE(OFFSET($BH$3,0,0,'Données projet'!$E$11+1,1))-AVERAGE(OFFSET($H$3,0,0,'Données projet'!$E$11+1,1))</f>
        <v>225.75484198243581</v>
      </c>
      <c r="BJ119" s="59">
        <f t="shared" si="92"/>
        <v>199.49566488421061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5.4010687418064416</v>
      </c>
      <c r="BQ119" s="21">
        <f>EXP(-LN(2)/25)*BQ118+(1-EXP(-LN(2)/25))/(LN(2)/25)*Calculateur!BL119*Calculateur!BN119*VLOOKUP('Données projet'!$B$11,Paramètres!$A$1:$I$89,3,0)*0.475*44/12</f>
        <v>25.959175924756089</v>
      </c>
      <c r="BR119" s="21">
        <f>EXP(-LN(2)/2)*BR118+(1-EXP(-LN(2)/2))/(LN(2)/2)*BL119*BO119*VLOOKUP('Données projet'!$B$11,Paramètres!$A$1:$I$89,3,0)*0.475*44/12</f>
        <v>0</v>
      </c>
      <c r="BS119" s="22">
        <f t="shared" si="63"/>
        <v>31.360244666562529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66.913615253010406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3.6</v>
      </c>
      <c r="BY119" s="12">
        <f>IF('Données projet'!$A$114&gt;35,BY118+BX119-CG118,IF(A119&lt;'Données projet'!$A$114,$BV$205^A119,IF(A119='Données projet'!$A$114,'Données projet'!$B$114,BY118+BX119-CG118)))</f>
        <v>270.60000000000002</v>
      </c>
      <c r="BZ119" s="13">
        <f>BY119*VLOOKUP('Données projet'!$B$12,Paramètres!$A$1:$I$89,3,0)*VLOOKUP('Données projet'!$B$12,Paramètres!$A$1:$I$89,5,0)</f>
        <v>257.50296000000003</v>
      </c>
      <c r="CA119" s="13">
        <f t="shared" si="93"/>
        <v>62.189811354397172</v>
      </c>
      <c r="CB119" s="20">
        <f t="shared" si="64"/>
        <v>556.79824344224187</v>
      </c>
      <c r="CC119" s="59">
        <f t="shared" si="65"/>
        <v>838.81483270327999</v>
      </c>
      <c r="CD119" s="59">
        <f ca="1">AVERAGE(OFFSET($CC$3,0,0,'Données projet'!$E$12+1,1))-AVERAGE(OFFSET($H$3,0,0,'Données projet'!$E$12+1,1))</f>
        <v>413.9352601863377</v>
      </c>
      <c r="CE119" s="59">
        <f t="shared" si="94"/>
        <v>255.13997349799286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14.89705163457964</v>
      </c>
      <c r="CL119" s="21">
        <f>EXP(-LN(2)/25)*CL118+(1-EXP(-LN(2)/25))/(LN(2)/25)*Calculateur!CG119*Calculateur!CI119*VLOOKUP('Données projet'!$B$12,Paramètres!$A$1:$I$89,3,0)*0.475*44/12</f>
        <v>15.777606230932602</v>
      </c>
      <c r="CM119" s="21">
        <f>EXP(-LN(2)/2)*CM118+(1-EXP(-LN(2)/2))/(LN(2)/2)*CG119*CJ119*VLOOKUP('Données projet'!$B$12,Paramètres!$A$1:$I$89,3,0)*0.475*44/12</f>
        <v>3.5116458139499245</v>
      </c>
      <c r="CN119" s="22">
        <f t="shared" si="66"/>
        <v>34.186303679462164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66.913615253010406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2.8421709430404007E-14</v>
      </c>
      <c r="CU119" s="17">
        <f>CT119*VLOOKUP('Données projet'!$B$13,Paramètres!$A$1:$I$89,3,0)*VLOOKUP('Données projet'!$B$13,Paramètres!$A$1:$I$89,5,0)</f>
        <v>2.4829205358400945E-14</v>
      </c>
      <c r="CV119" s="13">
        <f t="shared" si="95"/>
        <v>4.3867331143352915E-13</v>
      </c>
      <c r="CW119" s="20">
        <f t="shared" si="67"/>
        <v>8.0726688341261168E-13</v>
      </c>
      <c r="CX119" s="59">
        <f t="shared" si="68"/>
        <v>282.01658926103897</v>
      </c>
      <c r="CY119" s="59">
        <f ca="1">AVERAGE(OFFSET($CX$3,0,0,'Données projet'!$E$13+1,1))-AVERAGE(OFFSET($H$3,0,0,'Données projet'!$E$13+1,1))</f>
        <v>280.59827778697775</v>
      </c>
      <c r="CZ119" s="59">
        <f t="shared" si="96"/>
        <v>270.86588231964726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>
        <f>EXP(-LN(2)/35)*DF118+(1-EXP(-LN(2)/35))/(LN(2)/35)*DB119*DC119*VLOOKUP('Données projet'!$B$13,Paramètres!$A$1:$I$89,3,0)*0.475*44/12</f>
        <v>16.169680917525838</v>
      </c>
      <c r="DG119" s="21">
        <f>EXP(-LN(2)/25)*DG118+(1-EXP(-LN(2)/25))/(LN(2)/25)*Calculateur!DB119*Calculateur!DD119*VLOOKUP('Données projet'!$B$13,Paramètres!$A$1:$I$89,3,0)*0.475*44/12</f>
        <v>13.451221690331854</v>
      </c>
      <c r="DH119" s="21">
        <f>EXP(-LN(2)/2)*DH118+(1-EXP(-LN(2)/2))/(LN(2)/2)*DB119*DE119*VLOOKUP('Données projet'!$B$13,Paramètres!$A$1:$I$89,3,0)*0.475*44/12</f>
        <v>1.7336441665889024E-4</v>
      </c>
      <c r="DI119" s="22">
        <f t="shared" si="69"/>
        <v>29.621075972274355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66.913615253010406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>
        <f>DO119*VLOOKUP('Données projet'!$B$14,Paramètres!$A$1:$I$89,3,0)*VLOOKUP('Données projet'!$B$14,Paramètres!$A$1:$I$89,5,0)</f>
        <v>0</v>
      </c>
      <c r="DQ119" s="13" t="e">
        <f t="shared" si="97"/>
        <v>#NUM!</v>
      </c>
      <c r="DR119" s="20" t="e">
        <f t="shared" si="70"/>
        <v>#NUM!</v>
      </c>
      <c r="DS119" s="59" t="e">
        <f t="shared" si="71"/>
        <v>#NUM!</v>
      </c>
      <c r="DT119" s="59">
        <f ca="1">AVERAGE(OFFSET($DS$3,0,0,'Données projet'!$E$14+1,1))-AVERAGE(OFFSET($H$3,0,0,'Données projet'!$E$14+1,1))</f>
        <v>211.42385430331873</v>
      </c>
      <c r="DU119" s="59">
        <f t="shared" si="98"/>
        <v>146.84623106782686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>
        <f>EXP(-LN(2)/35)*EA118+(1-EXP(-LN(2)/35))/(LN(2)/35)*DW119*DX119*VLOOKUP('Données projet'!$B$14,Paramètres!$A$1:$I$89,3,0)*0.475*44/12</f>
        <v>23.785565353933162</v>
      </c>
      <c r="EB119" s="21">
        <f>EXP(-LN(2)/25)*EB118+(1-EXP(-LN(2)/25))/(LN(2)/25)*Calculateur!DW119*Calculateur!DY119*VLOOKUP('Données projet'!$B$14,Paramètres!$A$1:$I$89,3,0)*0.475*44/12</f>
        <v>24.775260457302611</v>
      </c>
      <c r="EC119" s="21">
        <f>EXP(-LN(2)/2)*EC118+(1-EXP(-LN(2)/2))/(LN(2)/2)*DW119*DZ119*VLOOKUP('Données projet'!$B$14,Paramètres!$A$1:$I$89,3,0)*0.475*44/12</f>
        <v>20.774675920330637</v>
      </c>
      <c r="ED119" s="22">
        <f t="shared" si="72"/>
        <v>69.33550173156641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66.913615253010406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1.9230769230769227</v>
      </c>
      <c r="EJ119" s="12">
        <f>IF('Données projet'!$A$192&gt;35,EJ118+EI119-ER118,IF(A119&lt;'Données projet'!$A$192,$EG$205^A119,IF(A119='Données projet'!$A$192,'Données projet'!$B$192,EJ118+EI119-ER118)))</f>
        <v>114.74358974358965</v>
      </c>
      <c r="EK119" s="17">
        <f>EJ119*VLOOKUP('Données projet'!$B$15,Paramètres!$A$1:$I$89,3,0)*VLOOKUP('Données projet'!$B$15,Paramètres!$A$1:$I$89,5,0)</f>
        <v>123.50999999999989</v>
      </c>
      <c r="EL119" s="13">
        <f t="shared" si="99"/>
        <v>32.492270463729284</v>
      </c>
      <c r="EM119" s="20">
        <f t="shared" si="73"/>
        <v>271.70395439099497</v>
      </c>
      <c r="EN119" s="59">
        <f t="shared" si="74"/>
        <v>553.72054365203314</v>
      </c>
      <c r="EO119" s="59">
        <f ca="1">AVERAGE(OFFSET($EN$3,0,0,'Données projet'!$E$15+1,1))-AVERAGE(OFFSET($H$3,0,0,'Données projet'!$E$15+1,1))</f>
        <v>212.00478362779876</v>
      </c>
      <c r="EP119" s="59">
        <f t="shared" si="100"/>
        <v>133.62262474506707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>
        <f>EXP(-LN(2)/35)*EV118+(1-EXP(-LN(2)/35))/(LN(2)/35)*ER119*ES119*VLOOKUP('Données projet'!$B$15,Paramètres!$A$1:$I$89,3,0)*0.475*44/12</f>
        <v>0</v>
      </c>
      <c r="EW119" s="21">
        <f>EXP(-LN(2)/25)*EW118+(1-EXP(-LN(2)/25))/(LN(2)/25)*Calculateur!ER119*Calculateur!ET119*VLOOKUP('Données projet'!$B$15,Paramètres!$A$1:$I$89,3,0)*0.475*44/12</f>
        <v>5.4422938418274187</v>
      </c>
      <c r="EX119" s="21">
        <f>EXP(-LN(2)/2)*EX118+(1-EXP(-LN(2)/2))/(LN(2)/2)*ER119*EU119*VLOOKUP('Données projet'!$B$15,Paramètres!$A$1:$I$89,3,0)*0.475*44/12</f>
        <v>1.3972393157871927</v>
      </c>
      <c r="EY119" s="22">
        <f t="shared" si="75"/>
        <v>6.8395331576146114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66.913615253010406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1.9230769230769227</v>
      </c>
      <c r="FE119" s="12">
        <f>IF('Données projet'!$A$218&gt;35,FE118+FD119-FM118,IF(A119&lt;'Données projet'!$A$218,$FB$205^A119,IF(A119='Données projet'!$A$218,'Données projet'!$B$218,FE118+FD119-FM118)))</f>
        <v>114.74358974358965</v>
      </c>
      <c r="FF119" s="17">
        <f>FE119*VLOOKUP('Données projet'!$B$16,Paramètres!$A$1:$I$89,3,0)*VLOOKUP('Données projet'!$B$16,Paramètres!$A$1:$I$89,5,0)</f>
        <v>110.9799999999999</v>
      </c>
      <c r="FG119" s="13">
        <f t="shared" si="101"/>
        <v>29.561760889846717</v>
      </c>
      <c r="FH119" s="20">
        <f t="shared" si="76"/>
        <v>244.77690021648286</v>
      </c>
      <c r="FI119" s="59">
        <f t="shared" si="77"/>
        <v>526.79348947752101</v>
      </c>
      <c r="FJ119" s="59">
        <f ca="1">AVERAGE(OFFSET($FI$3,0,0,'Données projet'!$E$16+1,1))-AVERAGE(OFFSET($H$3,0,0,'Données projet'!$E$16+1,1))</f>
        <v>196.65742339093146</v>
      </c>
      <c r="FK119" s="59">
        <f t="shared" si="102"/>
        <v>125.41980634506001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>
        <f>EXP(-LN(2)/35)*FQ118+(1-EXP(-LN(2)/35))/(LN(2)/35)*FM119*FN119*VLOOKUP('Données projet'!$B$16,Paramètres!$A$1:$I$89,3,0)*0.475*44/12</f>
        <v>0</v>
      </c>
      <c r="FR119" s="21">
        <f>EXP(-LN(2)/25)*FR118+(1-EXP(-LN(2)/25))/(LN(2)/25)*Calculateur!FM119*Calculateur!FO119*VLOOKUP('Données projet'!$B$16,Paramètres!$A$1:$I$89,3,0)*0.475*44/12</f>
        <v>4.8901770752652176</v>
      </c>
      <c r="FS119" s="21">
        <f>EXP(-LN(2)/2)*FS118+(1-EXP(-LN(2)/2))/(LN(2)/2)*FM119*FP119*VLOOKUP('Données projet'!$B$16,Paramètres!$A$1:$I$89,3,0)*0.475*44/12</f>
        <v>1.2554903996928399</v>
      </c>
      <c r="FT119" s="22">
        <f t="shared" si="78"/>
        <v>6.1456674749580573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66.913615253010406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66.913615253010406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>
      <c r="A120" s="10">
        <f t="shared" si="85"/>
        <v>117</v>
      </c>
      <c r="B120" s="73">
        <f>'Scénario référence'!$B$16*5+'Scénario référence'!$B$17*0+'Scénario référence'!$B$18*5</f>
        <v>4.6999999999999993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6.2421840000000071</v>
      </c>
      <c r="D120" s="11">
        <f t="shared" si="86"/>
        <v>2.3244031468340327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20.167015801340678</v>
      </c>
      <c r="H120" s="67">
        <f t="shared" si="56"/>
        <v>202.6534726140693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66.967157128248104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-2.2737367544323206E-13</v>
      </c>
      <c r="O120" s="13">
        <f>N120*VLOOKUP('Données projet'!$B$9,Paramètres!$A$1:$I$89,3,0)*VLOOKUP('Données projet'!$B$9,Paramètres!$A$1:$I$89,5,0)</f>
        <v>-1.3596945791505279E-13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366.93249569585623</v>
      </c>
      <c r="T120" s="59">
        <f t="shared" si="88"/>
        <v>272.47262353368501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73.657721390030588</v>
      </c>
      <c r="AA120" s="21">
        <f>EXP(-LN(2)/25)*AA119+(1-EXP(-LN(2)/25))/(LN(2)/25)*Calculateur!V120*Calculateur!X120*VLOOKUP('Données projet'!$B$9,Paramètres!$A$1:$I$89,3,0)*0.475*44/12</f>
        <v>18.549778725181906</v>
      </c>
      <c r="AB120" s="21">
        <f>EXP(-LN(2)/2)*AB119+(1-EXP(-LN(2)/2))/(LN(2)/2)*V120*Y120*VLOOKUP('Données projet'!$B$9,Paramètres!$A$1:$I$89,3,0)*0.475*44/12</f>
        <v>1.907509524058591E-4</v>
      </c>
      <c r="AC120" s="22">
        <f t="shared" si="57"/>
        <v>92.207690866164896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66.967157128248104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1.1368683772161603E-13</v>
      </c>
      <c r="AJ120" s="13">
        <f>AI120*VLOOKUP('Données projet'!$B$10,Paramètres!$A$1:$I$89,3,0)*VLOOKUP('Données projet'!$B$10,Paramètres!$A$1:$I$89,5,0)</f>
        <v>5.3205440053716299E-14</v>
      </c>
      <c r="AK120" s="13">
        <f t="shared" si="89"/>
        <v>8.602146238565607E-13</v>
      </c>
      <c r="AL120" s="20">
        <f t="shared" si="58"/>
        <v>1.590873277977066E-12</v>
      </c>
      <c r="AM120" s="59">
        <f t="shared" si="59"/>
        <v>282.21290947024465</v>
      </c>
      <c r="AN120" s="59">
        <f ca="1">AVERAGE(OFFSET($AM$3,0,0,'Données projet'!$E$10+1,1))-AVERAGE(OFFSET($H$3,0,0,'Données projet'!$E$10+1,1))</f>
        <v>382.89338473200229</v>
      </c>
      <c r="AO120" s="59">
        <f t="shared" si="90"/>
        <v>360.46248248971744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145.27844337188785</v>
      </c>
      <c r="AV120" s="21">
        <f>EXP(-LN(2)/25)*AV119+(1-EXP(-LN(2)/25))/(LN(2)/25)*Calculateur!AQ120*Calculateur!AS120*VLOOKUP('Données projet'!$B$10,Paramètres!$A$1:$I$89,3,0)*0.475*44/12</f>
        <v>39.043785905594703</v>
      </c>
      <c r="AW120" s="21">
        <f>EXP(-LN(2)/2)*AW119+(1-EXP(-LN(2)/2))/(LN(2)/2)*AQ120*AT120*VLOOKUP('Données projet'!$B$10,Paramètres!$A$1:$I$89,3,0)*0.475*44/12</f>
        <v>0.61293868803808782</v>
      </c>
      <c r="AX120" s="21">
        <f t="shared" si="60"/>
        <v>184.93516796552066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66.967157128248104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>
        <f>BD120*VLOOKUP('Données projet'!$B$11,Paramètres!$A$1:$I$89,3,0)*VLOOKUP('Données projet'!$B$11,Paramètres!$A$1:$I$89,5,0)</f>
        <v>0</v>
      </c>
      <c r="BF120" s="13" t="e">
        <f t="shared" si="91"/>
        <v>#NUM!</v>
      </c>
      <c r="BG120" s="20" t="e">
        <f t="shared" si="61"/>
        <v>#NUM!</v>
      </c>
      <c r="BH120" s="59" t="e">
        <f t="shared" si="62"/>
        <v>#NUM!</v>
      </c>
      <c r="BI120" s="59">
        <f ca="1">AVERAGE(OFFSET($BH$3,0,0,'Données projet'!$E$11+1,1))-AVERAGE(OFFSET($H$3,0,0,'Données projet'!$E$11+1,1))</f>
        <v>225.75484198243581</v>
      </c>
      <c r="BJ120" s="59">
        <f t="shared" si="92"/>
        <v>199.49566488421061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5.2951570781062625</v>
      </c>
      <c r="BQ120" s="21">
        <f>EXP(-LN(2)/25)*BQ119+(1-EXP(-LN(2)/25))/(LN(2)/25)*Calculateur!BL120*Calculateur!BN120*VLOOKUP('Données projet'!$B$11,Paramètres!$A$1:$I$89,3,0)*0.475*44/12</f>
        <v>25.249320893959901</v>
      </c>
      <c r="BR120" s="21">
        <f>EXP(-LN(2)/2)*BR119+(1-EXP(-LN(2)/2))/(LN(2)/2)*BL120*BO120*VLOOKUP('Données projet'!$B$11,Paramètres!$A$1:$I$89,3,0)*0.475*44/12</f>
        <v>0</v>
      </c>
      <c r="BS120" s="22">
        <f t="shared" si="63"/>
        <v>30.544477972066161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66.967157128248104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3.6</v>
      </c>
      <c r="BY120" s="12">
        <f>IF('Données projet'!$A$114&gt;35,BY119+BX120-CG119,IF(A120&lt;'Données projet'!$A$114,$BV$205^A120,IF(A120='Données projet'!$A$114,'Données projet'!$B$114,BY119+BX120-CG119)))</f>
        <v>274.20000000000005</v>
      </c>
      <c r="BZ120" s="13">
        <f>BY120*VLOOKUP('Données projet'!$B$12,Paramètres!$A$1:$I$89,3,0)*VLOOKUP('Données projet'!$B$12,Paramètres!$A$1:$I$89,5,0)</f>
        <v>260.92872000000006</v>
      </c>
      <c r="CA120" s="13">
        <f t="shared" si="93"/>
        <v>62.920302429198031</v>
      </c>
      <c r="CB120" s="20">
        <f t="shared" si="64"/>
        <v>564.03704739752004</v>
      </c>
      <c r="CC120" s="59">
        <f t="shared" si="65"/>
        <v>846.2499568677631</v>
      </c>
      <c r="CD120" s="59">
        <f ca="1">AVERAGE(OFFSET($CC$3,0,0,'Données projet'!$E$12+1,1))-AVERAGE(OFFSET($H$3,0,0,'Données projet'!$E$12+1,1))</f>
        <v>413.9352601863377</v>
      </c>
      <c r="CE120" s="59">
        <f t="shared" si="94"/>
        <v>255.13997349799286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14.604929538329833</v>
      </c>
      <c r="CL120" s="21">
        <f>EXP(-LN(2)/25)*CL119+(1-EXP(-LN(2)/25))/(LN(2)/25)*Calculateur!CG120*Calculateur!CI120*VLOOKUP('Données projet'!$B$12,Paramètres!$A$1:$I$89,3,0)*0.475*44/12</f>
        <v>15.346166758839498</v>
      </c>
      <c r="CM120" s="21">
        <f>EXP(-LN(2)/2)*CM119+(1-EXP(-LN(2)/2))/(LN(2)/2)*CG120*CJ120*VLOOKUP('Données projet'!$B$12,Paramètres!$A$1:$I$89,3,0)*0.475*44/12</f>
        <v>2.483108568169345</v>
      </c>
      <c r="CN120" s="22">
        <f t="shared" si="66"/>
        <v>32.434204865338671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66.967157128248104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2.8421709430404007E-14</v>
      </c>
      <c r="CU120" s="17">
        <f>CT120*VLOOKUP('Données projet'!$B$13,Paramètres!$A$1:$I$89,3,0)*VLOOKUP('Données projet'!$B$13,Paramètres!$A$1:$I$89,5,0)</f>
        <v>2.4829205358400945E-14</v>
      </c>
      <c r="CV120" s="13">
        <f t="shared" si="95"/>
        <v>4.3867331143352915E-13</v>
      </c>
      <c r="CW120" s="20">
        <f t="shared" si="67"/>
        <v>8.0726688341261168E-13</v>
      </c>
      <c r="CX120" s="59">
        <f t="shared" si="68"/>
        <v>282.21290947024386</v>
      </c>
      <c r="CY120" s="59">
        <f ca="1">AVERAGE(OFFSET($CX$3,0,0,'Données projet'!$E$13+1,1))-AVERAGE(OFFSET($H$3,0,0,'Données projet'!$E$13+1,1))</f>
        <v>280.59827778697775</v>
      </c>
      <c r="CZ120" s="59">
        <f t="shared" si="96"/>
        <v>270.86588231964726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>
        <f>EXP(-LN(2)/35)*DF119+(1-EXP(-LN(2)/35))/(LN(2)/35)*DB120*DC120*VLOOKUP('Données projet'!$B$13,Paramètres!$A$1:$I$89,3,0)*0.475*44/12</f>
        <v>15.852603337264672</v>
      </c>
      <c r="DG120" s="21">
        <f>EXP(-LN(2)/25)*DG119+(1-EXP(-LN(2)/25))/(LN(2)/25)*Calculateur!DB120*Calculateur!DD120*VLOOKUP('Données projet'!$B$13,Paramètres!$A$1:$I$89,3,0)*0.475*44/12</f>
        <v>13.083397325840725</v>
      </c>
      <c r="DH120" s="21">
        <f>EXP(-LN(2)/2)*DH119+(1-EXP(-LN(2)/2))/(LN(2)/2)*DB120*DE120*VLOOKUP('Données projet'!$B$13,Paramètres!$A$1:$I$89,3,0)*0.475*44/12</f>
        <v>1.2258715463595135E-4</v>
      </c>
      <c r="DI120" s="22">
        <f t="shared" si="69"/>
        <v>28.936123250260032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66.967157128248104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>
        <f>DO120*VLOOKUP('Données projet'!$B$14,Paramètres!$A$1:$I$89,3,0)*VLOOKUP('Données projet'!$B$14,Paramètres!$A$1:$I$89,5,0)</f>
        <v>0</v>
      </c>
      <c r="DQ120" s="13" t="e">
        <f t="shared" si="97"/>
        <v>#NUM!</v>
      </c>
      <c r="DR120" s="20" t="e">
        <f t="shared" si="70"/>
        <v>#NUM!</v>
      </c>
      <c r="DS120" s="59" t="e">
        <f t="shared" si="71"/>
        <v>#NUM!</v>
      </c>
      <c r="DT120" s="59">
        <f ca="1">AVERAGE(OFFSET($DS$3,0,0,'Données projet'!$E$14+1,1))-AVERAGE(OFFSET($H$3,0,0,'Données projet'!$E$14+1,1))</f>
        <v>211.42385430331873</v>
      </c>
      <c r="DU120" s="59">
        <f t="shared" si="98"/>
        <v>146.84623106782686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>
        <f>EXP(-LN(2)/35)*EA119+(1-EXP(-LN(2)/35))/(LN(2)/35)*DW120*DX120*VLOOKUP('Données projet'!$B$14,Paramètres!$A$1:$I$89,3,0)*0.475*44/12</f>
        <v>23.319144925104876</v>
      </c>
      <c r="EB120" s="21">
        <f>EXP(-LN(2)/25)*EB119+(1-EXP(-LN(2)/25))/(LN(2)/25)*Calculateur!DW120*Calculateur!DY120*VLOOKUP('Données projet'!$B$14,Paramètres!$A$1:$I$89,3,0)*0.475*44/12</f>
        <v>24.097779657223349</v>
      </c>
      <c r="EC120" s="21">
        <f>EXP(-LN(2)/2)*EC119+(1-EXP(-LN(2)/2))/(LN(2)/2)*DW120*DZ120*VLOOKUP('Données projet'!$B$14,Paramètres!$A$1:$I$89,3,0)*0.475*44/12</f>
        <v>14.689914220218675</v>
      </c>
      <c r="ED120" s="22">
        <f t="shared" si="72"/>
        <v>62.106838802546896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66.967157128248104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1.9230769230769227</v>
      </c>
      <c r="EJ120" s="12">
        <f>IF('Données projet'!$A$192&gt;35,EJ119+EI120-ER119,IF(A120&lt;'Données projet'!$A$192,$EG$205^A120,IF(A120='Données projet'!$A$192,'Données projet'!$B$192,EJ119+EI120-ER119)))</f>
        <v>116.66666666666657</v>
      </c>
      <c r="EK120" s="17">
        <f>EJ120*VLOOKUP('Données projet'!$B$15,Paramètres!$A$1:$I$89,3,0)*VLOOKUP('Données projet'!$B$15,Paramètres!$A$1:$I$89,5,0)</f>
        <v>125.5799999999999</v>
      </c>
      <c r="EL120" s="13">
        <f t="shared" si="99"/>
        <v>32.972980053624184</v>
      </c>
      <c r="EM120" s="20">
        <f t="shared" si="73"/>
        <v>276.14644026006192</v>
      </c>
      <c r="EN120" s="59">
        <f t="shared" si="74"/>
        <v>558.35934973030498</v>
      </c>
      <c r="EO120" s="59">
        <f ca="1">AVERAGE(OFFSET($EN$3,0,0,'Données projet'!$E$15+1,1))-AVERAGE(OFFSET($H$3,0,0,'Données projet'!$E$15+1,1))</f>
        <v>212.00478362779876</v>
      </c>
      <c r="EP120" s="59">
        <f t="shared" si="100"/>
        <v>133.62262474506707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>
        <f>EXP(-LN(2)/35)*EV119+(1-EXP(-LN(2)/35))/(LN(2)/35)*ER120*ES120*VLOOKUP('Données projet'!$B$15,Paramètres!$A$1:$I$89,3,0)*0.475*44/12</f>
        <v>0</v>
      </c>
      <c r="EW120" s="21">
        <f>EXP(-LN(2)/25)*EW119+(1-EXP(-LN(2)/25))/(LN(2)/25)*Calculateur!ER120*Calculateur!ET120*VLOOKUP('Données projet'!$B$15,Paramètres!$A$1:$I$89,3,0)*0.475*44/12</f>
        <v>5.2934740305248535</v>
      </c>
      <c r="EX120" s="21">
        <f>EXP(-LN(2)/2)*EX119+(1-EXP(-LN(2)/2))/(LN(2)/2)*ER120*EU120*VLOOKUP('Données projet'!$B$15,Paramètres!$A$1:$I$89,3,0)*0.475*44/12</f>
        <v>0.98799739513357598</v>
      </c>
      <c r="EY120" s="22">
        <f t="shared" si="75"/>
        <v>6.2814714256584292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66.967157128248104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1.9230769230769227</v>
      </c>
      <c r="FE120" s="12">
        <f>IF('Données projet'!$A$218&gt;35,FE119+FD120-FM119,IF(A120&lt;'Données projet'!$A$218,$FB$205^A120,IF(A120='Données projet'!$A$218,'Données projet'!$B$218,FE119+FD120-FM119)))</f>
        <v>116.66666666666657</v>
      </c>
      <c r="FF120" s="17">
        <f>FE120*VLOOKUP('Données projet'!$B$16,Paramètres!$A$1:$I$89,3,0)*VLOOKUP('Données projet'!$B$16,Paramètres!$A$1:$I$89,5,0)</f>
        <v>112.8399999999999</v>
      </c>
      <c r="FG120" s="13">
        <f t="shared" si="101"/>
        <v>29.999114812829497</v>
      </c>
      <c r="FH120" s="20">
        <f t="shared" si="76"/>
        <v>248.77812496567788</v>
      </c>
      <c r="FI120" s="59">
        <f t="shared" si="77"/>
        <v>530.99103443592094</v>
      </c>
      <c r="FJ120" s="59">
        <f ca="1">AVERAGE(OFFSET($FI$3,0,0,'Données projet'!$E$16+1,1))-AVERAGE(OFFSET($H$3,0,0,'Données projet'!$E$16+1,1))</f>
        <v>196.65742339093146</v>
      </c>
      <c r="FK120" s="59">
        <f t="shared" si="102"/>
        <v>125.41980634506001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>
        <f>EXP(-LN(2)/35)*FQ119+(1-EXP(-LN(2)/35))/(LN(2)/35)*FM120*FN120*VLOOKUP('Données projet'!$B$16,Paramètres!$A$1:$I$89,3,0)*0.475*44/12</f>
        <v>0</v>
      </c>
      <c r="FR120" s="21">
        <f>EXP(-LN(2)/25)*FR119+(1-EXP(-LN(2)/25))/(LN(2)/25)*Calculateur!FM120*Calculateur!FO120*VLOOKUP('Données projet'!$B$16,Paramètres!$A$1:$I$89,3,0)*0.475*44/12</f>
        <v>4.7564549259788542</v>
      </c>
      <c r="FS120" s="21">
        <f>EXP(-LN(2)/2)*FS119+(1-EXP(-LN(2)/2))/(LN(2)/2)*FM120*FP120*VLOOKUP('Données projet'!$B$16,Paramètres!$A$1:$I$89,3,0)*0.475*44/12</f>
        <v>0.88776577533741607</v>
      </c>
      <c r="FT120" s="22">
        <f t="shared" si="78"/>
        <v>5.6442207013162706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66.967157128248104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66.967157128248104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>
      <c r="A121" s="10">
        <f t="shared" si="85"/>
        <v>118</v>
      </c>
      <c r="B121" s="73">
        <f>'Scénario référence'!$B$16*5+'Scénario référence'!$B$17*0+'Scénario référence'!$B$18*5</f>
        <v>4.6999999999999993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6.2955360000000073</v>
      </c>
      <c r="D121" s="11">
        <f t="shared" si="86"/>
        <v>2.3419486528202005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20.199852540955323</v>
      </c>
      <c r="H121" s="67">
        <f t="shared" si="56"/>
        <v>202.7769524369952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67.019770171652112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-2.2737367544323206E-13</v>
      </c>
      <c r="O121" s="13">
        <f>N121*VLOOKUP('Données projet'!$B$9,Paramètres!$A$1:$I$89,3,0)*VLOOKUP('Données projet'!$B$9,Paramètres!$A$1:$I$89,5,0)</f>
        <v>-1.3596945791505279E-13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366.93249569585623</v>
      </c>
      <c r="T121" s="59">
        <f t="shared" si="88"/>
        <v>272.47262353368501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72.213338400345989</v>
      </c>
      <c r="AA121" s="21">
        <f>EXP(-LN(2)/25)*AA120+(1-EXP(-LN(2)/25))/(LN(2)/25)*Calculateur!V121*Calculateur!X121*VLOOKUP('Données projet'!$B$9,Paramètres!$A$1:$I$89,3,0)*0.475*44/12</f>
        <v>18.042534050451341</v>
      </c>
      <c r="AB121" s="21">
        <f>EXP(-LN(2)/2)*AB120+(1-EXP(-LN(2)/2))/(LN(2)/2)*V121*Y121*VLOOKUP('Données projet'!$B$9,Paramètres!$A$1:$I$89,3,0)*0.475*44/12</f>
        <v>1.3488129196397535E-4</v>
      </c>
      <c r="AC121" s="22">
        <f t="shared" si="57"/>
        <v>90.256007332089297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67.019770171652112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1.1368683772161603E-13</v>
      </c>
      <c r="AJ121" s="13">
        <f>AI121*VLOOKUP('Données projet'!$B$10,Paramètres!$A$1:$I$89,3,0)*VLOOKUP('Données projet'!$B$10,Paramètres!$A$1:$I$89,5,0)</f>
        <v>5.3205440053716299E-14</v>
      </c>
      <c r="AK121" s="13">
        <f t="shared" si="89"/>
        <v>8.602146238565607E-13</v>
      </c>
      <c r="AL121" s="20">
        <f t="shared" si="58"/>
        <v>1.590873277977066E-12</v>
      </c>
      <c r="AM121" s="59">
        <f t="shared" si="59"/>
        <v>282.405823962726</v>
      </c>
      <c r="AN121" s="59">
        <f ca="1">AVERAGE(OFFSET($AM$3,0,0,'Données projet'!$E$10+1,1))-AVERAGE(OFFSET($H$3,0,0,'Données projet'!$E$10+1,1))</f>
        <v>382.89338473200229</v>
      </c>
      <c r="AO121" s="59">
        <f t="shared" si="90"/>
        <v>360.46248248971744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142.42962170846596</v>
      </c>
      <c r="AV121" s="21">
        <f>EXP(-LN(2)/25)*AV120+(1-EXP(-LN(2)/25))/(LN(2)/25)*Calculateur!AQ121*Calculateur!AS121*VLOOKUP('Données projet'!$B$10,Paramètres!$A$1:$I$89,3,0)*0.475*44/12</f>
        <v>37.976131526782751</v>
      </c>
      <c r="AW121" s="21">
        <f>EXP(-LN(2)/2)*AW120+(1-EXP(-LN(2)/2))/(LN(2)/2)*AQ121*AT121*VLOOKUP('Données projet'!$B$10,Paramètres!$A$1:$I$89,3,0)*0.475*44/12</f>
        <v>0.43341310276331768</v>
      </c>
      <c r="AX121" s="21">
        <f t="shared" si="60"/>
        <v>180.83916633801203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67.019770171652112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>
        <f>BD121*VLOOKUP('Données projet'!$B$11,Paramètres!$A$1:$I$89,3,0)*VLOOKUP('Données projet'!$B$11,Paramètres!$A$1:$I$89,5,0)</f>
        <v>0</v>
      </c>
      <c r="BF121" s="13" t="e">
        <f t="shared" si="91"/>
        <v>#NUM!</v>
      </c>
      <c r="BG121" s="20" t="e">
        <f t="shared" si="61"/>
        <v>#NUM!</v>
      </c>
      <c r="BH121" s="59" t="e">
        <f t="shared" si="62"/>
        <v>#NUM!</v>
      </c>
      <c r="BI121" s="59">
        <f ca="1">AVERAGE(OFFSET($BH$3,0,0,'Données projet'!$E$11+1,1))-AVERAGE(OFFSET($H$3,0,0,'Données projet'!$E$11+1,1))</f>
        <v>225.75484198243581</v>
      </c>
      <c r="BJ121" s="59">
        <f t="shared" si="92"/>
        <v>199.49566488421061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5.1913222775315075</v>
      </c>
      <c r="BQ121" s="21">
        <f>EXP(-LN(2)/25)*BQ120+(1-EXP(-LN(2)/25))/(LN(2)/25)*Calculateur!BL121*Calculateur!BN121*VLOOKUP('Données projet'!$B$11,Paramètres!$A$1:$I$89,3,0)*0.475*44/12</f>
        <v>24.55887688631049</v>
      </c>
      <c r="BR121" s="21">
        <f>EXP(-LN(2)/2)*BR120+(1-EXP(-LN(2)/2))/(LN(2)/2)*BL121*BO121*VLOOKUP('Données projet'!$B$11,Paramètres!$A$1:$I$89,3,0)*0.475*44/12</f>
        <v>0</v>
      </c>
      <c r="BS121" s="22">
        <f t="shared" si="63"/>
        <v>29.750199163841998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67.019770171652112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3.6</v>
      </c>
      <c r="BY121" s="12">
        <f>IF('Données projet'!$A$114&gt;35,BY120+BX121-CG120,IF(A121&lt;'Données projet'!$A$114,$BV$205^A121,IF(A121='Données projet'!$A$114,'Données projet'!$B$114,BY120+BX121-CG120)))</f>
        <v>277.80000000000007</v>
      </c>
      <c r="BZ121" s="13">
        <f>BY121*VLOOKUP('Données projet'!$B$12,Paramètres!$A$1:$I$89,3,0)*VLOOKUP('Données projet'!$B$12,Paramètres!$A$1:$I$89,5,0)</f>
        <v>264.35448000000002</v>
      </c>
      <c r="CA121" s="13">
        <f t="shared" si="93"/>
        <v>63.649677966098189</v>
      </c>
      <c r="CB121" s="20">
        <f t="shared" si="64"/>
        <v>571.27390845762102</v>
      </c>
      <c r="CC121" s="59">
        <f t="shared" si="65"/>
        <v>853.67973242034543</v>
      </c>
      <c r="CD121" s="59">
        <f ca="1">AVERAGE(OFFSET($CC$3,0,0,'Données projet'!$E$12+1,1))-AVERAGE(OFFSET($H$3,0,0,'Données projet'!$E$12+1,1))</f>
        <v>413.9352601863377</v>
      </c>
      <c r="CE121" s="59">
        <f t="shared" si="94"/>
        <v>255.13997349799286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14.318535778210599</v>
      </c>
      <c r="CL121" s="21">
        <f>EXP(-LN(2)/25)*CL120+(1-EXP(-LN(2)/25))/(LN(2)/25)*Calculateur!CG121*Calculateur!CI121*VLOOKUP('Données projet'!$B$12,Paramètres!$A$1:$I$89,3,0)*0.475*44/12</f>
        <v>14.926525021799197</v>
      </c>
      <c r="CM121" s="21">
        <f>EXP(-LN(2)/2)*CM120+(1-EXP(-LN(2)/2))/(LN(2)/2)*CG121*CJ121*VLOOKUP('Données projet'!$B$12,Paramètres!$A$1:$I$89,3,0)*0.475*44/12</f>
        <v>1.7558229069749625</v>
      </c>
      <c r="CN121" s="22">
        <f t="shared" si="66"/>
        <v>31.000883706984759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67.019770171652112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2.8421709430404007E-14</v>
      </c>
      <c r="CU121" s="17">
        <f>CT121*VLOOKUP('Données projet'!$B$13,Paramètres!$A$1:$I$89,3,0)*VLOOKUP('Données projet'!$B$13,Paramètres!$A$1:$I$89,5,0)</f>
        <v>2.4829205358400945E-14</v>
      </c>
      <c r="CV121" s="13">
        <f t="shared" si="95"/>
        <v>4.3867331143352915E-13</v>
      </c>
      <c r="CW121" s="20">
        <f t="shared" si="67"/>
        <v>8.0726688341261168E-13</v>
      </c>
      <c r="CX121" s="59">
        <f t="shared" si="68"/>
        <v>282.40582396272521</v>
      </c>
      <c r="CY121" s="59">
        <f ca="1">AVERAGE(OFFSET($CX$3,0,0,'Données projet'!$E$13+1,1))-AVERAGE(OFFSET($H$3,0,0,'Données projet'!$E$13+1,1))</f>
        <v>280.59827778697775</v>
      </c>
      <c r="CZ121" s="59">
        <f t="shared" si="96"/>
        <v>270.86588231964726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>
        <f>EXP(-LN(2)/35)*DF120+(1-EXP(-LN(2)/35))/(LN(2)/35)*DB121*DC121*VLOOKUP('Données projet'!$B$13,Paramètres!$A$1:$I$89,3,0)*0.475*44/12</f>
        <v>15.541743454954199</v>
      </c>
      <c r="DG121" s="21">
        <f>EXP(-LN(2)/25)*DG120+(1-EXP(-LN(2)/25))/(LN(2)/25)*Calculateur!DB121*Calculateur!DD121*VLOOKUP('Données projet'!$B$13,Paramètres!$A$1:$I$89,3,0)*0.475*44/12</f>
        <v>12.725631137939647</v>
      </c>
      <c r="DH121" s="21">
        <f>EXP(-LN(2)/2)*DH120+(1-EXP(-LN(2)/2))/(LN(2)/2)*DB121*DE121*VLOOKUP('Données projet'!$B$13,Paramètres!$A$1:$I$89,3,0)*0.475*44/12</f>
        <v>8.668220832944512E-5</v>
      </c>
      <c r="DI121" s="22">
        <f t="shared" si="69"/>
        <v>28.267461275102175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67.019770171652112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>
        <f>DO121*VLOOKUP('Données projet'!$B$14,Paramètres!$A$1:$I$89,3,0)*VLOOKUP('Données projet'!$B$14,Paramètres!$A$1:$I$89,5,0)</f>
        <v>0</v>
      </c>
      <c r="DQ121" s="13" t="e">
        <f t="shared" si="97"/>
        <v>#NUM!</v>
      </c>
      <c r="DR121" s="20" t="e">
        <f t="shared" si="70"/>
        <v>#NUM!</v>
      </c>
      <c r="DS121" s="59" t="e">
        <f t="shared" si="71"/>
        <v>#NUM!</v>
      </c>
      <c r="DT121" s="59">
        <f ca="1">AVERAGE(OFFSET($DS$3,0,0,'Données projet'!$E$14+1,1))-AVERAGE(OFFSET($H$3,0,0,'Données projet'!$E$14+1,1))</f>
        <v>211.42385430331873</v>
      </c>
      <c r="DU121" s="59">
        <f t="shared" si="98"/>
        <v>146.84623106782686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>
        <f>EXP(-LN(2)/35)*EA120+(1-EXP(-LN(2)/35))/(LN(2)/35)*DW121*DX121*VLOOKUP('Données projet'!$B$14,Paramètres!$A$1:$I$89,3,0)*0.475*44/12</f>
        <v>22.861870716397544</v>
      </c>
      <c r="EB121" s="21">
        <f>EXP(-LN(2)/25)*EB120+(1-EXP(-LN(2)/25))/(LN(2)/25)*Calculateur!DW121*Calculateur!DY121*VLOOKUP('Données projet'!$B$14,Paramètres!$A$1:$I$89,3,0)*0.475*44/12</f>
        <v>23.438824605249419</v>
      </c>
      <c r="EC121" s="21">
        <f>EXP(-LN(2)/2)*EC120+(1-EXP(-LN(2)/2))/(LN(2)/2)*DW121*DZ121*VLOOKUP('Données projet'!$B$14,Paramètres!$A$1:$I$89,3,0)*0.475*44/12</f>
        <v>10.38733796016532</v>
      </c>
      <c r="ED121" s="22">
        <f t="shared" si="72"/>
        <v>56.688033281812281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67.019770171652112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1.9230769230769227</v>
      </c>
      <c r="EJ121" s="12">
        <f>IF('Données projet'!$A$192&gt;35,EJ120+EI121-ER120,IF(A121&lt;'Données projet'!$A$192,$EG$205^A121,IF(A121='Données projet'!$A$192,'Données projet'!$B$192,EJ120+EI121-ER120)))</f>
        <v>118.58974358974349</v>
      </c>
      <c r="EK121" s="17">
        <f>EJ121*VLOOKUP('Données projet'!$B$15,Paramètres!$A$1:$I$89,3,0)*VLOOKUP('Données projet'!$B$15,Paramètres!$A$1:$I$89,5,0)</f>
        <v>127.64999999999989</v>
      </c>
      <c r="EL121" s="13">
        <f t="shared" si="99"/>
        <v>33.452768155152675</v>
      </c>
      <c r="EM121" s="20">
        <f t="shared" si="73"/>
        <v>280.58732120355739</v>
      </c>
      <c r="EN121" s="59">
        <f t="shared" si="74"/>
        <v>562.99314516628181</v>
      </c>
      <c r="EO121" s="59">
        <f ca="1">AVERAGE(OFFSET($EN$3,0,0,'Données projet'!$E$15+1,1))-AVERAGE(OFFSET($H$3,0,0,'Données projet'!$E$15+1,1))</f>
        <v>212.00478362779876</v>
      </c>
      <c r="EP121" s="59">
        <f t="shared" si="100"/>
        <v>133.62262474506707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>
        <f>EXP(-LN(2)/35)*EV120+(1-EXP(-LN(2)/35))/(LN(2)/35)*ER121*ES121*VLOOKUP('Données projet'!$B$15,Paramètres!$A$1:$I$89,3,0)*0.475*44/12</f>
        <v>0</v>
      </c>
      <c r="EW121" s="21">
        <f>EXP(-LN(2)/25)*EW120+(1-EXP(-LN(2)/25))/(LN(2)/25)*Calculateur!ER121*Calculateur!ET121*VLOOKUP('Données projet'!$B$15,Paramètres!$A$1:$I$89,3,0)*0.475*44/12</f>
        <v>5.1487237047884502</v>
      </c>
      <c r="EX121" s="21">
        <f>EXP(-LN(2)/2)*EX120+(1-EXP(-LN(2)/2))/(LN(2)/2)*ER121*EU121*VLOOKUP('Données projet'!$B$15,Paramètres!$A$1:$I$89,3,0)*0.475*44/12</f>
        <v>0.69861965789359648</v>
      </c>
      <c r="EY121" s="22">
        <f t="shared" si="75"/>
        <v>5.8473433626820466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67.019770171652112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1.9230769230769227</v>
      </c>
      <c r="FE121" s="12">
        <f>IF('Données projet'!$A$218&gt;35,FE120+FD121-FM120,IF(A121&lt;'Données projet'!$A$218,$FB$205^A121,IF(A121='Données projet'!$A$218,'Données projet'!$B$218,FE120+FD121-FM120)))</f>
        <v>118.58974358974349</v>
      </c>
      <c r="FF121" s="17">
        <f>FE121*VLOOKUP('Données projet'!$B$16,Paramètres!$A$1:$I$89,3,0)*VLOOKUP('Données projet'!$B$16,Paramètres!$A$1:$I$89,5,0)</f>
        <v>114.6999999999999</v>
      </c>
      <c r="FG121" s="13">
        <f t="shared" si="101"/>
        <v>30.435630357380635</v>
      </c>
      <c r="FH121" s="20">
        <f t="shared" si="76"/>
        <v>252.77788953910442</v>
      </c>
      <c r="FI121" s="59">
        <f t="shared" si="77"/>
        <v>535.18371350182883</v>
      </c>
      <c r="FJ121" s="59">
        <f ca="1">AVERAGE(OFFSET($FI$3,0,0,'Données projet'!$E$16+1,1))-AVERAGE(OFFSET($H$3,0,0,'Données projet'!$E$16+1,1))</f>
        <v>196.65742339093146</v>
      </c>
      <c r="FK121" s="59">
        <f t="shared" si="102"/>
        <v>125.41980634506001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>
        <f>EXP(-LN(2)/35)*FQ120+(1-EXP(-LN(2)/35))/(LN(2)/35)*FM121*FN121*VLOOKUP('Données projet'!$B$16,Paramètres!$A$1:$I$89,3,0)*0.475*44/12</f>
        <v>0</v>
      </c>
      <c r="FR121" s="21">
        <f>EXP(-LN(2)/25)*FR120+(1-EXP(-LN(2)/25))/(LN(2)/25)*Calculateur!FM121*Calculateur!FO121*VLOOKUP('Données projet'!$B$16,Paramètres!$A$1:$I$89,3,0)*0.475*44/12</f>
        <v>4.6263894158968686</v>
      </c>
      <c r="FS121" s="21">
        <f>EXP(-LN(2)/2)*FS120+(1-EXP(-LN(2)/2))/(LN(2)/2)*FM121*FP121*VLOOKUP('Données projet'!$B$16,Paramètres!$A$1:$I$89,3,0)*0.475*44/12</f>
        <v>0.62774519984641997</v>
      </c>
      <c r="FT121" s="22">
        <f t="shared" si="78"/>
        <v>5.2541346157432889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67.019770171652112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67.019770171652112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>
      <c r="A122" s="10">
        <f t="shared" si="85"/>
        <v>119</v>
      </c>
      <c r="B122" s="73">
        <f>'Scénario référence'!$B$16*5+'Scénario référence'!$B$17*0+'Scénario référence'!$B$18*5</f>
        <v>4.6999999999999993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6.3488880000000076</v>
      </c>
      <c r="D122" s="11">
        <f t="shared" si="86"/>
        <v>2.3594768595201878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20.232681268269001</v>
      </c>
      <c r="H122" s="67">
        <f t="shared" si="56"/>
        <v>202.90040213033103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67.071470496378197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-2.2737367544323206E-13</v>
      </c>
      <c r="O122" s="13">
        <f>N122*VLOOKUP('Données projet'!$B$9,Paramètres!$A$1:$I$89,3,0)*VLOOKUP('Données projet'!$B$9,Paramètres!$A$1:$I$89,5,0)</f>
        <v>-1.3596945791505279E-13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366.93249569585623</v>
      </c>
      <c r="T122" s="59">
        <f t="shared" si="88"/>
        <v>272.47262353368501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70.797278880102468</v>
      </c>
      <c r="AA122" s="21">
        <f>EXP(-LN(2)/25)*AA121+(1-EXP(-LN(2)/25))/(LN(2)/25)*Calculateur!V122*Calculateur!X122*VLOOKUP('Données projet'!$B$9,Paramètres!$A$1:$I$89,3,0)*0.475*44/12</f>
        <v>17.549160008026121</v>
      </c>
      <c r="AB122" s="21">
        <f>EXP(-LN(2)/2)*AB121+(1-EXP(-LN(2)/2))/(LN(2)/2)*V122*Y122*VLOOKUP('Données projet'!$B$9,Paramètres!$A$1:$I$89,3,0)*0.475*44/12</f>
        <v>9.5375476202929548E-5</v>
      </c>
      <c r="AC122" s="22">
        <f t="shared" si="57"/>
        <v>88.346534263604795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67.071470496378197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1.1368683772161603E-13</v>
      </c>
      <c r="AJ122" s="13">
        <f>AI122*VLOOKUP('Données projet'!$B$10,Paramètres!$A$1:$I$89,3,0)*VLOOKUP('Données projet'!$B$10,Paramètres!$A$1:$I$89,5,0)</f>
        <v>5.3205440053716299E-14</v>
      </c>
      <c r="AK122" s="13">
        <f t="shared" si="89"/>
        <v>8.602146238565607E-13</v>
      </c>
      <c r="AL122" s="20">
        <f t="shared" si="58"/>
        <v>1.590873277977066E-12</v>
      </c>
      <c r="AM122" s="59">
        <f t="shared" si="59"/>
        <v>282.595391820055</v>
      </c>
      <c r="AN122" s="59">
        <f ca="1">AVERAGE(OFFSET($AM$3,0,0,'Données projet'!$E$10+1,1))-AVERAGE(OFFSET($H$3,0,0,'Données projet'!$E$10+1,1))</f>
        <v>382.89338473200229</v>
      </c>
      <c r="AO122" s="59">
        <f t="shared" si="90"/>
        <v>360.46248248971744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139.63666370025413</v>
      </c>
      <c r="AV122" s="21">
        <f>EXP(-LN(2)/25)*AV121+(1-EXP(-LN(2)/25))/(LN(2)/25)*Calculateur!AQ122*Calculateur!AS122*VLOOKUP('Données projet'!$B$10,Paramètres!$A$1:$I$89,3,0)*0.475*44/12</f>
        <v>36.937672213104918</v>
      </c>
      <c r="AW122" s="21">
        <f>EXP(-LN(2)/2)*AW121+(1-EXP(-LN(2)/2))/(LN(2)/2)*AQ122*AT122*VLOOKUP('Données projet'!$B$10,Paramètres!$A$1:$I$89,3,0)*0.475*44/12</f>
        <v>0.30646934401904391</v>
      </c>
      <c r="AX122" s="21">
        <f t="shared" si="60"/>
        <v>176.88080525737809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67.071470496378197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>
        <f>BD122*VLOOKUP('Données projet'!$B$11,Paramètres!$A$1:$I$89,3,0)*VLOOKUP('Données projet'!$B$11,Paramètres!$A$1:$I$89,5,0)</f>
        <v>0</v>
      </c>
      <c r="BF122" s="13" t="e">
        <f t="shared" si="91"/>
        <v>#NUM!</v>
      </c>
      <c r="BG122" s="20" t="e">
        <f t="shared" si="61"/>
        <v>#NUM!</v>
      </c>
      <c r="BH122" s="59" t="e">
        <f t="shared" si="62"/>
        <v>#NUM!</v>
      </c>
      <c r="BI122" s="59">
        <f ca="1">AVERAGE(OFFSET($BH$3,0,0,'Données projet'!$E$11+1,1))-AVERAGE(OFFSET($H$3,0,0,'Données projet'!$E$11+1,1))</f>
        <v>225.75484198243581</v>
      </c>
      <c r="BJ122" s="59">
        <f t="shared" si="92"/>
        <v>199.49566488421061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5.0895236140630482</v>
      </c>
      <c r="BQ122" s="21">
        <f>EXP(-LN(2)/25)*BQ121+(1-EXP(-LN(2)/25))/(LN(2)/25)*Calculateur!BL122*Calculateur!BN122*VLOOKUP('Données projet'!$B$11,Paramètres!$A$1:$I$89,3,0)*0.475*44/12</f>
        <v>23.887313106359123</v>
      </c>
      <c r="BR122" s="21">
        <f>EXP(-LN(2)/2)*BR121+(1-EXP(-LN(2)/2))/(LN(2)/2)*BL122*BO122*VLOOKUP('Données projet'!$B$11,Paramètres!$A$1:$I$89,3,0)*0.475*44/12</f>
        <v>0</v>
      </c>
      <c r="BS122" s="22">
        <f t="shared" si="63"/>
        <v>28.97683672042217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67.071470496378197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3.6</v>
      </c>
      <c r="BY122" s="12">
        <f>IF('Données projet'!$A$114&gt;35,BY121+BX122-CG121,IF(A122&lt;'Données projet'!$A$114,$BV$205^A122,IF(A122='Données projet'!$A$114,'Données projet'!$B$114,BY121+BX122-CG121)))</f>
        <v>281.40000000000009</v>
      </c>
      <c r="BZ122" s="13">
        <f>BY122*VLOOKUP('Données projet'!$B$12,Paramètres!$A$1:$I$89,3,0)*VLOOKUP('Données projet'!$B$12,Paramètres!$A$1:$I$89,5,0)</f>
        <v>267.78024000000011</v>
      </c>
      <c r="CA122" s="13">
        <f t="shared" si="93"/>
        <v>64.377954092757676</v>
      </c>
      <c r="CB122" s="20">
        <f t="shared" si="64"/>
        <v>578.508854711553</v>
      </c>
      <c r="CC122" s="59">
        <f t="shared" si="65"/>
        <v>861.10424653160635</v>
      </c>
      <c r="CD122" s="59">
        <f ca="1">AVERAGE(OFFSET($CC$3,0,0,'Données projet'!$E$12+1,1))-AVERAGE(OFFSET($H$3,0,0,'Données projet'!$E$12+1,1))</f>
        <v>413.9352601863377</v>
      </c>
      <c r="CE122" s="59">
        <f t="shared" si="94"/>
        <v>255.13997349799286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14.037758025044358</v>
      </c>
      <c r="CL122" s="21">
        <f>EXP(-LN(2)/25)*CL121+(1-EXP(-LN(2)/25))/(LN(2)/25)*Calculateur!CG122*Calculateur!CI122*VLOOKUP('Données projet'!$B$12,Paramètres!$A$1:$I$89,3,0)*0.475*44/12</f>
        <v>14.518358410126263</v>
      </c>
      <c r="CM122" s="21">
        <f>EXP(-LN(2)/2)*CM121+(1-EXP(-LN(2)/2))/(LN(2)/2)*CG122*CJ122*VLOOKUP('Données projet'!$B$12,Paramètres!$A$1:$I$89,3,0)*0.475*44/12</f>
        <v>1.2415542840846727</v>
      </c>
      <c r="CN122" s="22">
        <f t="shared" si="66"/>
        <v>29.797670719255294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67.071470496378197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2.8421709430404007E-14</v>
      </c>
      <c r="CU122" s="17">
        <f>CT122*VLOOKUP('Données projet'!$B$13,Paramètres!$A$1:$I$89,3,0)*VLOOKUP('Données projet'!$B$13,Paramètres!$A$1:$I$89,5,0)</f>
        <v>2.4829205358400945E-14</v>
      </c>
      <c r="CV122" s="13">
        <f t="shared" si="95"/>
        <v>4.3867331143352915E-13</v>
      </c>
      <c r="CW122" s="20">
        <f t="shared" si="67"/>
        <v>8.0726688341261168E-13</v>
      </c>
      <c r="CX122" s="59">
        <f t="shared" si="68"/>
        <v>282.5953918200542</v>
      </c>
      <c r="CY122" s="59">
        <f ca="1">AVERAGE(OFFSET($CX$3,0,0,'Données projet'!$E$13+1,1))-AVERAGE(OFFSET($H$3,0,0,'Données projet'!$E$13+1,1))</f>
        <v>280.59827778697775</v>
      </c>
      <c r="CZ122" s="59">
        <f t="shared" si="96"/>
        <v>270.86588231964726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>
        <f>EXP(-LN(2)/35)*DF121+(1-EXP(-LN(2)/35))/(LN(2)/35)*DB122*DC122*VLOOKUP('Données projet'!$B$13,Paramètres!$A$1:$I$89,3,0)*0.475*44/12</f>
        <v>15.236979345330029</v>
      </c>
      <c r="DG122" s="21">
        <f>EXP(-LN(2)/25)*DG121+(1-EXP(-LN(2)/25))/(LN(2)/25)*Calculateur!DB122*Calculateur!DD122*VLOOKUP('Données projet'!$B$13,Paramètres!$A$1:$I$89,3,0)*0.475*44/12</f>
        <v>12.37764808526083</v>
      </c>
      <c r="DH122" s="21">
        <f>EXP(-LN(2)/2)*DH121+(1-EXP(-LN(2)/2))/(LN(2)/2)*DB122*DE122*VLOOKUP('Données projet'!$B$13,Paramètres!$A$1:$I$89,3,0)*0.475*44/12</f>
        <v>6.1293577317975676E-5</v>
      </c>
      <c r="DI122" s="22">
        <f t="shared" si="69"/>
        <v>27.614688724168175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67.071470496378197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>
        <f>DO122*VLOOKUP('Données projet'!$B$14,Paramètres!$A$1:$I$89,3,0)*VLOOKUP('Données projet'!$B$14,Paramètres!$A$1:$I$89,5,0)</f>
        <v>0</v>
      </c>
      <c r="DQ122" s="13" t="e">
        <f t="shared" si="97"/>
        <v>#NUM!</v>
      </c>
      <c r="DR122" s="20" t="e">
        <f t="shared" si="70"/>
        <v>#NUM!</v>
      </c>
      <c r="DS122" s="59" t="e">
        <f t="shared" si="71"/>
        <v>#NUM!</v>
      </c>
      <c r="DT122" s="59">
        <f ca="1">AVERAGE(OFFSET($DS$3,0,0,'Données projet'!$E$14+1,1))-AVERAGE(OFFSET($H$3,0,0,'Données projet'!$E$14+1,1))</f>
        <v>211.42385430331873</v>
      </c>
      <c r="DU122" s="59">
        <f t="shared" si="98"/>
        <v>146.84623106782686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>
        <f>EXP(-LN(2)/35)*EA121+(1-EXP(-LN(2)/35))/(LN(2)/35)*DW122*DX122*VLOOKUP('Données projet'!$B$14,Paramètres!$A$1:$I$89,3,0)*0.475*44/12</f>
        <v>22.413563376013233</v>
      </c>
      <c r="EB122" s="21">
        <f>EXP(-LN(2)/25)*EB121+(1-EXP(-LN(2)/25))/(LN(2)/25)*Calculateur!DW122*Calculateur!DY122*VLOOKUP('Données projet'!$B$14,Paramètres!$A$1:$I$89,3,0)*0.475*44/12</f>
        <v>22.797888713824658</v>
      </c>
      <c r="EC122" s="21">
        <f>EXP(-LN(2)/2)*EC121+(1-EXP(-LN(2)/2))/(LN(2)/2)*DW122*DZ122*VLOOKUP('Données projet'!$B$14,Paramètres!$A$1:$I$89,3,0)*0.475*44/12</f>
        <v>7.3449571101093385</v>
      </c>
      <c r="ED122" s="22">
        <f t="shared" si="72"/>
        <v>52.556409199947232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67.071470496378197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1.9230769230769227</v>
      </c>
      <c r="EJ122" s="12">
        <f>IF('Données projet'!$A$192&gt;35,EJ121+EI122-ER121,IF(A122&lt;'Données projet'!$A$192,$EG$205^A122,IF(A122='Données projet'!$A$192,'Données projet'!$B$192,EJ121+EI122-ER121)))</f>
        <v>120.51282051282041</v>
      </c>
      <c r="EK122" s="17">
        <f>EJ122*VLOOKUP('Données projet'!$B$15,Paramètres!$A$1:$I$89,3,0)*VLOOKUP('Données projet'!$B$15,Paramètres!$A$1:$I$89,5,0)</f>
        <v>129.71999999999989</v>
      </c>
      <c r="EL122" s="13">
        <f t="shared" si="99"/>
        <v>33.931651436477885</v>
      </c>
      <c r="EM122" s="20">
        <f t="shared" si="73"/>
        <v>285.02662625186548</v>
      </c>
      <c r="EN122" s="59">
        <f t="shared" si="74"/>
        <v>567.62201807191889</v>
      </c>
      <c r="EO122" s="59">
        <f ca="1">AVERAGE(OFFSET($EN$3,0,0,'Données projet'!$E$15+1,1))-AVERAGE(OFFSET($H$3,0,0,'Données projet'!$E$15+1,1))</f>
        <v>212.00478362779876</v>
      </c>
      <c r="EP122" s="59">
        <f t="shared" si="100"/>
        <v>133.62262474506707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>
        <f>EXP(-LN(2)/35)*EV121+(1-EXP(-LN(2)/35))/(LN(2)/35)*ER122*ES122*VLOOKUP('Données projet'!$B$15,Paramètres!$A$1:$I$89,3,0)*0.475*44/12</f>
        <v>0</v>
      </c>
      <c r="EW122" s="21">
        <f>EXP(-LN(2)/25)*EW121+(1-EXP(-LN(2)/25))/(LN(2)/25)*Calculateur!ER122*Calculateur!ET122*VLOOKUP('Données projet'!$B$15,Paramètres!$A$1:$I$89,3,0)*0.475*44/12</f>
        <v>5.0079315843213976</v>
      </c>
      <c r="EX122" s="21">
        <f>EXP(-LN(2)/2)*EX121+(1-EXP(-LN(2)/2))/(LN(2)/2)*ER122*EU122*VLOOKUP('Données projet'!$B$15,Paramètres!$A$1:$I$89,3,0)*0.475*44/12</f>
        <v>0.49399869756678805</v>
      </c>
      <c r="EY122" s="22">
        <f t="shared" si="75"/>
        <v>5.5019302818881854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67.071470496378197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1.9230769230769227</v>
      </c>
      <c r="FE122" s="12">
        <f>IF('Données projet'!$A$218&gt;35,FE121+FD122-FM121,IF(A122&lt;'Données projet'!$A$218,$FB$205^A122,IF(A122='Données projet'!$A$218,'Données projet'!$B$218,FE121+FD122-FM121)))</f>
        <v>120.51282051282041</v>
      </c>
      <c r="FF122" s="17">
        <f>FE122*VLOOKUP('Données projet'!$B$16,Paramètres!$A$1:$I$89,3,0)*VLOOKUP('Données projet'!$B$16,Paramètres!$A$1:$I$89,5,0)</f>
        <v>116.55999999999992</v>
      </c>
      <c r="FG122" s="13">
        <f t="shared" si="101"/>
        <v>30.871322688345497</v>
      </c>
      <c r="FH122" s="20">
        <f t="shared" si="76"/>
        <v>256.77622034886826</v>
      </c>
      <c r="FI122" s="59">
        <f t="shared" si="77"/>
        <v>539.37161216892173</v>
      </c>
      <c r="FJ122" s="59">
        <f ca="1">AVERAGE(OFFSET($FI$3,0,0,'Données projet'!$E$16+1,1))-AVERAGE(OFFSET($H$3,0,0,'Données projet'!$E$16+1,1))</f>
        <v>196.65742339093146</v>
      </c>
      <c r="FK122" s="59">
        <f t="shared" si="102"/>
        <v>125.41980634506001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>
        <f>EXP(-LN(2)/35)*FQ121+(1-EXP(-LN(2)/35))/(LN(2)/35)*FM122*FN122*VLOOKUP('Données projet'!$B$16,Paramètres!$A$1:$I$89,3,0)*0.475*44/12</f>
        <v>0</v>
      </c>
      <c r="FR122" s="21">
        <f>EXP(-LN(2)/25)*FR121+(1-EXP(-LN(2)/25))/(LN(2)/25)*Calculateur!FM122*Calculateur!FO122*VLOOKUP('Données projet'!$B$16,Paramètres!$A$1:$I$89,3,0)*0.475*44/12</f>
        <v>4.4998805540279232</v>
      </c>
      <c r="FS122" s="21">
        <f>EXP(-LN(2)/2)*FS121+(1-EXP(-LN(2)/2))/(LN(2)/2)*FM122*FP122*VLOOKUP('Données projet'!$B$16,Paramètres!$A$1:$I$89,3,0)*0.475*44/12</f>
        <v>0.44388288766870804</v>
      </c>
      <c r="FT122" s="22">
        <f t="shared" si="78"/>
        <v>4.943763441696631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67.071470496378197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67.071470496378197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>
      <c r="A123" s="10">
        <f t="shared" si="85"/>
        <v>120</v>
      </c>
      <c r="B123" s="73">
        <f>'Scénario référence'!$B$16*5+'Scénario référence'!$B$17*0+'Scénario référence'!$B$18*5</f>
        <v>4.6999999999999993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6.4022400000000079</v>
      </c>
      <c r="D123" s="11">
        <f t="shared" si="86"/>
        <v>2.3769879291519502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20.265502058414238</v>
      </c>
      <c r="H123" s="67">
        <f t="shared" si="56"/>
        <v>203.02382197660634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67.122273936054924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-2.2737367544323206E-13</v>
      </c>
      <c r="O123" s="13">
        <f>N123*VLOOKUP('Données projet'!$B$9,Paramètres!$A$1:$I$89,3,0)*VLOOKUP('Données projet'!$B$9,Paramètres!$A$1:$I$89,5,0)</f>
        <v>-1.3596945791505279E-13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366.93249569585623</v>
      </c>
      <c r="T123" s="59">
        <f t="shared" si="88"/>
        <v>272.47262353368501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69.408987423339894</v>
      </c>
      <c r="AA123" s="21">
        <f>EXP(-LN(2)/25)*AA122+(1-EXP(-LN(2)/25))/(LN(2)/25)*Calculateur!V123*Calculateur!X123*VLOOKUP('Données projet'!$B$9,Paramètres!$A$1:$I$89,3,0)*0.475*44/12</f>
        <v>17.069277304736431</v>
      </c>
      <c r="AB123" s="21">
        <f>EXP(-LN(2)/2)*AB122+(1-EXP(-LN(2)/2))/(LN(2)/2)*V123*Y123*VLOOKUP('Données projet'!$B$9,Paramètres!$A$1:$I$89,3,0)*0.475*44/12</f>
        <v>6.7440645981987673E-5</v>
      </c>
      <c r="AC123" s="22">
        <f t="shared" si="57"/>
        <v>86.478332168722304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67.122273936054924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1.1368683772161603E-13</v>
      </c>
      <c r="AJ123" s="13">
        <f>AI123*VLOOKUP('Données projet'!$B$10,Paramètres!$A$1:$I$89,3,0)*VLOOKUP('Données projet'!$B$10,Paramètres!$A$1:$I$89,5,0)</f>
        <v>5.3205440053716299E-14</v>
      </c>
      <c r="AK123" s="13">
        <f t="shared" si="89"/>
        <v>8.602146238565607E-13</v>
      </c>
      <c r="AL123" s="20">
        <f t="shared" si="58"/>
        <v>1.590873277977066E-12</v>
      </c>
      <c r="AM123" s="59">
        <f t="shared" si="59"/>
        <v>282.78167109886965</v>
      </c>
      <c r="AN123" s="59">
        <f ca="1">AVERAGE(OFFSET($AM$3,0,0,'Données projet'!$E$10+1,1))-AVERAGE(OFFSET($H$3,0,0,'Données projet'!$E$10+1,1))</f>
        <v>382.89338473200229</v>
      </c>
      <c r="AO123" s="59">
        <f t="shared" si="90"/>
        <v>360.46248248971744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136.89847389504718</v>
      </c>
      <c r="AV123" s="21">
        <f>EXP(-LN(2)/25)*AV122+(1-EXP(-LN(2)/25))/(LN(2)/25)*Calculateur!AQ123*Calculateur!AS123*VLOOKUP('Données projet'!$B$10,Paramètres!$A$1:$I$89,3,0)*0.475*44/12</f>
        <v>35.927609623969808</v>
      </c>
      <c r="AW123" s="21">
        <f>EXP(-LN(2)/2)*AW122+(1-EXP(-LN(2)/2))/(LN(2)/2)*AQ123*AT123*VLOOKUP('Données projet'!$B$10,Paramètres!$A$1:$I$89,3,0)*0.475*44/12</f>
        <v>0.21670655138165884</v>
      </c>
      <c r="AX123" s="21">
        <f t="shared" si="60"/>
        <v>173.04279007039864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67.122273936054924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>
        <f>BD123*VLOOKUP('Données projet'!$B$11,Paramètres!$A$1:$I$89,3,0)*VLOOKUP('Données projet'!$B$11,Paramètres!$A$1:$I$89,5,0)</f>
        <v>0</v>
      </c>
      <c r="BF123" s="13" t="e">
        <f t="shared" si="91"/>
        <v>#NUM!</v>
      </c>
      <c r="BG123" s="20" t="e">
        <f t="shared" si="61"/>
        <v>#NUM!</v>
      </c>
      <c r="BH123" s="59" t="e">
        <f t="shared" si="62"/>
        <v>#NUM!</v>
      </c>
      <c r="BI123" s="59">
        <f ca="1">AVERAGE(OFFSET($BH$3,0,0,'Données projet'!$E$11+1,1))-AVERAGE(OFFSET($H$3,0,0,'Données projet'!$E$11+1,1))</f>
        <v>225.75484198243581</v>
      </c>
      <c r="BJ123" s="59">
        <f t="shared" si="92"/>
        <v>199.49566488421061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4.9897211602941516</v>
      </c>
      <c r="BQ123" s="21">
        <f>EXP(-LN(2)/25)*BQ122+(1-EXP(-LN(2)/25))/(LN(2)/25)*Calculateur!BL123*Calculateur!BN123*VLOOKUP('Données projet'!$B$11,Paramètres!$A$1:$I$89,3,0)*0.475*44/12</f>
        <v>23.234113273286532</v>
      </c>
      <c r="BR123" s="21">
        <f>EXP(-LN(2)/2)*BR122+(1-EXP(-LN(2)/2))/(LN(2)/2)*BL123*BO123*VLOOKUP('Données projet'!$B$11,Paramètres!$A$1:$I$89,3,0)*0.475*44/12</f>
        <v>0</v>
      </c>
      <c r="BS123" s="22">
        <f t="shared" si="63"/>
        <v>28.223834433580684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67.122273936054924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>
        <f>VLOOKUP(A123,'Données projet'!$A$113:$I$133,2,0)</f>
        <v>285</v>
      </c>
      <c r="BW123" s="12">
        <f>VLOOKUP(A123,'Données projet'!$A$113:$I$133,9,0)</f>
        <v>3.6</v>
      </c>
      <c r="BX123" s="12">
        <f t="array" ref="BX123">INDEX(BW:BW,MIN(IF(ISNUMBER(BW123:BW319),ROW(BW123:BW319),"")))</f>
        <v>3.6</v>
      </c>
      <c r="BY123" s="12">
        <f>IF('Données projet'!$A$114&gt;35,BY122+BX123-CG122,IF(A123&lt;'Données projet'!$A$114,$BV$205^A123,IF(A123='Données projet'!$A$114,'Données projet'!$B$114,BY122+BX123-CG122)))</f>
        <v>285.00000000000011</v>
      </c>
      <c r="BZ123" s="13">
        <f>BY123*VLOOKUP('Données projet'!$B$12,Paramètres!$A$1:$I$89,3,0)*VLOOKUP('Données projet'!$B$12,Paramètres!$A$1:$I$89,5,0)</f>
        <v>271.20600000000013</v>
      </c>
      <c r="CA123" s="13">
        <f t="shared" si="93"/>
        <v>65.105146500462041</v>
      </c>
      <c r="CB123" s="20">
        <f t="shared" si="64"/>
        <v>585.74191348830493</v>
      </c>
      <c r="CC123" s="59">
        <f t="shared" si="65"/>
        <v>868.52358458717299</v>
      </c>
      <c r="CD123" s="59">
        <f ca="1">AVERAGE(OFFSET($CC$3,0,0,'Données projet'!$E$12+1,1))-AVERAGE(OFFSET($H$3,0,0,'Données projet'!$E$12+1,1))</f>
        <v>413.9352601863377</v>
      </c>
      <c r="CE123" s="59">
        <f t="shared" si="94"/>
        <v>255.13997349799286</v>
      </c>
      <c r="CF123" s="15">
        <f>IF(ISNA(VLOOKUP(A123,'Données projet'!$A$113:$I$133,3,0)),0,VLOOKUP(A123,'Données projet'!$A$113:$I$133,3,0))</f>
        <v>20</v>
      </c>
      <c r="CG123" s="15">
        <f>IF(ISNA(VLOOKUP(A123,'Données projet'!$A$113:$I$133,4,0)),0,VLOOKUP(A123,'Données projet'!$A$113:$I$133,4,0))</f>
        <v>285</v>
      </c>
      <c r="CH123" s="16">
        <f>IF(ISNA(VLOOKUP(A123,'Données projet'!$A$113:$I$133,5,0)),0%,VLOOKUP(A123,'Données projet'!$A$113:$I$133,5,0)*VLOOKUP('Données projet'!$B$12,Paramètres!$A$1:$I$89,7,0))</f>
        <v>0.1075</v>
      </c>
      <c r="CI123" s="16">
        <f>IF(ISNA(VLOOKUP(A123,'Données projet'!$A$113:$I$133,6,0)),0%,VLOOKUP(A123,'Données projet'!$A$113:$I$133,6,0)*VLOOKUP('Données projet'!$B$12,Paramètres!$A$1:$I$89,7,0))</f>
        <v>0.1075</v>
      </c>
      <c r="CJ123" s="16">
        <f>IF(ISNA(VLOOKUP(A123,'Données projet'!$A$113:$I$133,7,0)),0%,VLOOKUP(A123,'Données projet'!$A$113:$I$133,7,0))</f>
        <v>0.25</v>
      </c>
      <c r="CK123" s="21">
        <f>EXP(-LN(2)/35)*CK122+(1-EXP(-LN(2)/35))/(LN(2)/35)*CG123*CH123*VLOOKUP('Données projet'!$B$12,Paramètres!$A$1:$I$89,3,0)*0.475*44/12</f>
        <v>45.992082625658625</v>
      </c>
      <c r="CL123" s="21">
        <f>EXP(-LN(2)/25)*CL122+(1-EXP(-LN(2)/25))/(LN(2)/25)*Calculateur!CG123*Calculateur!CI123*VLOOKUP('Données projet'!$B$12,Paramètres!$A$1:$I$89,3,0)*0.475*44/12</f>
        <v>46.224049407458097</v>
      </c>
      <c r="CM123" s="21">
        <f>EXP(-LN(2)/2)*CM122+(1-EXP(-LN(2)/2))/(LN(2)/2)*CG123*CJ123*VLOOKUP('Données projet'!$B$12,Paramètres!$A$1:$I$89,3,0)*0.475*44/12</f>
        <v>64.850451554104708</v>
      </c>
      <c r="CN123" s="22">
        <f t="shared" si="66"/>
        <v>157.06658358722143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67.122273936054924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2.8421709430404007E-14</v>
      </c>
      <c r="CU123" s="17">
        <f>CT123*VLOOKUP('Données projet'!$B$13,Paramètres!$A$1:$I$89,3,0)*VLOOKUP('Données projet'!$B$13,Paramètres!$A$1:$I$89,5,0)</f>
        <v>2.4829205358400945E-14</v>
      </c>
      <c r="CV123" s="13">
        <f t="shared" si="95"/>
        <v>4.3867331143352915E-13</v>
      </c>
      <c r="CW123" s="20">
        <f t="shared" si="67"/>
        <v>8.0726688341261168E-13</v>
      </c>
      <c r="CX123" s="59">
        <f t="shared" si="68"/>
        <v>282.78167109886886</v>
      </c>
      <c r="CY123" s="59">
        <f ca="1">AVERAGE(OFFSET($CX$3,0,0,'Données projet'!$E$13+1,1))-AVERAGE(OFFSET($H$3,0,0,'Données projet'!$E$13+1,1))</f>
        <v>280.59827778697775</v>
      </c>
      <c r="CZ123" s="59">
        <f t="shared" si="96"/>
        <v>270.86588231964726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>
        <f>EXP(-LN(2)/35)*DF122+(1-EXP(-LN(2)/35))/(LN(2)/35)*DB123*DC123*VLOOKUP('Données projet'!$B$13,Paramètres!$A$1:$I$89,3,0)*0.475*44/12</f>
        <v>14.938191474007837</v>
      </c>
      <c r="DG123" s="21">
        <f>EXP(-LN(2)/25)*DG122+(1-EXP(-LN(2)/25))/(LN(2)/25)*Calculateur!DB123*Calculateur!DD123*VLOOKUP('Données projet'!$B$13,Paramètres!$A$1:$I$89,3,0)*0.475*44/12</f>
        <v>12.039180647457149</v>
      </c>
      <c r="DH123" s="21">
        <f>EXP(-LN(2)/2)*DH122+(1-EXP(-LN(2)/2))/(LN(2)/2)*DB123*DE123*VLOOKUP('Données projet'!$B$13,Paramètres!$A$1:$I$89,3,0)*0.475*44/12</f>
        <v>4.334110416472256E-5</v>
      </c>
      <c r="DI123" s="22">
        <f t="shared" si="69"/>
        <v>26.977415462569152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67.122273936054924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>
        <f>DO123*VLOOKUP('Données projet'!$B$14,Paramètres!$A$1:$I$89,3,0)*VLOOKUP('Données projet'!$B$14,Paramètres!$A$1:$I$89,5,0)</f>
        <v>0</v>
      </c>
      <c r="DQ123" s="13" t="e">
        <f t="shared" si="97"/>
        <v>#NUM!</v>
      </c>
      <c r="DR123" s="20" t="e">
        <f t="shared" si="70"/>
        <v>#NUM!</v>
      </c>
      <c r="DS123" s="59" t="e">
        <f t="shared" si="71"/>
        <v>#NUM!</v>
      </c>
      <c r="DT123" s="59">
        <f ca="1">AVERAGE(OFFSET($DS$3,0,0,'Données projet'!$E$14+1,1))-AVERAGE(OFFSET($H$3,0,0,'Données projet'!$E$14+1,1))</f>
        <v>211.42385430331873</v>
      </c>
      <c r="DU123" s="59">
        <f t="shared" si="98"/>
        <v>146.84623106782686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>
        <f>EXP(-LN(2)/35)*EA122+(1-EXP(-LN(2)/35))/(LN(2)/35)*DW123*DX123*VLOOKUP('Données projet'!$B$14,Paramètres!$A$1:$I$89,3,0)*0.475*44/12</f>
        <v>21.97404706913338</v>
      </c>
      <c r="EB123" s="21">
        <f>EXP(-LN(2)/25)*EB122+(1-EXP(-LN(2)/25))/(LN(2)/25)*Calculateur!DW123*Calculateur!DY123*VLOOKUP('Données projet'!$B$14,Paramètres!$A$1:$I$89,3,0)*0.475*44/12</f>
        <v>22.174479248056262</v>
      </c>
      <c r="EC123" s="21">
        <f>EXP(-LN(2)/2)*EC122+(1-EXP(-LN(2)/2))/(LN(2)/2)*DW123*DZ123*VLOOKUP('Données projet'!$B$14,Paramètres!$A$1:$I$89,3,0)*0.475*44/12</f>
        <v>5.193668980082661</v>
      </c>
      <c r="ED123" s="22">
        <f t="shared" si="72"/>
        <v>49.342195297272305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67.122273936054924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>
        <f>VLOOKUP(A123,'Données projet'!$A$191:$I$211,2,0)</f>
        <v>122.43589743589743</v>
      </c>
      <c r="EH123" s="12">
        <f>VLOOKUP(A123,'Données projet'!$A$191:$I$211,9,0)</f>
        <v>1.9230769230769227</v>
      </c>
      <c r="EI123" s="12">
        <f t="array" ref="EI123">INDEX(EH:EH,MIN(IF(ISNUMBER(EH123:EH319),ROW(EH123:EH319),"")))</f>
        <v>1.9230769230769227</v>
      </c>
      <c r="EJ123" s="12">
        <f>IF('Données projet'!$A$192&gt;35,EJ122+EI123-ER122,IF(A123&lt;'Données projet'!$A$192,$EG$205^A123,IF(A123='Données projet'!$A$192,'Données projet'!$B$192,EJ122+EI123-ER122)))</f>
        <v>122.43589743589733</v>
      </c>
      <c r="EK123" s="17">
        <f>EJ123*VLOOKUP('Données projet'!$B$15,Paramètres!$A$1:$I$89,3,0)*VLOOKUP('Données projet'!$B$15,Paramètres!$A$1:$I$89,5,0)</f>
        <v>131.78999999999988</v>
      </c>
      <c r="EL123" s="13">
        <f t="shared" si="99"/>
        <v>34.409646003291435</v>
      </c>
      <c r="EM123" s="20">
        <f t="shared" si="73"/>
        <v>289.46438345573239</v>
      </c>
      <c r="EN123" s="59">
        <f t="shared" si="74"/>
        <v>572.24605455460051</v>
      </c>
      <c r="EO123" s="59">
        <f ca="1">AVERAGE(OFFSET($EN$3,0,0,'Données projet'!$E$15+1,1))-AVERAGE(OFFSET($H$3,0,0,'Données projet'!$E$15+1,1))</f>
        <v>212.00478362779876</v>
      </c>
      <c r="EP123" s="59">
        <f t="shared" si="100"/>
        <v>133.62262474506707</v>
      </c>
      <c r="EQ123" s="15">
        <f>IF(ISNA(VLOOKUP(A123,'Données projet'!$A$191:$I$211,3,0)),0,VLOOKUP(A123,'Données projet'!$A$191:$I$211,3,0))</f>
        <v>20</v>
      </c>
      <c r="ER123" s="15">
        <f>IF(ISNA(VLOOKUP(A123,'Données projet'!$A$191:$I$211,4,0)),0,VLOOKUP(A123,'Données projet'!$A$191:$I$211,4,0))</f>
        <v>122.43589743589743</v>
      </c>
      <c r="ES123" s="16">
        <f>IF(ISNA(VLOOKUP(A123,'Données projet'!$A$191:$I$211,5,0)),0%,VLOOKUP(A123,'Données projet'!$A$191:$I$211,5,0)*VLOOKUP('Données projet'!$B$15,Paramètres!$A$1:$I$89,7,0))</f>
        <v>0.1075</v>
      </c>
      <c r="ET123" s="16">
        <f>IF(ISNA(VLOOKUP(A123,'Données projet'!$A$191:$I$211,6,0)),0%,VLOOKUP(A123,'Données projet'!$A$191:$I$211,6,0)*VLOOKUP('Données projet'!$B$15,Paramètres!$A$1:$I$89,7,0))</f>
        <v>0.1075</v>
      </c>
      <c r="EU123" s="16">
        <f>IF(ISNA(VLOOKUP(A123,'Données projet'!$A$191:$I$211,7,0)),0%,VLOOKUP(A123,'Données projet'!$A$191:$I$211,7,0))</f>
        <v>0.25</v>
      </c>
      <c r="EV123" s="21">
        <f>EXP(-LN(2)/35)*EV122+(1-EXP(-LN(2)/35))/(LN(2)/35)*ER123*ES123*VLOOKUP('Données projet'!$B$15,Paramètres!$A$1:$I$89,3,0)*0.475*44/12</f>
        <v>15.661668691754606</v>
      </c>
      <c r="EW123" s="21">
        <f>EXP(-LN(2)/25)*EW122+(1-EXP(-LN(2)/25))/(LN(2)/25)*Calculateur!ER123*Calculateur!ET123*VLOOKUP('Données projet'!$B$15,Paramètres!$A$1:$I$89,3,0)*0.475*44/12</f>
        <v>20.470992166344001</v>
      </c>
      <c r="EX123" s="21">
        <f>EXP(-LN(2)/2)*EX122+(1-EXP(-LN(2)/2))/(LN(2)/2)*ER123*EU123*VLOOKUP('Données projet'!$B$15,Paramètres!$A$1:$I$89,3,0)*0.475*44/12</f>
        <v>31.436162847907823</v>
      </c>
      <c r="EY123" s="22">
        <f t="shared" si="75"/>
        <v>67.568823706006427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67.122273936054924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>
        <f>VLOOKUP(A123,'Données projet'!$A$217:$I$237,2,0)</f>
        <v>122.43589743589743</v>
      </c>
      <c r="FC123" s="12">
        <f>VLOOKUP(A123,'Données projet'!$A$217:$I$237,9,0)</f>
        <v>1.9230769230769227</v>
      </c>
      <c r="FD123" s="12">
        <f t="array" ref="FD123">INDEX(FC:FC,MIN(IF(ISNUMBER(FC123:FC319),ROW(FC123:FC319),"")))</f>
        <v>1.9230769230769227</v>
      </c>
      <c r="FE123" s="12">
        <f>IF('Données projet'!$A$218&gt;35,FE122+FD123-FM122,IF(A123&lt;'Données projet'!$A$218,$FB$205^A123,IF(A123='Données projet'!$A$218,'Données projet'!$B$218,FE122+FD123-FM122)))</f>
        <v>122.43589743589733</v>
      </c>
      <c r="FF123" s="17">
        <f>FE123*VLOOKUP('Données projet'!$B$16,Paramètres!$A$1:$I$89,3,0)*VLOOKUP('Données projet'!$B$16,Paramètres!$A$1:$I$89,5,0)</f>
        <v>118.41999999999992</v>
      </c>
      <c r="FG123" s="13">
        <f t="shared" si="101"/>
        <v>31.306206458827482</v>
      </c>
      <c r="FH123" s="20">
        <f t="shared" si="76"/>
        <v>260.77314291579108</v>
      </c>
      <c r="FI123" s="59">
        <f t="shared" si="77"/>
        <v>543.55481401465909</v>
      </c>
      <c r="FJ123" s="59">
        <f ca="1">AVERAGE(OFFSET($FI$3,0,0,'Données projet'!$E$16+1,1))-AVERAGE(OFFSET($H$3,0,0,'Données projet'!$E$16+1,1))</f>
        <v>196.65742339093146</v>
      </c>
      <c r="FK123" s="59">
        <f t="shared" si="102"/>
        <v>125.41980634506001</v>
      </c>
      <c r="FL123" s="15">
        <f>IF(ISNA(VLOOKUP(A123,'Données projet'!$A$217:$I$237,3,0)),0,VLOOKUP(A123,'Données projet'!$A$217:$I$237,3,0))</f>
        <v>20</v>
      </c>
      <c r="FM123" s="15">
        <f>IF(ISNA(VLOOKUP(A123,'Données projet'!$A$217:$I$237,4,0)),0,VLOOKUP(A123,'Données projet'!$A$217:$I$237,4,0))</f>
        <v>122.43589743589743</v>
      </c>
      <c r="FN123" s="16">
        <f>IF(ISNA(VLOOKUP(A123,'Données projet'!$A$217:$I$237,5,0)),0%,VLOOKUP(A123,'Données projet'!$A$217:$I$237,5,0)*VLOOKUP('Données projet'!$B$16,Paramètres!$A$1:$I$89,7,0))</f>
        <v>0.1075</v>
      </c>
      <c r="FO123" s="16">
        <f>IF(ISNA(VLOOKUP(A123,'Données projet'!$A$217:$I$237,6,0)),0%,VLOOKUP(A123,'Données projet'!$A$217:$I$237,6,0)*VLOOKUP('Données projet'!$B$16,Paramètres!$A$1:$I$89,7,0))</f>
        <v>0.1075</v>
      </c>
      <c r="FP123" s="16">
        <f>IF(ISNA(VLOOKUP(A123,'Données projet'!$A$217:$I$237,7,0)),0%,VLOOKUP(A123,'Données projet'!$A$217:$I$237,7,0))</f>
        <v>0.25</v>
      </c>
      <c r="FQ123" s="21">
        <f>EXP(-LN(2)/35)*FQ122+(1-EXP(-LN(2)/35))/(LN(2)/35)*FM123*FN123*VLOOKUP('Données projet'!$B$16,Paramètres!$A$1:$I$89,3,0)*0.475*44/12</f>
        <v>14.072803752011387</v>
      </c>
      <c r="FR123" s="21">
        <f>EXP(-LN(2)/25)*FR122+(1-EXP(-LN(2)/25))/(LN(2)/25)*Calculateur!FM123*Calculateur!FO123*VLOOKUP('Données projet'!$B$16,Paramètres!$A$1:$I$89,3,0)*0.475*44/12</f>
        <v>18.394224845120696</v>
      </c>
      <c r="FS123" s="21">
        <f>EXP(-LN(2)/2)*FS122+(1-EXP(-LN(2)/2))/(LN(2)/2)*FM123*FP123*VLOOKUP('Données projet'!$B$16,Paramètres!$A$1:$I$89,3,0)*0.475*44/12</f>
        <v>28.246986906815728</v>
      </c>
      <c r="FT123" s="22">
        <f t="shared" si="78"/>
        <v>60.714015503947813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67.122273936054924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67.122273936054924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>
      <c r="A124" s="10">
        <f t="shared" si="85"/>
        <v>121</v>
      </c>
      <c r="B124" s="73">
        <f>'Scénario référence'!$B$16*5+'Scénario référence'!$B$17*0+'Scénario référence'!$B$18*5</f>
        <v>4.6999999999999993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6.4555920000000082</v>
      </c>
      <c r="D124" s="11">
        <f t="shared" si="86"/>
        <v>2.3944820210737494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20.29831498519907</v>
      </c>
      <c r="H124" s="67">
        <f t="shared" si="56"/>
        <v>203.14721225337013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67.172196049632717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-2.2737367544323206E-13</v>
      </c>
      <c r="O124" s="13">
        <f>N124*VLOOKUP('Données projet'!$B$9,Paramètres!$A$1:$I$89,3,0)*VLOOKUP('Données projet'!$B$9,Paramètres!$A$1:$I$89,5,0)</f>
        <v>-1.3596945791505279E-13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366.93249569585623</v>
      </c>
      <c r="T124" s="59">
        <f t="shared" si="88"/>
        <v>272.47262353368501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68.047919515270266</v>
      </c>
      <c r="AA124" s="21">
        <f>EXP(-LN(2)/25)*AA123+(1-EXP(-LN(2)/25))/(LN(2)/25)*Calculateur!V124*Calculateur!X124*VLOOKUP('Données projet'!$B$9,Paramètres!$A$1:$I$89,3,0)*0.475*44/12</f>
        <v>16.602517019204132</v>
      </c>
      <c r="AB124" s="21">
        <f>EXP(-LN(2)/2)*AB123+(1-EXP(-LN(2)/2))/(LN(2)/2)*V124*Y124*VLOOKUP('Données projet'!$B$9,Paramètres!$A$1:$I$89,3,0)*0.475*44/12</f>
        <v>4.7687738101464774E-5</v>
      </c>
      <c r="AC124" s="22">
        <f t="shared" si="57"/>
        <v>84.650484222212498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67.172196049632717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1.1368683772161603E-13</v>
      </c>
      <c r="AJ124" s="13">
        <f>AI124*VLOOKUP('Données projet'!$B$10,Paramètres!$A$1:$I$89,3,0)*VLOOKUP('Données projet'!$B$10,Paramètres!$A$1:$I$89,5,0)</f>
        <v>5.3205440053716299E-14</v>
      </c>
      <c r="AK124" s="13">
        <f t="shared" si="89"/>
        <v>8.602146238565607E-13</v>
      </c>
      <c r="AL124" s="20">
        <f t="shared" si="58"/>
        <v>1.590873277977066E-12</v>
      </c>
      <c r="AM124" s="59">
        <f t="shared" si="59"/>
        <v>282.96471884865485</v>
      </c>
      <c r="AN124" s="59">
        <f ca="1">AVERAGE(OFFSET($AM$3,0,0,'Données projet'!$E$10+1,1))-AVERAGE(OFFSET($H$3,0,0,'Données projet'!$E$10+1,1))</f>
        <v>382.89338473200229</v>
      </c>
      <c r="AO124" s="59">
        <f t="shared" si="90"/>
        <v>360.46248248971744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134.21397832178945</v>
      </c>
      <c r="AV124" s="21">
        <f>EXP(-LN(2)/25)*AV123+(1-EXP(-LN(2)/25))/(LN(2)/25)*Calculateur!AQ124*Calculateur!AS124*VLOOKUP('Données projet'!$B$10,Paramètres!$A$1:$I$89,3,0)*0.475*44/12</f>
        <v>34.94516724945148</v>
      </c>
      <c r="AW124" s="21">
        <f>EXP(-LN(2)/2)*AW123+(1-EXP(-LN(2)/2))/(LN(2)/2)*AQ124*AT124*VLOOKUP('Données projet'!$B$10,Paramètres!$A$1:$I$89,3,0)*0.475*44/12</f>
        <v>0.15323467200952195</v>
      </c>
      <c r="AX124" s="21">
        <f t="shared" si="60"/>
        <v>169.31238024325046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67.172196049632717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>
        <f>BD124*VLOOKUP('Données projet'!$B$11,Paramètres!$A$1:$I$89,3,0)*VLOOKUP('Données projet'!$B$11,Paramètres!$A$1:$I$89,5,0)</f>
        <v>0</v>
      </c>
      <c r="BF124" s="13" t="e">
        <f t="shared" si="91"/>
        <v>#NUM!</v>
      </c>
      <c r="BG124" s="20" t="e">
        <f t="shared" si="61"/>
        <v>#NUM!</v>
      </c>
      <c r="BH124" s="59" t="e">
        <f t="shared" si="62"/>
        <v>#NUM!</v>
      </c>
      <c r="BI124" s="59">
        <f ca="1">AVERAGE(OFFSET($BH$3,0,0,'Données projet'!$E$11+1,1))-AVERAGE(OFFSET($H$3,0,0,'Données projet'!$E$11+1,1))</f>
        <v>225.75484198243581</v>
      </c>
      <c r="BJ124" s="59">
        <f t="shared" si="92"/>
        <v>199.49566488421061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4.8918757717701773</v>
      </c>
      <c r="BQ124" s="21">
        <f>EXP(-LN(2)/25)*BQ123+(1-EXP(-LN(2)/25))/(LN(2)/25)*Calculateur!BL124*Calculateur!BN124*VLOOKUP('Données projet'!$B$11,Paramètres!$A$1:$I$89,3,0)*0.475*44/12</f>
        <v>22.598775223999596</v>
      </c>
      <c r="BR124" s="21">
        <f>EXP(-LN(2)/2)*BR123+(1-EXP(-LN(2)/2))/(LN(2)/2)*BL124*BO124*VLOOKUP('Données projet'!$B$11,Paramètres!$A$1:$I$89,3,0)*0.475*44/12</f>
        <v>0</v>
      </c>
      <c r="BS124" s="22">
        <f t="shared" si="63"/>
        <v>27.490650995769773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67.172196049632717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1.1368683772161603E-13</v>
      </c>
      <c r="BZ124" s="13">
        <f>BY124*VLOOKUP('Données projet'!$B$12,Paramètres!$A$1:$I$89,3,0)*VLOOKUP('Données projet'!$B$12,Paramètres!$A$1:$I$89,5,0)</f>
        <v>1.0818439477588981E-13</v>
      </c>
      <c r="CA124" s="13">
        <f t="shared" si="93"/>
        <v>1.6104228458716316E-12</v>
      </c>
      <c r="CB124" s="20">
        <f t="shared" si="64"/>
        <v>2.9932409441277661E-12</v>
      </c>
      <c r="CC124" s="59">
        <f t="shared" si="65"/>
        <v>282.96471884865628</v>
      </c>
      <c r="CD124" s="59">
        <f ca="1">AVERAGE(OFFSET($CC$3,0,0,'Données projet'!$E$12+1,1))-AVERAGE(OFFSET($H$3,0,0,'Données projet'!$E$12+1,1))</f>
        <v>413.9352601863377</v>
      </c>
      <c r="CE124" s="59">
        <f t="shared" si="94"/>
        <v>255.13997349799286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45.090205937769916</v>
      </c>
      <c r="CL124" s="21">
        <f>EXP(-LN(2)/25)*CL123+(1-EXP(-LN(2)/25))/(LN(2)/25)*Calculateur!CG124*Calculateur!CI124*VLOOKUP('Données projet'!$B$12,Paramètres!$A$1:$I$89,3,0)*0.475*44/12</f>
        <v>44.960050345594041</v>
      </c>
      <c r="CM124" s="21">
        <f>EXP(-LN(2)/2)*CM123+(1-EXP(-LN(2)/2))/(LN(2)/2)*CG124*CJ124*VLOOKUP('Données projet'!$B$12,Paramètres!$A$1:$I$89,3,0)*0.475*44/12</f>
        <v>45.856194056917118</v>
      </c>
      <c r="CN124" s="22">
        <f t="shared" si="66"/>
        <v>135.90645034028108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67.172196049632717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2.8421709430404007E-14</v>
      </c>
      <c r="CU124" s="17">
        <f>CT124*VLOOKUP('Données projet'!$B$13,Paramètres!$A$1:$I$89,3,0)*VLOOKUP('Données projet'!$B$13,Paramètres!$A$1:$I$89,5,0)</f>
        <v>2.4829205358400945E-14</v>
      </c>
      <c r="CV124" s="13">
        <f t="shared" si="95"/>
        <v>4.3867331143352915E-13</v>
      </c>
      <c r="CW124" s="20">
        <f t="shared" si="67"/>
        <v>8.0726688341261168E-13</v>
      </c>
      <c r="CX124" s="59">
        <f t="shared" si="68"/>
        <v>282.96471884865406</v>
      </c>
      <c r="CY124" s="59">
        <f ca="1">AVERAGE(OFFSET($CX$3,0,0,'Données projet'!$E$13+1,1))-AVERAGE(OFFSET($H$3,0,0,'Données projet'!$E$13+1,1))</f>
        <v>280.59827778697775</v>
      </c>
      <c r="CZ124" s="59">
        <f t="shared" si="96"/>
        <v>270.86588231964726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>
        <f>EXP(-LN(2)/35)*DF123+(1-EXP(-LN(2)/35))/(LN(2)/35)*DB124*DC124*VLOOKUP('Données projet'!$B$13,Paramètres!$A$1:$I$89,3,0)*0.475*44/12</f>
        <v>14.645262650599667</v>
      </c>
      <c r="DG124" s="21">
        <f>EXP(-LN(2)/25)*DG123+(1-EXP(-LN(2)/25))/(LN(2)/25)*Calculateur!DB124*Calculateur!DD124*VLOOKUP('Données projet'!$B$13,Paramètres!$A$1:$I$89,3,0)*0.475*44/12</f>
        <v>11.709968619539438</v>
      </c>
      <c r="DH124" s="21">
        <f>EXP(-LN(2)/2)*DH123+(1-EXP(-LN(2)/2))/(LN(2)/2)*DB124*DE124*VLOOKUP('Données projet'!$B$13,Paramètres!$A$1:$I$89,3,0)*0.475*44/12</f>
        <v>3.0646788658987838E-5</v>
      </c>
      <c r="DI124" s="22">
        <f t="shared" si="69"/>
        <v>26.355261916927766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67.172196049632717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>
        <f>DO124*VLOOKUP('Données projet'!$B$14,Paramètres!$A$1:$I$89,3,0)*VLOOKUP('Données projet'!$B$14,Paramètres!$A$1:$I$89,5,0)</f>
        <v>0</v>
      </c>
      <c r="DQ124" s="13" t="e">
        <f t="shared" si="97"/>
        <v>#NUM!</v>
      </c>
      <c r="DR124" s="20" t="e">
        <f t="shared" si="70"/>
        <v>#NUM!</v>
      </c>
      <c r="DS124" s="59" t="e">
        <f t="shared" si="71"/>
        <v>#NUM!</v>
      </c>
      <c r="DT124" s="59">
        <f ca="1">AVERAGE(OFFSET($DS$3,0,0,'Données projet'!$E$14+1,1))-AVERAGE(OFFSET($H$3,0,0,'Données projet'!$E$14+1,1))</f>
        <v>211.42385430331873</v>
      </c>
      <c r="DU124" s="59">
        <f t="shared" si="98"/>
        <v>146.84623106782686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>
        <f>EXP(-LN(2)/35)*EA123+(1-EXP(-LN(2)/35))/(LN(2)/35)*DW124*DX124*VLOOKUP('Données projet'!$B$14,Paramètres!$A$1:$I$89,3,0)*0.475*44/12</f>
        <v>21.543149408952967</v>
      </c>
      <c r="EB124" s="21">
        <f>EXP(-LN(2)/25)*EB123+(1-EXP(-LN(2)/25))/(LN(2)/25)*Calculateur!DW124*Calculateur!DY124*VLOOKUP('Données projet'!$B$14,Paramètres!$A$1:$I$89,3,0)*0.475*44/12</f>
        <v>21.56811694691298</v>
      </c>
      <c r="EC124" s="21">
        <f>EXP(-LN(2)/2)*EC123+(1-EXP(-LN(2)/2))/(LN(2)/2)*DW124*DZ124*VLOOKUP('Données projet'!$B$14,Paramètres!$A$1:$I$89,3,0)*0.475*44/12</f>
        <v>3.6724785550546697</v>
      </c>
      <c r="ED124" s="22">
        <f t="shared" si="72"/>
        <v>46.783744910920618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67.172196049632717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-9.9475983006414026E-14</v>
      </c>
      <c r="EK124" s="17">
        <f>EJ124*VLOOKUP('Données projet'!$B$15,Paramètres!$A$1:$I$89,3,0)*VLOOKUP('Données projet'!$B$15,Paramètres!$A$1:$I$89,5,0)</f>
        <v>-1.0707594810810407E-13</v>
      </c>
      <c r="EL124" s="13" t="e">
        <f t="shared" si="99"/>
        <v>#NUM!</v>
      </c>
      <c r="EM124" s="20" t="e">
        <f t="shared" si="73"/>
        <v>#NUM!</v>
      </c>
      <c r="EN124" s="59" t="e">
        <f t="shared" si="74"/>
        <v>#NUM!</v>
      </c>
      <c r="EO124" s="59">
        <f ca="1">AVERAGE(OFFSET($EN$3,0,0,'Données projet'!$E$15+1,1))-AVERAGE(OFFSET($H$3,0,0,'Données projet'!$E$15+1,1))</f>
        <v>212.00478362779876</v>
      </c>
      <c r="EP124" s="59">
        <f t="shared" si="100"/>
        <v>133.62262474506707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>
        <f>EXP(-LN(2)/35)*EV123+(1-EXP(-LN(2)/35))/(LN(2)/35)*ER124*ES124*VLOOKUP('Données projet'!$B$15,Paramètres!$A$1:$I$89,3,0)*0.475*44/12</f>
        <v>15.354552921383952</v>
      </c>
      <c r="EW124" s="21">
        <f>EXP(-LN(2)/25)*EW123+(1-EXP(-LN(2)/25))/(LN(2)/25)*Calculateur!ER124*Calculateur!ET124*VLOOKUP('Données projet'!$B$15,Paramètres!$A$1:$I$89,3,0)*0.475*44/12</f>
        <v>19.911211809032633</v>
      </c>
      <c r="EX124" s="21">
        <f>EXP(-LN(2)/2)*EX123+(1-EXP(-LN(2)/2))/(LN(2)/2)*ER124*EU124*VLOOKUP('Données projet'!$B$15,Paramètres!$A$1:$I$89,3,0)*0.475*44/12</f>
        <v>22.228723924240235</v>
      </c>
      <c r="EY124" s="22">
        <f t="shared" si="75"/>
        <v>57.49448865465682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67.172196049632717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-9.9475983006414026E-14</v>
      </c>
      <c r="FF124" s="17">
        <f>FE124*VLOOKUP('Données projet'!$B$16,Paramètres!$A$1:$I$89,3,0)*VLOOKUP('Données projet'!$B$16,Paramètres!$A$1:$I$89,5,0)</f>
        <v>-9.6213170763803652E-14</v>
      </c>
      <c r="FG124" s="13" t="e">
        <f t="shared" si="101"/>
        <v>#NUM!</v>
      </c>
      <c r="FH124" s="20" t="e">
        <f t="shared" si="76"/>
        <v>#NUM!</v>
      </c>
      <c r="FI124" s="59" t="e">
        <f t="shared" si="77"/>
        <v>#NUM!</v>
      </c>
      <c r="FJ124" s="59">
        <f ca="1">AVERAGE(OFFSET($FI$3,0,0,'Données projet'!$E$16+1,1))-AVERAGE(OFFSET($H$3,0,0,'Données projet'!$E$16+1,1))</f>
        <v>196.65742339093146</v>
      </c>
      <c r="FK124" s="59">
        <f t="shared" si="102"/>
        <v>125.41980634506001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>
        <f>EXP(-LN(2)/35)*FQ123+(1-EXP(-LN(2)/35))/(LN(2)/35)*FM124*FN124*VLOOKUP('Données projet'!$B$16,Paramètres!$A$1:$I$89,3,0)*0.475*44/12</f>
        <v>13.796844653997177</v>
      </c>
      <c r="FR124" s="21">
        <f>EXP(-LN(2)/25)*FR123+(1-EXP(-LN(2)/25))/(LN(2)/25)*Calculateur!FM124*Calculateur!FO124*VLOOKUP('Données projet'!$B$16,Paramètres!$A$1:$I$89,3,0)*0.475*44/12</f>
        <v>17.891233799420625</v>
      </c>
      <c r="FS124" s="21">
        <f>EXP(-LN(2)/2)*FS123+(1-EXP(-LN(2)/2))/(LN(2)/2)*FM124*FP124*VLOOKUP('Données projet'!$B$16,Paramètres!$A$1:$I$89,3,0)*0.475*44/12</f>
        <v>19.973635989897023</v>
      </c>
      <c r="FT124" s="22">
        <f t="shared" si="78"/>
        <v>51.661714443314821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67.172196049632717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67.172196049632717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>
      <c r="A125" s="10">
        <f t="shared" si="85"/>
        <v>122</v>
      </c>
      <c r="B125" s="73">
        <f>'Scénario référence'!$B$16*5+'Scénario référence'!$B$17*0+'Scénario référence'!$B$18*5</f>
        <v>4.6999999999999993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6.5089440000000085</v>
      </c>
      <c r="D125" s="11">
        <f t="shared" si="86"/>
        <v>2.4119592918577721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20.331120121141147</v>
      </c>
      <c r="H125" s="67">
        <f t="shared" si="56"/>
        <v>203.27057323331897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67.221252126149068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-2.2737367544323206E-13</v>
      </c>
      <c r="O125" s="13">
        <f>N125*VLOOKUP('Données projet'!$B$9,Paramètres!$A$1:$I$89,3,0)*VLOOKUP('Données projet'!$B$9,Paramètres!$A$1:$I$89,5,0)</f>
        <v>-1.3596945791505279E-13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366.93249569585623</v>
      </c>
      <c r="T125" s="59">
        <f t="shared" si="88"/>
        <v>272.47262353368501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66.713541318708423</v>
      </c>
      <c r="AA125" s="21">
        <f>EXP(-LN(2)/25)*AA124+(1-EXP(-LN(2)/25))/(LN(2)/25)*Calculateur!V125*Calculateur!X125*VLOOKUP('Données projet'!$B$9,Paramètres!$A$1:$I$89,3,0)*0.475*44/12</f>
        <v>16.148520318225572</v>
      </c>
      <c r="AB125" s="21">
        <f>EXP(-LN(2)/2)*AB124+(1-EXP(-LN(2)/2))/(LN(2)/2)*V125*Y125*VLOOKUP('Données projet'!$B$9,Paramètres!$A$1:$I$89,3,0)*0.475*44/12</f>
        <v>3.3720322990993837E-5</v>
      </c>
      <c r="AC125" s="22">
        <f t="shared" si="57"/>
        <v>82.862095357256976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67.221252126149068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1.1368683772161603E-13</v>
      </c>
      <c r="AJ125" s="13">
        <f>AI125*VLOOKUP('Données projet'!$B$10,Paramètres!$A$1:$I$89,3,0)*VLOOKUP('Données projet'!$B$10,Paramètres!$A$1:$I$89,5,0)</f>
        <v>5.3205440053716299E-14</v>
      </c>
      <c r="AK125" s="13">
        <f t="shared" si="89"/>
        <v>8.602146238565607E-13</v>
      </c>
      <c r="AL125" s="20">
        <f t="shared" si="58"/>
        <v>1.590873277977066E-12</v>
      </c>
      <c r="AM125" s="59">
        <f t="shared" si="59"/>
        <v>283.14459112921486</v>
      </c>
      <c r="AN125" s="59">
        <f ca="1">AVERAGE(OFFSET($AM$3,0,0,'Données projet'!$E$10+1,1))-AVERAGE(OFFSET($H$3,0,0,'Données projet'!$E$10+1,1))</f>
        <v>382.89338473200229</v>
      </c>
      <c r="AO125" s="59">
        <f t="shared" si="90"/>
        <v>360.46248248971744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131.58212406934268</v>
      </c>
      <c r="AV125" s="21">
        <f>EXP(-LN(2)/25)*AV124+(1-EXP(-LN(2)/25))/(LN(2)/25)*Calculateur!AQ125*Calculateur!AS125*VLOOKUP('Données projet'!$B$10,Paramètres!$A$1:$I$89,3,0)*0.475*44/12</f>
        <v>33.989589813328749</v>
      </c>
      <c r="AW125" s="21">
        <f>EXP(-LN(2)/2)*AW124+(1-EXP(-LN(2)/2))/(LN(2)/2)*AQ125*AT125*VLOOKUP('Données projet'!$B$10,Paramètres!$A$1:$I$89,3,0)*0.475*44/12</f>
        <v>0.10835327569082942</v>
      </c>
      <c r="AX125" s="21">
        <f t="shared" si="60"/>
        <v>165.68006715836225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67.221252126149068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>
        <f>BD125*VLOOKUP('Données projet'!$B$11,Paramètres!$A$1:$I$89,3,0)*VLOOKUP('Données projet'!$B$11,Paramètres!$A$1:$I$89,5,0)</f>
        <v>0</v>
      </c>
      <c r="BF125" s="13" t="e">
        <f t="shared" si="91"/>
        <v>#NUM!</v>
      </c>
      <c r="BG125" s="20" t="e">
        <f t="shared" si="61"/>
        <v>#NUM!</v>
      </c>
      <c r="BH125" s="59" t="e">
        <f t="shared" si="62"/>
        <v>#NUM!</v>
      </c>
      <c r="BI125" s="59">
        <f ca="1">AVERAGE(OFFSET($BH$3,0,0,'Données projet'!$E$11+1,1))-AVERAGE(OFFSET($H$3,0,0,'Données projet'!$E$11+1,1))</f>
        <v>225.75484198243581</v>
      </c>
      <c r="BJ125" s="59">
        <f t="shared" si="92"/>
        <v>199.49566488421061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4.7959490716353637</v>
      </c>
      <c r="BQ125" s="21">
        <f>EXP(-LN(2)/25)*BQ124+(1-EXP(-LN(2)/25))/(LN(2)/25)*Calculateur!BL125*Calculateur!BN125*VLOOKUP('Données projet'!$B$11,Paramètres!$A$1:$I$89,3,0)*0.475*44/12</f>
        <v>21.980810527081388</v>
      </c>
      <c r="BR125" s="21">
        <f>EXP(-LN(2)/2)*BR124+(1-EXP(-LN(2)/2))/(LN(2)/2)*BL125*BO125*VLOOKUP('Données projet'!$B$11,Paramètres!$A$1:$I$89,3,0)*0.475*44/12</f>
        <v>0</v>
      </c>
      <c r="BS125" s="22">
        <f t="shared" si="63"/>
        <v>26.776759598716751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67.221252126149068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1.1368683772161603E-13</v>
      </c>
      <c r="BZ125" s="13">
        <f>BY125*VLOOKUP('Données projet'!$B$12,Paramètres!$A$1:$I$89,3,0)*VLOOKUP('Données projet'!$B$12,Paramètres!$A$1:$I$89,5,0)</f>
        <v>1.0818439477588981E-13</v>
      </c>
      <c r="CA125" s="13">
        <f t="shared" si="93"/>
        <v>1.6104228458716316E-12</v>
      </c>
      <c r="CB125" s="20">
        <f t="shared" si="64"/>
        <v>2.9932409441277661E-12</v>
      </c>
      <c r="CC125" s="59">
        <f t="shared" si="65"/>
        <v>283.14459112921628</v>
      </c>
      <c r="CD125" s="59">
        <f ca="1">AVERAGE(OFFSET($CC$3,0,0,'Données projet'!$E$12+1,1))-AVERAGE(OFFSET($H$3,0,0,'Données projet'!$E$12+1,1))</f>
        <v>413.9352601863377</v>
      </c>
      <c r="CE125" s="59">
        <f t="shared" si="94"/>
        <v>255.13997349799286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44.20601450164024</v>
      </c>
      <c r="CL125" s="21">
        <f>EXP(-LN(2)/25)*CL124+(1-EXP(-LN(2)/25))/(LN(2)/25)*Calculateur!CG125*Calculateur!CI125*VLOOKUP('Données projet'!$B$12,Paramètres!$A$1:$I$89,3,0)*0.475*44/12</f>
        <v>43.730615404547486</v>
      </c>
      <c r="CM125" s="21">
        <f>EXP(-LN(2)/2)*CM124+(1-EXP(-LN(2)/2))/(LN(2)/2)*CG125*CJ125*VLOOKUP('Données projet'!$B$12,Paramètres!$A$1:$I$89,3,0)*0.475*44/12</f>
        <v>32.425225777052354</v>
      </c>
      <c r="CN125" s="22">
        <f t="shared" si="66"/>
        <v>120.36185568324009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67.221252126149068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2.8421709430404007E-14</v>
      </c>
      <c r="CU125" s="17">
        <f>CT125*VLOOKUP('Données projet'!$B$13,Paramètres!$A$1:$I$89,3,0)*VLOOKUP('Données projet'!$B$13,Paramètres!$A$1:$I$89,5,0)</f>
        <v>2.4829205358400945E-14</v>
      </c>
      <c r="CV125" s="13">
        <f t="shared" si="95"/>
        <v>4.3867331143352915E-13</v>
      </c>
      <c r="CW125" s="20">
        <f t="shared" si="67"/>
        <v>8.0726688341261168E-13</v>
      </c>
      <c r="CX125" s="59">
        <f t="shared" si="68"/>
        <v>283.14459112921406</v>
      </c>
      <c r="CY125" s="59">
        <f ca="1">AVERAGE(OFFSET($CX$3,0,0,'Données projet'!$E$13+1,1))-AVERAGE(OFFSET($H$3,0,0,'Données projet'!$E$13+1,1))</f>
        <v>280.59827778697775</v>
      </c>
      <c r="CZ125" s="59">
        <f t="shared" si="96"/>
        <v>270.86588231964726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>
        <f>EXP(-LN(2)/35)*DF124+(1-EXP(-LN(2)/35))/(LN(2)/35)*DB125*DC125*VLOOKUP('Données projet'!$B$13,Paramètres!$A$1:$I$89,3,0)*0.475*44/12</f>
        <v>14.358077982749592</v>
      </c>
      <c r="DG125" s="21">
        <f>EXP(-LN(2)/25)*DG124+(1-EXP(-LN(2)/25))/(LN(2)/25)*Calculateur!DB125*Calculateur!DD125*VLOOKUP('Données projet'!$B$13,Paramètres!$A$1:$I$89,3,0)*0.475*44/12</f>
        <v>11.389758911837646</v>
      </c>
      <c r="DH125" s="21">
        <f>EXP(-LN(2)/2)*DH124+(1-EXP(-LN(2)/2))/(LN(2)/2)*DB125*DE125*VLOOKUP('Données projet'!$B$13,Paramètres!$A$1:$I$89,3,0)*0.475*44/12</f>
        <v>2.167055208236128E-5</v>
      </c>
      <c r="DI125" s="22">
        <f t="shared" si="69"/>
        <v>25.747858565139321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67.221252126149068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>
        <f>DO125*VLOOKUP('Données projet'!$B$14,Paramètres!$A$1:$I$89,3,0)*VLOOKUP('Données projet'!$B$14,Paramètres!$A$1:$I$89,5,0)</f>
        <v>0</v>
      </c>
      <c r="DQ125" s="13" t="e">
        <f t="shared" si="97"/>
        <v>#NUM!</v>
      </c>
      <c r="DR125" s="20" t="e">
        <f t="shared" si="70"/>
        <v>#NUM!</v>
      </c>
      <c r="DS125" s="59" t="e">
        <f t="shared" si="71"/>
        <v>#NUM!</v>
      </c>
      <c r="DT125" s="59">
        <f ca="1">AVERAGE(OFFSET($DS$3,0,0,'Données projet'!$E$14+1,1))-AVERAGE(OFFSET($H$3,0,0,'Données projet'!$E$14+1,1))</f>
        <v>211.42385430331873</v>
      </c>
      <c r="DU125" s="59">
        <f t="shared" si="98"/>
        <v>146.84623106782686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>
        <f>EXP(-LN(2)/35)*EA124+(1-EXP(-LN(2)/35))/(LN(2)/35)*DW125*DX125*VLOOKUP('Données projet'!$B$14,Paramètres!$A$1:$I$89,3,0)*0.475*44/12</f>
        <v>21.120701389067069</v>
      </c>
      <c r="EB125" s="21">
        <f>EXP(-LN(2)/25)*EB124+(1-EXP(-LN(2)/25))/(LN(2)/25)*Calculateur!DW125*Calculateur!DY125*VLOOKUP('Données projet'!$B$14,Paramètres!$A$1:$I$89,3,0)*0.475*44/12</f>
        <v>20.97833565478167</v>
      </c>
      <c r="EC125" s="21">
        <f>EXP(-LN(2)/2)*EC124+(1-EXP(-LN(2)/2))/(LN(2)/2)*DW125*DZ125*VLOOKUP('Données projet'!$B$14,Paramètres!$A$1:$I$89,3,0)*0.475*44/12</f>
        <v>2.5968344900413309</v>
      </c>
      <c r="ED125" s="22">
        <f t="shared" si="72"/>
        <v>44.69587153389007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67.221252126149068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-9.9475983006414026E-14</v>
      </c>
      <c r="EK125" s="17">
        <f>EJ125*VLOOKUP('Données projet'!$B$15,Paramètres!$A$1:$I$89,3,0)*VLOOKUP('Données projet'!$B$15,Paramètres!$A$1:$I$89,5,0)</f>
        <v>-1.0707594810810407E-13</v>
      </c>
      <c r="EL125" s="13" t="e">
        <f t="shared" si="99"/>
        <v>#NUM!</v>
      </c>
      <c r="EM125" s="20" t="e">
        <f t="shared" si="73"/>
        <v>#NUM!</v>
      </c>
      <c r="EN125" s="59" t="e">
        <f t="shared" si="74"/>
        <v>#NUM!</v>
      </c>
      <c r="EO125" s="59">
        <f ca="1">AVERAGE(OFFSET($EN$3,0,0,'Données projet'!$E$15+1,1))-AVERAGE(OFFSET($H$3,0,0,'Données projet'!$E$15+1,1))</f>
        <v>212.00478362779876</v>
      </c>
      <c r="EP125" s="59">
        <f t="shared" si="100"/>
        <v>133.62262474506707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>
        <f>EXP(-LN(2)/35)*EV124+(1-EXP(-LN(2)/35))/(LN(2)/35)*ER125*ES125*VLOOKUP('Données projet'!$B$15,Paramètres!$A$1:$I$89,3,0)*0.475*44/12</f>
        <v>15.053459503948144</v>
      </c>
      <c r="EW125" s="21">
        <f>EXP(-LN(2)/25)*EW124+(1-EXP(-LN(2)/25))/(LN(2)/25)*Calculateur!ER125*Calculateur!ET125*VLOOKUP('Données projet'!$B$15,Paramètres!$A$1:$I$89,3,0)*0.475*44/12</f>
        <v>19.366738675029513</v>
      </c>
      <c r="EX125" s="21">
        <f>EXP(-LN(2)/2)*EX124+(1-EXP(-LN(2)/2))/(LN(2)/2)*ER125*EU125*VLOOKUP('Données projet'!$B$15,Paramètres!$A$1:$I$89,3,0)*0.475*44/12</f>
        <v>15.718081423953915</v>
      </c>
      <c r="EY125" s="22">
        <f t="shared" si="75"/>
        <v>50.138279602931576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67.221252126149068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-9.9475983006414026E-14</v>
      </c>
      <c r="FF125" s="17">
        <f>FE125*VLOOKUP('Données projet'!$B$16,Paramètres!$A$1:$I$89,3,0)*VLOOKUP('Données projet'!$B$16,Paramètres!$A$1:$I$89,5,0)</f>
        <v>-9.6213170763803652E-14</v>
      </c>
      <c r="FG125" s="13" t="e">
        <f t="shared" si="101"/>
        <v>#NUM!</v>
      </c>
      <c r="FH125" s="20" t="e">
        <f t="shared" si="76"/>
        <v>#NUM!</v>
      </c>
      <c r="FI125" s="59" t="e">
        <f t="shared" si="77"/>
        <v>#NUM!</v>
      </c>
      <c r="FJ125" s="59">
        <f ca="1">AVERAGE(OFFSET($FI$3,0,0,'Données projet'!$E$16+1,1))-AVERAGE(OFFSET($H$3,0,0,'Données projet'!$E$16+1,1))</f>
        <v>196.65742339093146</v>
      </c>
      <c r="FK125" s="59">
        <f t="shared" si="102"/>
        <v>125.41980634506001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>
        <f>EXP(-LN(2)/35)*FQ124+(1-EXP(-LN(2)/35))/(LN(2)/35)*FM125*FN125*VLOOKUP('Données projet'!$B$16,Paramètres!$A$1:$I$89,3,0)*0.475*44/12</f>
        <v>13.526296945576595</v>
      </c>
      <c r="FR125" s="21">
        <f>EXP(-LN(2)/25)*FR124+(1-EXP(-LN(2)/25))/(LN(2)/25)*Calculateur!FM125*Calculateur!FO125*VLOOKUP('Données projet'!$B$16,Paramètres!$A$1:$I$89,3,0)*0.475*44/12</f>
        <v>17.401997070316373</v>
      </c>
      <c r="FS125" s="21">
        <f>EXP(-LN(2)/2)*FS124+(1-EXP(-LN(2)/2))/(LN(2)/2)*FM125*FP125*VLOOKUP('Données projet'!$B$16,Paramètres!$A$1:$I$89,3,0)*0.475*44/12</f>
        <v>14.123493453407866</v>
      </c>
      <c r="FT125" s="22">
        <f t="shared" si="78"/>
        <v>45.051787469300834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67.221252126149068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67.221252126149068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>
      <c r="A126" s="10">
        <f t="shared" si="85"/>
        <v>123</v>
      </c>
      <c r="B126" s="73">
        <f>'Scénario référence'!$B$16*5+'Scénario référence'!$B$17*0+'Scénario référence'!$B$18*5</f>
        <v>4.6999999999999993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6.5622960000000088</v>
      </c>
      <c r="D126" s="11">
        <f t="shared" si="86"/>
        <v>2.4294198953612671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20.363917537500662</v>
      </c>
      <c r="H126" s="67">
        <f t="shared" si="56"/>
        <v>203.3939051844209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67.269457189410815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-2.2737367544323206E-13</v>
      </c>
      <c r="O126" s="13">
        <f>N126*VLOOKUP('Données projet'!$B$9,Paramètres!$A$1:$I$89,3,0)*VLOOKUP('Données projet'!$B$9,Paramètres!$A$1:$I$89,5,0)</f>
        <v>-1.3596945791505279E-13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366.93249569585623</v>
      </c>
      <c r="T126" s="59">
        <f t="shared" si="88"/>
        <v>272.47262353368501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65.405329464690823</v>
      </c>
      <c r="AA126" s="21">
        <f>EXP(-LN(2)/25)*AA125+(1-EXP(-LN(2)/25))/(LN(2)/25)*Calculateur!V126*Calculateur!X126*VLOOKUP('Données projet'!$B$9,Paramètres!$A$1:$I$89,3,0)*0.475*44/12</f>
        <v>15.706938180909917</v>
      </c>
      <c r="AB126" s="21">
        <f>EXP(-LN(2)/2)*AB125+(1-EXP(-LN(2)/2))/(LN(2)/2)*V126*Y126*VLOOKUP('Données projet'!$B$9,Paramètres!$A$1:$I$89,3,0)*0.475*44/12</f>
        <v>2.3843869050732387E-5</v>
      </c>
      <c r="AC126" s="22">
        <f t="shared" si="57"/>
        <v>81.112291489469783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67.269457189410815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1.1368683772161603E-13</v>
      </c>
      <c r="AJ126" s="13">
        <f>AI126*VLOOKUP('Données projet'!$B$10,Paramètres!$A$1:$I$89,3,0)*VLOOKUP('Données projet'!$B$10,Paramètres!$A$1:$I$89,5,0)</f>
        <v>5.3205440053716299E-14</v>
      </c>
      <c r="AK126" s="13">
        <f t="shared" si="89"/>
        <v>8.602146238565607E-13</v>
      </c>
      <c r="AL126" s="20">
        <f t="shared" si="58"/>
        <v>1.590873277977066E-12</v>
      </c>
      <c r="AM126" s="59">
        <f t="shared" si="59"/>
        <v>283.32134302784124</v>
      </c>
      <c r="AN126" s="59">
        <f ca="1">AVERAGE(OFFSET($AM$3,0,0,'Données projet'!$E$10+1,1))-AVERAGE(OFFSET($H$3,0,0,'Données projet'!$E$10+1,1))</f>
        <v>382.89338473200229</v>
      </c>
      <c r="AO126" s="59">
        <f t="shared" si="90"/>
        <v>360.46248248971744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129.00187887351382</v>
      </c>
      <c r="AV126" s="21">
        <f>EXP(-LN(2)/25)*AV125+(1-EXP(-LN(2)/25))/(LN(2)/25)*Calculateur!AQ126*Calculateur!AS126*VLOOKUP('Données projet'!$B$10,Paramètres!$A$1:$I$89,3,0)*0.475*44/12</f>
        <v>33.06014269244843</v>
      </c>
      <c r="AW126" s="21">
        <f>EXP(-LN(2)/2)*AW125+(1-EXP(-LN(2)/2))/(LN(2)/2)*AQ126*AT126*VLOOKUP('Données projet'!$B$10,Paramètres!$A$1:$I$89,3,0)*0.475*44/12</f>
        <v>7.6617336004760977E-2</v>
      </c>
      <c r="AX126" s="21">
        <f t="shared" si="60"/>
        <v>162.13863890196703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67.269457189410815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>
        <f>BD126*VLOOKUP('Données projet'!$B$11,Paramètres!$A$1:$I$89,3,0)*VLOOKUP('Données projet'!$B$11,Paramètres!$A$1:$I$89,5,0)</f>
        <v>0</v>
      </c>
      <c r="BF126" s="13" t="e">
        <f t="shared" si="91"/>
        <v>#NUM!</v>
      </c>
      <c r="BG126" s="20" t="e">
        <f t="shared" si="61"/>
        <v>#NUM!</v>
      </c>
      <c r="BH126" s="59" t="e">
        <f t="shared" si="62"/>
        <v>#NUM!</v>
      </c>
      <c r="BI126" s="59">
        <f ca="1">AVERAGE(OFFSET($BH$3,0,0,'Données projet'!$E$11+1,1))-AVERAGE(OFFSET($H$3,0,0,'Données projet'!$E$11+1,1))</f>
        <v>225.75484198243581</v>
      </c>
      <c r="BJ126" s="59">
        <f t="shared" si="92"/>
        <v>199.49566488421061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4.7019034355806841</v>
      </c>
      <c r="BQ126" s="21">
        <f>EXP(-LN(2)/25)*BQ125+(1-EXP(-LN(2)/25))/(LN(2)/25)*Calculateur!BL126*Calculateur!BN126*VLOOKUP('Données projet'!$B$11,Paramètres!$A$1:$I$89,3,0)*0.475*44/12</f>
        <v>21.379744107297761</v>
      </c>
      <c r="BR126" s="21">
        <f>EXP(-LN(2)/2)*BR125+(1-EXP(-LN(2)/2))/(LN(2)/2)*BL126*BO126*VLOOKUP('Données projet'!$B$11,Paramètres!$A$1:$I$89,3,0)*0.475*44/12</f>
        <v>0</v>
      </c>
      <c r="BS126" s="22">
        <f t="shared" si="63"/>
        <v>26.081647542878443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67.269457189410815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1.1368683772161603E-13</v>
      </c>
      <c r="BZ126" s="13">
        <f>BY126*VLOOKUP('Données projet'!$B$12,Paramètres!$A$1:$I$89,3,0)*VLOOKUP('Données projet'!$B$12,Paramètres!$A$1:$I$89,5,0)</f>
        <v>1.0818439477588981E-13</v>
      </c>
      <c r="CA126" s="13">
        <f t="shared" si="93"/>
        <v>1.6104228458716316E-12</v>
      </c>
      <c r="CB126" s="20">
        <f t="shared" si="64"/>
        <v>2.9932409441277661E-12</v>
      </c>
      <c r="CC126" s="59">
        <f t="shared" si="65"/>
        <v>283.32134302784266</v>
      </c>
      <c r="CD126" s="59">
        <f ca="1">AVERAGE(OFFSET($CC$3,0,0,'Données projet'!$E$12+1,1))-AVERAGE(OFFSET($H$3,0,0,'Données projet'!$E$12+1,1))</f>
        <v>413.9352601863377</v>
      </c>
      <c r="CE126" s="59">
        <f t="shared" si="94"/>
        <v>255.13997349799286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43.339161520269542</v>
      </c>
      <c r="CL126" s="21">
        <f>EXP(-LN(2)/25)*CL125+(1-EXP(-LN(2)/25))/(LN(2)/25)*Calculateur!CG126*Calculateur!CI126*VLOOKUP('Données projet'!$B$12,Paramètres!$A$1:$I$89,3,0)*0.475*44/12</f>
        <v>42.53479942661702</v>
      </c>
      <c r="CM126" s="21">
        <f>EXP(-LN(2)/2)*CM125+(1-EXP(-LN(2)/2))/(LN(2)/2)*CG126*CJ126*VLOOKUP('Données projet'!$B$12,Paramètres!$A$1:$I$89,3,0)*0.475*44/12</f>
        <v>22.928097028458559</v>
      </c>
      <c r="CN126" s="22">
        <f t="shared" si="66"/>
        <v>108.80205797534512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67.269457189410815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2.8421709430404007E-14</v>
      </c>
      <c r="CU126" s="17">
        <f>CT126*VLOOKUP('Données projet'!$B$13,Paramètres!$A$1:$I$89,3,0)*VLOOKUP('Données projet'!$B$13,Paramètres!$A$1:$I$89,5,0)</f>
        <v>2.4829205358400945E-14</v>
      </c>
      <c r="CV126" s="13">
        <f t="shared" si="95"/>
        <v>4.3867331143352915E-13</v>
      </c>
      <c r="CW126" s="20">
        <f t="shared" si="67"/>
        <v>8.0726688341261168E-13</v>
      </c>
      <c r="CX126" s="59">
        <f t="shared" si="68"/>
        <v>283.32134302784044</v>
      </c>
      <c r="CY126" s="59">
        <f ca="1">AVERAGE(OFFSET($CX$3,0,0,'Données projet'!$E$13+1,1))-AVERAGE(OFFSET($H$3,0,0,'Données projet'!$E$13+1,1))</f>
        <v>280.59827778697775</v>
      </c>
      <c r="CZ126" s="59">
        <f t="shared" si="96"/>
        <v>270.86588231964726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>
        <f>EXP(-LN(2)/35)*DF125+(1-EXP(-LN(2)/35))/(LN(2)/35)*DB126*DC126*VLOOKUP('Données projet'!$B$13,Paramètres!$A$1:$I$89,3,0)*0.475*44/12</f>
        <v>14.076524831070705</v>
      </c>
      <c r="DG126" s="21">
        <f>EXP(-LN(2)/25)*DG125+(1-EXP(-LN(2)/25))/(LN(2)/25)*Calculateur!DB126*Calculateur!DD126*VLOOKUP('Données projet'!$B$13,Paramètres!$A$1:$I$89,3,0)*0.475*44/12</f>
        <v>11.078305355432056</v>
      </c>
      <c r="DH126" s="21">
        <f>EXP(-LN(2)/2)*DH125+(1-EXP(-LN(2)/2))/(LN(2)/2)*DB126*DE126*VLOOKUP('Données projet'!$B$13,Paramètres!$A$1:$I$89,3,0)*0.475*44/12</f>
        <v>1.5323394329493919E-5</v>
      </c>
      <c r="DI126" s="22">
        <f t="shared" si="69"/>
        <v>25.15484550989709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67.269457189410815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>
        <f>DO126*VLOOKUP('Données projet'!$B$14,Paramètres!$A$1:$I$89,3,0)*VLOOKUP('Données projet'!$B$14,Paramètres!$A$1:$I$89,5,0)</f>
        <v>0</v>
      </c>
      <c r="DQ126" s="13" t="e">
        <f t="shared" si="97"/>
        <v>#NUM!</v>
      </c>
      <c r="DR126" s="20" t="e">
        <f t="shared" si="70"/>
        <v>#NUM!</v>
      </c>
      <c r="DS126" s="59" t="e">
        <f t="shared" si="71"/>
        <v>#NUM!</v>
      </c>
      <c r="DT126" s="59">
        <f ca="1">AVERAGE(OFFSET($DS$3,0,0,'Données projet'!$E$14+1,1))-AVERAGE(OFFSET($H$3,0,0,'Données projet'!$E$14+1,1))</f>
        <v>211.42385430331873</v>
      </c>
      <c r="DU126" s="59">
        <f t="shared" si="98"/>
        <v>146.84623106782686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>
        <f>EXP(-LN(2)/35)*EA125+(1-EXP(-LN(2)/35))/(LN(2)/35)*DW126*DX126*VLOOKUP('Données projet'!$B$14,Paramètres!$A$1:$I$89,3,0)*0.475*44/12</f>
        <v>20.706537317183283</v>
      </c>
      <c r="EB126" s="21">
        <f>EXP(-LN(2)/25)*EB125+(1-EXP(-LN(2)/25))/(LN(2)/25)*Calculateur!DW126*Calculateur!DY126*VLOOKUP('Données projet'!$B$14,Paramètres!$A$1:$I$89,3,0)*0.475*44/12</f>
        <v>20.404681963098941</v>
      </c>
      <c r="EC126" s="21">
        <f>EXP(-LN(2)/2)*EC125+(1-EXP(-LN(2)/2))/(LN(2)/2)*DW126*DZ126*VLOOKUP('Données projet'!$B$14,Paramètres!$A$1:$I$89,3,0)*0.475*44/12</f>
        <v>1.8362392775273353</v>
      </c>
      <c r="ED126" s="22">
        <f t="shared" si="72"/>
        <v>42.947458557809561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67.269457189410815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-9.9475983006414026E-14</v>
      </c>
      <c r="EK126" s="17">
        <f>EJ126*VLOOKUP('Données projet'!$B$15,Paramètres!$A$1:$I$89,3,0)*VLOOKUP('Données projet'!$B$15,Paramètres!$A$1:$I$89,5,0)</f>
        <v>-1.0707594810810407E-13</v>
      </c>
      <c r="EL126" s="13" t="e">
        <f t="shared" si="99"/>
        <v>#NUM!</v>
      </c>
      <c r="EM126" s="20" t="e">
        <f t="shared" si="73"/>
        <v>#NUM!</v>
      </c>
      <c r="EN126" s="59" t="e">
        <f t="shared" si="74"/>
        <v>#NUM!</v>
      </c>
      <c r="EO126" s="59">
        <f ca="1">AVERAGE(OFFSET($EN$3,0,0,'Données projet'!$E$15+1,1))-AVERAGE(OFFSET($H$3,0,0,'Données projet'!$E$15+1,1))</f>
        <v>212.00478362779876</v>
      </c>
      <c r="EP126" s="59">
        <f t="shared" si="100"/>
        <v>133.62262474506707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>
        <f>EXP(-LN(2)/35)*EV125+(1-EXP(-LN(2)/35))/(LN(2)/35)*ER126*ES126*VLOOKUP('Données projet'!$B$15,Paramètres!$A$1:$I$89,3,0)*0.475*44/12</f>
        <v>14.758270344779401</v>
      </c>
      <c r="EW126" s="21">
        <f>EXP(-LN(2)/25)*EW125+(1-EXP(-LN(2)/25))/(LN(2)/25)*Calculateur!ER126*Calculateur!ET126*VLOOKUP('Données projet'!$B$15,Paramètres!$A$1:$I$89,3,0)*0.475*44/12</f>
        <v>18.837154187508308</v>
      </c>
      <c r="EX126" s="21">
        <f>EXP(-LN(2)/2)*EX125+(1-EXP(-LN(2)/2))/(LN(2)/2)*ER126*EU126*VLOOKUP('Données projet'!$B$15,Paramètres!$A$1:$I$89,3,0)*0.475*44/12</f>
        <v>11.114361962120119</v>
      </c>
      <c r="EY126" s="22">
        <f t="shared" si="75"/>
        <v>44.70978649440783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67.269457189410815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-9.9475983006414026E-14</v>
      </c>
      <c r="FF126" s="17">
        <f>FE126*VLOOKUP('Données projet'!$B$16,Paramètres!$A$1:$I$89,3,0)*VLOOKUP('Données projet'!$B$16,Paramètres!$A$1:$I$89,5,0)</f>
        <v>-9.6213170763803652E-14</v>
      </c>
      <c r="FG126" s="13" t="e">
        <f t="shared" si="101"/>
        <v>#NUM!</v>
      </c>
      <c r="FH126" s="20" t="e">
        <f t="shared" si="76"/>
        <v>#NUM!</v>
      </c>
      <c r="FI126" s="59" t="e">
        <f t="shared" si="77"/>
        <v>#NUM!</v>
      </c>
      <c r="FJ126" s="59">
        <f ca="1">AVERAGE(OFFSET($FI$3,0,0,'Données projet'!$E$16+1,1))-AVERAGE(OFFSET($H$3,0,0,'Données projet'!$E$16+1,1))</f>
        <v>196.65742339093146</v>
      </c>
      <c r="FK126" s="59">
        <f t="shared" si="102"/>
        <v>125.41980634506001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>
        <f>EXP(-LN(2)/35)*FQ125+(1-EXP(-LN(2)/35))/(LN(2)/35)*FM126*FN126*VLOOKUP('Données projet'!$B$16,Paramètres!$A$1:$I$89,3,0)*0.475*44/12</f>
        <v>13.261054512700333</v>
      </c>
      <c r="FR126" s="21">
        <f>EXP(-LN(2)/25)*FR125+(1-EXP(-LN(2)/25))/(LN(2)/25)*Calculateur!FM126*Calculateur!FO126*VLOOKUP('Données projet'!$B$16,Paramètres!$A$1:$I$89,3,0)*0.475*44/12</f>
        <v>16.92613854529732</v>
      </c>
      <c r="FS126" s="21">
        <f>EXP(-LN(2)/2)*FS125+(1-EXP(-LN(2)/2))/(LN(2)/2)*FM126*FP126*VLOOKUP('Données projet'!$B$16,Paramètres!$A$1:$I$89,3,0)*0.475*44/12</f>
        <v>9.9868179949485132</v>
      </c>
      <c r="FT126" s="22">
        <f t="shared" si="78"/>
        <v>40.17401105294617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67.269457189410815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67.269457189410815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>
      <c r="A127" s="10">
        <f t="shared" si="85"/>
        <v>124</v>
      </c>
      <c r="B127" s="73">
        <f>'Scénario référence'!$B$16*5+'Scénario référence'!$B$17*0+'Scénario référence'!$B$18*5</f>
        <v>4.6999999999999993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6.6156480000000091</v>
      </c>
      <c r="D127" s="11">
        <f t="shared" si="86"/>
        <v>2.4468639827953043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20.396707304312216</v>
      </c>
      <c r="H127" s="67">
        <f t="shared" si="56"/>
        <v>203.51720837003518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67.316826002595349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-2.2737367544323206E-13</v>
      </c>
      <c r="O127" s="13">
        <f>N127*VLOOKUP('Données projet'!$B$9,Paramètres!$A$1:$I$89,3,0)*VLOOKUP('Données projet'!$B$9,Paramètres!$A$1:$I$89,5,0)</f>
        <v>-1.3596945791505279E-13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366.93249569585623</v>
      </c>
      <c r="T127" s="59">
        <f t="shared" si="88"/>
        <v>272.47262353368501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64.122770847200073</v>
      </c>
      <c r="AA127" s="21">
        <f>EXP(-LN(2)/25)*AA126+(1-EXP(-LN(2)/25))/(LN(2)/25)*Calculateur!V127*Calculateur!X127*VLOOKUP('Données projet'!$B$9,Paramètres!$A$1:$I$89,3,0)*0.475*44/12</f>
        <v>15.277431130360956</v>
      </c>
      <c r="AB127" s="21">
        <f>EXP(-LN(2)/2)*AB126+(1-EXP(-LN(2)/2))/(LN(2)/2)*V127*Y127*VLOOKUP('Données projet'!$B$9,Paramètres!$A$1:$I$89,3,0)*0.475*44/12</f>
        <v>1.6860161495496918E-5</v>
      </c>
      <c r="AC127" s="22">
        <f t="shared" si="57"/>
        <v>79.40021883772252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67.316826002595349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1.1368683772161603E-13</v>
      </c>
      <c r="AJ127" s="13">
        <f>AI127*VLOOKUP('Données projet'!$B$10,Paramètres!$A$1:$I$89,3,0)*VLOOKUP('Données projet'!$B$10,Paramètres!$A$1:$I$89,5,0)</f>
        <v>5.3205440053716299E-14</v>
      </c>
      <c r="AK127" s="13">
        <f t="shared" si="89"/>
        <v>8.602146238565607E-13</v>
      </c>
      <c r="AL127" s="20">
        <f t="shared" si="58"/>
        <v>1.590873277977066E-12</v>
      </c>
      <c r="AM127" s="59">
        <f t="shared" si="59"/>
        <v>283.49502867618452</v>
      </c>
      <c r="AN127" s="59">
        <f ca="1">AVERAGE(OFFSET($AM$3,0,0,'Données projet'!$E$10+1,1))-AVERAGE(OFFSET($H$3,0,0,'Données projet'!$E$10+1,1))</f>
        <v>382.89338473200229</v>
      </c>
      <c r="AO127" s="59">
        <f t="shared" si="90"/>
        <v>360.46248248971744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126.47223071218099</v>
      </c>
      <c r="AV127" s="21">
        <f>EXP(-LN(2)/25)*AV126+(1-EXP(-LN(2)/25))/(LN(2)/25)*Calculateur!AQ127*Calculateur!AS127*VLOOKUP('Données projet'!$B$10,Paramètres!$A$1:$I$89,3,0)*0.475*44/12</f>
        <v>32.156111351966082</v>
      </c>
      <c r="AW127" s="21">
        <f>EXP(-LN(2)/2)*AW126+(1-EXP(-LN(2)/2))/(LN(2)/2)*AQ127*AT127*VLOOKUP('Données projet'!$B$10,Paramètres!$A$1:$I$89,3,0)*0.475*44/12</f>
        <v>5.417663784541471E-2</v>
      </c>
      <c r="AX127" s="21">
        <f t="shared" si="60"/>
        <v>158.68251870199248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67.316826002595349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>
        <f>BD127*VLOOKUP('Données projet'!$B$11,Paramètres!$A$1:$I$89,3,0)*VLOOKUP('Données projet'!$B$11,Paramètres!$A$1:$I$89,5,0)</f>
        <v>0</v>
      </c>
      <c r="BF127" s="13" t="e">
        <f t="shared" si="91"/>
        <v>#NUM!</v>
      </c>
      <c r="BG127" s="20" t="e">
        <f t="shared" si="61"/>
        <v>#NUM!</v>
      </c>
      <c r="BH127" s="59" t="e">
        <f t="shared" si="62"/>
        <v>#NUM!</v>
      </c>
      <c r="BI127" s="59">
        <f ca="1">AVERAGE(OFFSET($BH$3,0,0,'Données projet'!$E$11+1,1))-AVERAGE(OFFSET($H$3,0,0,'Données projet'!$E$11+1,1))</f>
        <v>225.75484198243581</v>
      </c>
      <c r="BJ127" s="59">
        <f t="shared" si="92"/>
        <v>199.49566488421061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4.6097019770868632</v>
      </c>
      <c r="BQ127" s="21">
        <f>EXP(-LN(2)/25)*BQ126+(1-EXP(-LN(2)/25))/(LN(2)/25)*Calculateur!BL127*Calculateur!BN127*VLOOKUP('Données projet'!$B$11,Paramètres!$A$1:$I$89,3,0)*0.475*44/12</f>
        <v>20.795113880371826</v>
      </c>
      <c r="BR127" s="21">
        <f>EXP(-LN(2)/2)*BR126+(1-EXP(-LN(2)/2))/(LN(2)/2)*BL127*BO127*VLOOKUP('Données projet'!$B$11,Paramètres!$A$1:$I$89,3,0)*0.475*44/12</f>
        <v>0</v>
      </c>
      <c r="BS127" s="22">
        <f t="shared" si="63"/>
        <v>25.40481585745869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67.316826002595349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1.1368683772161603E-13</v>
      </c>
      <c r="BZ127" s="13">
        <f>BY127*VLOOKUP('Données projet'!$B$12,Paramètres!$A$1:$I$89,3,0)*VLOOKUP('Données projet'!$B$12,Paramètres!$A$1:$I$89,5,0)</f>
        <v>1.0818439477588981E-13</v>
      </c>
      <c r="CA127" s="13">
        <f t="shared" si="93"/>
        <v>1.6104228458716316E-12</v>
      </c>
      <c r="CB127" s="20">
        <f t="shared" si="64"/>
        <v>2.9932409441277661E-12</v>
      </c>
      <c r="CC127" s="59">
        <f t="shared" si="65"/>
        <v>283.49502867618594</v>
      </c>
      <c r="CD127" s="59">
        <f ca="1">AVERAGE(OFFSET($CC$3,0,0,'Données projet'!$E$12+1,1))-AVERAGE(OFFSET($H$3,0,0,'Données projet'!$E$12+1,1))</f>
        <v>413.9352601863377</v>
      </c>
      <c r="CE127" s="59">
        <f t="shared" si="94"/>
        <v>255.13997349799286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42.489306997135415</v>
      </c>
      <c r="CL127" s="21">
        <f>EXP(-LN(2)/25)*CL126+(1-EXP(-LN(2)/25))/(LN(2)/25)*Calculateur!CG127*Calculateur!CI127*VLOOKUP('Données projet'!$B$12,Paramètres!$A$1:$I$89,3,0)*0.475*44/12</f>
        <v>41.371683099488294</v>
      </c>
      <c r="CM127" s="21">
        <f>EXP(-LN(2)/2)*CM126+(1-EXP(-LN(2)/2))/(LN(2)/2)*CG127*CJ127*VLOOKUP('Données projet'!$B$12,Paramètres!$A$1:$I$89,3,0)*0.475*44/12</f>
        <v>16.212612888526177</v>
      </c>
      <c r="CN127" s="22">
        <f t="shared" si="66"/>
        <v>100.07360298514989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67.316826002595349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2.8421709430404007E-14</v>
      </c>
      <c r="CU127" s="17">
        <f>CT127*VLOOKUP('Données projet'!$B$13,Paramètres!$A$1:$I$89,3,0)*VLOOKUP('Données projet'!$B$13,Paramètres!$A$1:$I$89,5,0)</f>
        <v>2.4829205358400945E-14</v>
      </c>
      <c r="CV127" s="13">
        <f t="shared" si="95"/>
        <v>4.3867331143352915E-13</v>
      </c>
      <c r="CW127" s="20">
        <f t="shared" si="67"/>
        <v>8.0726688341261168E-13</v>
      </c>
      <c r="CX127" s="59">
        <f t="shared" si="68"/>
        <v>283.49502867618372</v>
      </c>
      <c r="CY127" s="59">
        <f ca="1">AVERAGE(OFFSET($CX$3,0,0,'Données projet'!$E$13+1,1))-AVERAGE(OFFSET($H$3,0,0,'Données projet'!$E$13+1,1))</f>
        <v>280.59827778697775</v>
      </c>
      <c r="CZ127" s="59">
        <f t="shared" si="96"/>
        <v>270.86588231964726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>
        <f>EXP(-LN(2)/35)*DF126+(1-EXP(-LN(2)/35))/(LN(2)/35)*DB127*DC127*VLOOKUP('Données projet'!$B$13,Paramètres!$A$1:$I$89,3,0)*0.475*44/12</f>
        <v>13.800492764965774</v>
      </c>
      <c r="DG127" s="21">
        <f>EXP(-LN(2)/25)*DG126+(1-EXP(-LN(2)/25))/(LN(2)/25)*Calculateur!DB127*Calculateur!DD127*VLOOKUP('Données projet'!$B$13,Paramètres!$A$1:$I$89,3,0)*0.475*44/12</f>
        <v>10.775368512905008</v>
      </c>
      <c r="DH127" s="21">
        <f>EXP(-LN(2)/2)*DH126+(1-EXP(-LN(2)/2))/(LN(2)/2)*DB127*DE127*VLOOKUP('Données projet'!$B$13,Paramètres!$A$1:$I$89,3,0)*0.475*44/12</f>
        <v>1.083527604118064E-5</v>
      </c>
      <c r="DI127" s="22">
        <f t="shared" si="69"/>
        <v>24.575872113146822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67.316826002595349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>
        <f>DO127*VLOOKUP('Données projet'!$B$14,Paramètres!$A$1:$I$89,3,0)*VLOOKUP('Données projet'!$B$14,Paramètres!$A$1:$I$89,5,0)</f>
        <v>0</v>
      </c>
      <c r="DQ127" s="13" t="e">
        <f t="shared" si="97"/>
        <v>#NUM!</v>
      </c>
      <c r="DR127" s="20" t="e">
        <f t="shared" si="70"/>
        <v>#NUM!</v>
      </c>
      <c r="DS127" s="59" t="e">
        <f t="shared" si="71"/>
        <v>#NUM!</v>
      </c>
      <c r="DT127" s="59">
        <f ca="1">AVERAGE(OFFSET($DS$3,0,0,'Données projet'!$E$14+1,1))-AVERAGE(OFFSET($H$3,0,0,'Données projet'!$E$14+1,1))</f>
        <v>211.42385430331873</v>
      </c>
      <c r="DU127" s="59">
        <f t="shared" si="98"/>
        <v>146.84623106782686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>
        <f>EXP(-LN(2)/35)*EA126+(1-EXP(-LN(2)/35))/(LN(2)/35)*DW127*DX127*VLOOKUP('Données projet'!$B$14,Paramètres!$A$1:$I$89,3,0)*0.475*44/12</f>
        <v>20.300494750134</v>
      </c>
      <c r="EB127" s="21">
        <f>EXP(-LN(2)/25)*EB126+(1-EXP(-LN(2)/25))/(LN(2)/25)*Calculateur!DW127*Calculateur!DY127*VLOOKUP('Données projet'!$B$14,Paramètres!$A$1:$I$89,3,0)*0.475*44/12</f>
        <v>19.846714861782413</v>
      </c>
      <c r="EC127" s="21">
        <f>EXP(-LN(2)/2)*EC126+(1-EXP(-LN(2)/2))/(LN(2)/2)*DW127*DZ127*VLOOKUP('Données projet'!$B$14,Paramètres!$A$1:$I$89,3,0)*0.475*44/12</f>
        <v>1.2984172450206657</v>
      </c>
      <c r="ED127" s="22">
        <f t="shared" si="72"/>
        <v>41.445626856937075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67.316826002595349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-9.9475983006414026E-14</v>
      </c>
      <c r="EK127" s="17">
        <f>EJ127*VLOOKUP('Données projet'!$B$15,Paramètres!$A$1:$I$89,3,0)*VLOOKUP('Données projet'!$B$15,Paramètres!$A$1:$I$89,5,0)</f>
        <v>-1.0707594810810407E-13</v>
      </c>
      <c r="EL127" s="13" t="e">
        <f t="shared" si="99"/>
        <v>#NUM!</v>
      </c>
      <c r="EM127" s="20" t="e">
        <f t="shared" si="73"/>
        <v>#NUM!</v>
      </c>
      <c r="EN127" s="59" t="e">
        <f t="shared" si="74"/>
        <v>#NUM!</v>
      </c>
      <c r="EO127" s="59">
        <f ca="1">AVERAGE(OFFSET($EN$3,0,0,'Données projet'!$E$15+1,1))-AVERAGE(OFFSET($H$3,0,0,'Données projet'!$E$15+1,1))</f>
        <v>212.00478362779876</v>
      </c>
      <c r="EP127" s="59">
        <f t="shared" si="100"/>
        <v>133.62262474506707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>
        <f>EXP(-LN(2)/35)*EV126+(1-EXP(-LN(2)/35))/(LN(2)/35)*ER127*ES127*VLOOKUP('Données projet'!$B$15,Paramètres!$A$1:$I$89,3,0)*0.475*44/12</f>
        <v>14.468869664974347</v>
      </c>
      <c r="EW127" s="21">
        <f>EXP(-LN(2)/25)*EW126+(1-EXP(-LN(2)/25))/(LN(2)/25)*Calculateur!ER127*Calculateur!ET127*VLOOKUP('Données projet'!$B$15,Paramètres!$A$1:$I$89,3,0)*0.475*44/12</f>
        <v>18.322051215648006</v>
      </c>
      <c r="EX127" s="21">
        <f>EXP(-LN(2)/2)*EX126+(1-EXP(-LN(2)/2))/(LN(2)/2)*ER127*EU127*VLOOKUP('Données projet'!$B$15,Paramètres!$A$1:$I$89,3,0)*0.475*44/12</f>
        <v>7.8590407119769585</v>
      </c>
      <c r="EY127" s="22">
        <f t="shared" si="75"/>
        <v>40.649961592599311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67.316826002595349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-9.9475983006414026E-14</v>
      </c>
      <c r="FF127" s="17">
        <f>FE127*VLOOKUP('Données projet'!$B$16,Paramètres!$A$1:$I$89,3,0)*VLOOKUP('Données projet'!$B$16,Paramètres!$A$1:$I$89,5,0)</f>
        <v>-9.6213170763803652E-14</v>
      </c>
      <c r="FG127" s="13" t="e">
        <f t="shared" si="101"/>
        <v>#NUM!</v>
      </c>
      <c r="FH127" s="20" t="e">
        <f t="shared" si="76"/>
        <v>#NUM!</v>
      </c>
      <c r="FI127" s="59" t="e">
        <f t="shared" si="77"/>
        <v>#NUM!</v>
      </c>
      <c r="FJ127" s="59">
        <f ca="1">AVERAGE(OFFSET($FI$3,0,0,'Données projet'!$E$16+1,1))-AVERAGE(OFFSET($H$3,0,0,'Données projet'!$E$16+1,1))</f>
        <v>196.65742339093146</v>
      </c>
      <c r="FK127" s="59">
        <f t="shared" si="102"/>
        <v>125.41980634506001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>
        <f>EXP(-LN(2)/35)*FQ126+(1-EXP(-LN(2)/35))/(LN(2)/35)*FM127*FN127*VLOOKUP('Données projet'!$B$16,Paramètres!$A$1:$I$89,3,0)*0.475*44/12</f>
        <v>13.001013322150865</v>
      </c>
      <c r="FR127" s="21">
        <f>EXP(-LN(2)/25)*FR126+(1-EXP(-LN(2)/25))/(LN(2)/25)*Calculateur!FM127*Calculateur!FO127*VLOOKUP('Données projet'!$B$16,Paramètres!$A$1:$I$89,3,0)*0.475*44/12</f>
        <v>16.463292396669225</v>
      </c>
      <c r="FS127" s="21">
        <f>EXP(-LN(2)/2)*FS126+(1-EXP(-LN(2)/2))/(LN(2)/2)*FM127*FP127*VLOOKUP('Données projet'!$B$16,Paramètres!$A$1:$I$89,3,0)*0.475*44/12</f>
        <v>7.0617467267039338</v>
      </c>
      <c r="FT127" s="22">
        <f t="shared" si="78"/>
        <v>36.526052445524023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67.316826002595349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67.316826002595349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>
      <c r="A128" s="10">
        <f t="shared" si="85"/>
        <v>125</v>
      </c>
      <c r="B128" s="73">
        <f>'Scénario référence'!$B$16*5+'Scénario référence'!$B$17*0+'Scénario référence'!$B$18*5</f>
        <v>4.6999999999999993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6.6690000000000094</v>
      </c>
      <c r="D128" s="11">
        <f t="shared" si="86"/>
        <v>2.4642917027912494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20.429489490415598</v>
      </c>
      <c r="H128" s="67">
        <f t="shared" si="56"/>
        <v>203.64048304902812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67.363373072771921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-2.2737367544323206E-13</v>
      </c>
      <c r="O128" s="13">
        <f>N128*VLOOKUP('Données projet'!$B$9,Paramètres!$A$1:$I$89,3,0)*VLOOKUP('Données projet'!$B$9,Paramètres!$A$1:$I$89,5,0)</f>
        <v>-1.3596945791505279E-13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366.93249569585623</v>
      </c>
      <c r="T128" s="59">
        <f t="shared" si="88"/>
        <v>272.47262353368501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62.865362421914803</v>
      </c>
      <c r="AA128" s="21">
        <f>EXP(-LN(2)/25)*AA127+(1-EXP(-LN(2)/25))/(LN(2)/25)*Calculateur!V128*Calculateur!X128*VLOOKUP('Données projet'!$B$9,Paramètres!$A$1:$I$89,3,0)*0.475*44/12</f>
        <v>14.859668972696049</v>
      </c>
      <c r="AB128" s="21">
        <f>EXP(-LN(2)/2)*AB127+(1-EXP(-LN(2)/2))/(LN(2)/2)*V128*Y128*VLOOKUP('Données projet'!$B$9,Paramètres!$A$1:$I$89,3,0)*0.475*44/12</f>
        <v>1.1921934525366193E-5</v>
      </c>
      <c r="AC128" s="22">
        <f t="shared" si="57"/>
        <v>77.725043316545381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67.363373072771921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1.1368683772161603E-13</v>
      </c>
      <c r="AJ128" s="13">
        <f>AI128*VLOOKUP('Données projet'!$B$10,Paramètres!$A$1:$I$89,3,0)*VLOOKUP('Données projet'!$B$10,Paramètres!$A$1:$I$89,5,0)</f>
        <v>5.3205440053716299E-14</v>
      </c>
      <c r="AK128" s="13">
        <f t="shared" si="89"/>
        <v>8.602146238565607E-13</v>
      </c>
      <c r="AL128" s="20">
        <f t="shared" si="58"/>
        <v>1.590873277977066E-12</v>
      </c>
      <c r="AM128" s="59">
        <f t="shared" si="59"/>
        <v>283.66570126683195</v>
      </c>
      <c r="AN128" s="59">
        <f ca="1">AVERAGE(OFFSET($AM$3,0,0,'Données projet'!$E$10+1,1))-AVERAGE(OFFSET($H$3,0,0,'Données projet'!$E$10+1,1))</f>
        <v>382.89338473200229</v>
      </c>
      <c r="AO128" s="59">
        <f t="shared" si="90"/>
        <v>360.46248248971744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123.99218740835887</v>
      </c>
      <c r="AV128" s="21">
        <f>EXP(-LN(2)/25)*AV127+(1-EXP(-LN(2)/25))/(LN(2)/25)*Calculateur!AQ128*Calculateur!AS128*VLOOKUP('Données projet'!$B$10,Paramètres!$A$1:$I$89,3,0)*0.475*44/12</f>
        <v>31.276800796030166</v>
      </c>
      <c r="AW128" s="21">
        <f>EXP(-LN(2)/2)*AW127+(1-EXP(-LN(2)/2))/(LN(2)/2)*AQ128*AT128*VLOOKUP('Données projet'!$B$10,Paramètres!$A$1:$I$89,3,0)*0.475*44/12</f>
        <v>3.8308668002380489E-2</v>
      </c>
      <c r="AX128" s="21">
        <f t="shared" si="60"/>
        <v>155.30729687239142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67.363373072771921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>
        <f>BD128*VLOOKUP('Données projet'!$B$11,Paramètres!$A$1:$I$89,3,0)*VLOOKUP('Données projet'!$B$11,Paramètres!$A$1:$I$89,5,0)</f>
        <v>0</v>
      </c>
      <c r="BF128" s="13" t="e">
        <f t="shared" si="91"/>
        <v>#NUM!</v>
      </c>
      <c r="BG128" s="20" t="e">
        <f t="shared" si="61"/>
        <v>#NUM!</v>
      </c>
      <c r="BH128" s="59" t="e">
        <f t="shared" si="62"/>
        <v>#NUM!</v>
      </c>
      <c r="BI128" s="59">
        <f ca="1">AVERAGE(OFFSET($BH$3,0,0,'Données projet'!$E$11+1,1))-AVERAGE(OFFSET($H$3,0,0,'Données projet'!$E$11+1,1))</f>
        <v>225.75484198243581</v>
      </c>
      <c r="BJ128" s="59">
        <f t="shared" si="92"/>
        <v>199.49566488421061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4.519308532956769</v>
      </c>
      <c r="BQ128" s="21">
        <f>EXP(-LN(2)/25)*BQ127+(1-EXP(-LN(2)/25))/(LN(2)/25)*Calculateur!BL128*Calculateur!BN128*VLOOKUP('Données projet'!$B$11,Paramètres!$A$1:$I$89,3,0)*0.475*44/12</f>
        <v>20.226470397745548</v>
      </c>
      <c r="BR128" s="21">
        <f>EXP(-LN(2)/2)*BR127+(1-EXP(-LN(2)/2))/(LN(2)/2)*BL128*BO128*VLOOKUP('Données projet'!$B$11,Paramètres!$A$1:$I$89,3,0)*0.475*44/12</f>
        <v>0</v>
      </c>
      <c r="BS128" s="22">
        <f t="shared" si="63"/>
        <v>24.745778930702315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67.363373072771921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1.1368683772161603E-13</v>
      </c>
      <c r="BZ128" s="13">
        <f>BY128*VLOOKUP('Données projet'!$B$12,Paramètres!$A$1:$I$89,3,0)*VLOOKUP('Données projet'!$B$12,Paramètres!$A$1:$I$89,5,0)</f>
        <v>1.0818439477588981E-13</v>
      </c>
      <c r="CA128" s="13">
        <f t="shared" si="93"/>
        <v>1.6104228458716316E-12</v>
      </c>
      <c r="CB128" s="20">
        <f t="shared" si="64"/>
        <v>2.9932409441277661E-12</v>
      </c>
      <c r="CC128" s="59">
        <f t="shared" si="65"/>
        <v>283.66570126683337</v>
      </c>
      <c r="CD128" s="59">
        <f ca="1">AVERAGE(OFFSET($CC$3,0,0,'Données projet'!$E$12+1,1))-AVERAGE(OFFSET($H$3,0,0,'Données projet'!$E$12+1,1))</f>
        <v>413.9352601863377</v>
      </c>
      <c r="CE128" s="59">
        <f t="shared" si="94"/>
        <v>255.13997349799286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41.656117602839871</v>
      </c>
      <c r="CL128" s="21">
        <f>EXP(-LN(2)/25)*CL127+(1-EXP(-LN(2)/25))/(LN(2)/25)*Calculateur!CG128*Calculateur!CI128*VLOOKUP('Données projet'!$B$12,Paramètres!$A$1:$I$89,3,0)*0.475*44/12</f>
        <v>40.240372249490527</v>
      </c>
      <c r="CM128" s="21">
        <f>EXP(-LN(2)/2)*CM127+(1-EXP(-LN(2)/2))/(LN(2)/2)*CG128*CJ128*VLOOKUP('Données projet'!$B$12,Paramètres!$A$1:$I$89,3,0)*0.475*44/12</f>
        <v>11.46404851422928</v>
      </c>
      <c r="CN128" s="22">
        <f t="shared" si="66"/>
        <v>93.36053836655968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67.363373072771921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2.8421709430404007E-14</v>
      </c>
      <c r="CU128" s="17">
        <f>CT128*VLOOKUP('Données projet'!$B$13,Paramètres!$A$1:$I$89,3,0)*VLOOKUP('Données projet'!$B$13,Paramètres!$A$1:$I$89,5,0)</f>
        <v>2.4829205358400945E-14</v>
      </c>
      <c r="CV128" s="13">
        <f t="shared" si="95"/>
        <v>4.3867331143352915E-13</v>
      </c>
      <c r="CW128" s="20">
        <f t="shared" si="67"/>
        <v>8.0726688341261168E-13</v>
      </c>
      <c r="CX128" s="59">
        <f t="shared" si="68"/>
        <v>283.66570126683115</v>
      </c>
      <c r="CY128" s="59">
        <f ca="1">AVERAGE(OFFSET($CX$3,0,0,'Données projet'!$E$13+1,1))-AVERAGE(OFFSET($H$3,0,0,'Données projet'!$E$13+1,1))</f>
        <v>280.59827778697775</v>
      </c>
      <c r="CZ128" s="59">
        <f t="shared" si="96"/>
        <v>270.86588231964726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>
        <f>EXP(-LN(2)/35)*DF127+(1-EXP(-LN(2)/35))/(LN(2)/35)*DB128*DC128*VLOOKUP('Données projet'!$B$13,Paramètres!$A$1:$I$89,3,0)*0.475*44/12</f>
        <v>13.529873519314226</v>
      </c>
      <c r="DG128" s="21">
        <f>EXP(-LN(2)/25)*DG127+(1-EXP(-LN(2)/25))/(LN(2)/25)*Calculateur!DB128*Calculateur!DD128*VLOOKUP('Données projet'!$B$13,Paramètres!$A$1:$I$89,3,0)*0.475*44/12</f>
        <v>10.480715494267617</v>
      </c>
      <c r="DH128" s="21">
        <f>EXP(-LN(2)/2)*DH127+(1-EXP(-LN(2)/2))/(LN(2)/2)*DB128*DE128*VLOOKUP('Données projet'!$B$13,Paramètres!$A$1:$I$89,3,0)*0.475*44/12</f>
        <v>7.6616971647469595E-6</v>
      </c>
      <c r="DI128" s="22">
        <f t="shared" si="69"/>
        <v>24.010596675279007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67.363373072771921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>
        <f>DO128*VLOOKUP('Données projet'!$B$14,Paramètres!$A$1:$I$89,3,0)*VLOOKUP('Données projet'!$B$14,Paramètres!$A$1:$I$89,5,0)</f>
        <v>0</v>
      </c>
      <c r="DQ128" s="13" t="e">
        <f t="shared" si="97"/>
        <v>#NUM!</v>
      </c>
      <c r="DR128" s="20" t="e">
        <f t="shared" si="70"/>
        <v>#NUM!</v>
      </c>
      <c r="DS128" s="59" t="e">
        <f t="shared" si="71"/>
        <v>#NUM!</v>
      </c>
      <c r="DT128" s="59">
        <f ca="1">AVERAGE(OFFSET($DS$3,0,0,'Données projet'!$E$14+1,1))-AVERAGE(OFFSET($H$3,0,0,'Données projet'!$E$14+1,1))</f>
        <v>211.42385430331873</v>
      </c>
      <c r="DU128" s="59">
        <f t="shared" si="98"/>
        <v>146.84623106782686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>
        <f>EXP(-LN(2)/35)*EA127+(1-EXP(-LN(2)/35))/(LN(2)/35)*DW128*DX128*VLOOKUP('Données projet'!$B$14,Paramètres!$A$1:$I$89,3,0)*0.475*44/12</f>
        <v>19.902414430163041</v>
      </c>
      <c r="EB128" s="21">
        <f>EXP(-LN(2)/25)*EB127+(1-EXP(-LN(2)/25))/(LN(2)/25)*Calculateur!DW128*Calculateur!DY128*VLOOKUP('Données projet'!$B$14,Paramètres!$A$1:$I$89,3,0)*0.475*44/12</f>
        <v>19.304005400193599</v>
      </c>
      <c r="EC128" s="21">
        <f>EXP(-LN(2)/2)*EC127+(1-EXP(-LN(2)/2))/(LN(2)/2)*DW128*DZ128*VLOOKUP('Données projet'!$B$14,Paramètres!$A$1:$I$89,3,0)*0.475*44/12</f>
        <v>0.91811963876366776</v>
      </c>
      <c r="ED128" s="22">
        <f t="shared" si="72"/>
        <v>40.124539469120307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67.363373072771921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-9.9475983006414026E-14</v>
      </c>
      <c r="EK128" s="17">
        <f>EJ128*VLOOKUP('Données projet'!$B$15,Paramètres!$A$1:$I$89,3,0)*VLOOKUP('Données projet'!$B$15,Paramètres!$A$1:$I$89,5,0)</f>
        <v>-1.0707594810810407E-13</v>
      </c>
      <c r="EL128" s="13" t="e">
        <f t="shared" si="99"/>
        <v>#NUM!</v>
      </c>
      <c r="EM128" s="20" t="e">
        <f t="shared" si="73"/>
        <v>#NUM!</v>
      </c>
      <c r="EN128" s="59" t="e">
        <f t="shared" si="74"/>
        <v>#NUM!</v>
      </c>
      <c r="EO128" s="59">
        <f ca="1">AVERAGE(OFFSET($EN$3,0,0,'Données projet'!$E$15+1,1))-AVERAGE(OFFSET($H$3,0,0,'Données projet'!$E$15+1,1))</f>
        <v>212.00478362779876</v>
      </c>
      <c r="EP128" s="59">
        <f t="shared" si="100"/>
        <v>133.62262474506707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>
        <f>EXP(-LN(2)/35)*EV127+(1-EXP(-LN(2)/35))/(LN(2)/35)*ER128*ES128*VLOOKUP('Données projet'!$B$15,Paramètres!$A$1:$I$89,3,0)*0.475*44/12</f>
        <v>14.185143955983285</v>
      </c>
      <c r="EW128" s="21">
        <f>EXP(-LN(2)/25)*EW127+(1-EXP(-LN(2)/25))/(LN(2)/25)*Calculateur!ER128*Calculateur!ET128*VLOOKUP('Données projet'!$B$15,Paramètres!$A$1:$I$89,3,0)*0.475*44/12</f>
        <v>17.821033761641313</v>
      </c>
      <c r="EX128" s="21">
        <f>EXP(-LN(2)/2)*EX127+(1-EXP(-LN(2)/2))/(LN(2)/2)*ER128*EU128*VLOOKUP('Données projet'!$B$15,Paramètres!$A$1:$I$89,3,0)*0.475*44/12</f>
        <v>5.5571809810600605</v>
      </c>
      <c r="EY128" s="22">
        <f t="shared" si="75"/>
        <v>37.563358698684652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67.363373072771921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-9.9475983006414026E-14</v>
      </c>
      <c r="FF128" s="17">
        <f>FE128*VLOOKUP('Données projet'!$B$16,Paramètres!$A$1:$I$89,3,0)*VLOOKUP('Données projet'!$B$16,Paramètres!$A$1:$I$89,5,0)</f>
        <v>-9.6213170763803652E-14</v>
      </c>
      <c r="FG128" s="13" t="e">
        <f t="shared" si="101"/>
        <v>#NUM!</v>
      </c>
      <c r="FH128" s="20" t="e">
        <f t="shared" si="76"/>
        <v>#NUM!</v>
      </c>
      <c r="FI128" s="59" t="e">
        <f t="shared" si="77"/>
        <v>#NUM!</v>
      </c>
      <c r="FJ128" s="59">
        <f ca="1">AVERAGE(OFFSET($FI$3,0,0,'Données projet'!$E$16+1,1))-AVERAGE(OFFSET($H$3,0,0,'Données projet'!$E$16+1,1))</f>
        <v>196.65742339093146</v>
      </c>
      <c r="FK128" s="59">
        <f t="shared" si="102"/>
        <v>125.41980634506001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>
        <f>EXP(-LN(2)/35)*FQ127+(1-EXP(-LN(2)/35))/(LN(2)/35)*FM128*FN128*VLOOKUP('Données projet'!$B$16,Paramètres!$A$1:$I$89,3,0)*0.475*44/12</f>
        <v>12.746071380738606</v>
      </c>
      <c r="FR128" s="21">
        <f>EXP(-LN(2)/25)*FR127+(1-EXP(-LN(2)/25))/(LN(2)/25)*Calculateur!FM128*Calculateur!FO128*VLOOKUP('Données projet'!$B$16,Paramètres!$A$1:$I$89,3,0)*0.475*44/12</f>
        <v>16.013102800315384</v>
      </c>
      <c r="FS128" s="21">
        <f>EXP(-LN(2)/2)*FS127+(1-EXP(-LN(2)/2))/(LN(2)/2)*FM128*FP128*VLOOKUP('Données projet'!$B$16,Paramètres!$A$1:$I$89,3,0)*0.475*44/12</f>
        <v>4.9934089974742575</v>
      </c>
      <c r="FT128" s="22">
        <f t="shared" si="78"/>
        <v>33.752583178528248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67.363373072771921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67.363373072771921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>
      <c r="A129" s="10">
        <f t="shared" si="85"/>
        <v>126</v>
      </c>
      <c r="B129" s="73">
        <f>'Scénario référence'!$B$16*5+'Scénario référence'!$B$17*0+'Scénario référence'!$B$18*5</f>
        <v>4.6999999999999993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6.7223520000000097</v>
      </c>
      <c r="D129" s="11">
        <f t="shared" si="86"/>
        <v>2.481703201465054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20.462264163485571</v>
      </c>
      <c r="H129" s="67">
        <f t="shared" si="56"/>
        <v>203.76372947588499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67.409112655344586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-2.2737367544323206E-13</v>
      </c>
      <c r="O129" s="13">
        <f>N129*VLOOKUP('Données projet'!$B$9,Paramètres!$A$1:$I$89,3,0)*VLOOKUP('Données projet'!$B$9,Paramètres!$A$1:$I$89,5,0)</f>
        <v>-1.3596945791505279E-13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366.93249569585623</v>
      </c>
      <c r="T129" s="59">
        <f t="shared" si="88"/>
        <v>272.47262353368501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61.632611008905968</v>
      </c>
      <c r="AA129" s="21">
        <f>EXP(-LN(2)/25)*AA128+(1-EXP(-LN(2)/25))/(LN(2)/25)*Calculateur!V129*Calculateur!X129*VLOOKUP('Données projet'!$B$9,Paramètres!$A$1:$I$89,3,0)*0.475*44/12</f>
        <v>14.453330543201647</v>
      </c>
      <c r="AB129" s="21">
        <f>EXP(-LN(2)/2)*AB128+(1-EXP(-LN(2)/2))/(LN(2)/2)*V129*Y129*VLOOKUP('Données projet'!$B$9,Paramètres!$A$1:$I$89,3,0)*0.475*44/12</f>
        <v>8.4300807477484592E-6</v>
      </c>
      <c r="AC129" s="22">
        <f t="shared" si="57"/>
        <v>76.085949982188367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67.409112655344586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1.1368683772161603E-13</v>
      </c>
      <c r="AJ129" s="13">
        <f>AI129*VLOOKUP('Données projet'!$B$10,Paramètres!$A$1:$I$89,3,0)*VLOOKUP('Données projet'!$B$10,Paramètres!$A$1:$I$89,5,0)</f>
        <v>5.3205440053716299E-14</v>
      </c>
      <c r="AK129" s="13">
        <f t="shared" si="89"/>
        <v>8.602146238565607E-13</v>
      </c>
      <c r="AL129" s="20">
        <f t="shared" si="58"/>
        <v>1.590873277977066E-12</v>
      </c>
      <c r="AM129" s="59">
        <f t="shared" si="59"/>
        <v>283.83341306959841</v>
      </c>
      <c r="AN129" s="59">
        <f ca="1">AVERAGE(OFFSET($AM$3,0,0,'Données projet'!$E$10+1,1))-AVERAGE(OFFSET($H$3,0,0,'Données projet'!$E$10+1,1))</f>
        <v>382.89338473200229</v>
      </c>
      <c r="AO129" s="59">
        <f t="shared" si="90"/>
        <v>360.46248248971744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121.56077624104765</v>
      </c>
      <c r="AV129" s="21">
        <f>EXP(-LN(2)/25)*AV128+(1-EXP(-LN(2)/25))/(LN(2)/25)*Calculateur!AQ129*Calculateur!AS129*VLOOKUP('Données projet'!$B$10,Paramètres!$A$1:$I$89,3,0)*0.475*44/12</f>
        <v>30.421535033487253</v>
      </c>
      <c r="AW129" s="21">
        <f>EXP(-LN(2)/2)*AW128+(1-EXP(-LN(2)/2))/(LN(2)/2)*AQ129*AT129*VLOOKUP('Données projet'!$B$10,Paramètres!$A$1:$I$89,3,0)*0.475*44/12</f>
        <v>2.7088318922707355E-2</v>
      </c>
      <c r="AX129" s="21">
        <f t="shared" si="60"/>
        <v>152.0093995934576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67.409112655344586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>
        <f>BD129*VLOOKUP('Données projet'!$B$11,Paramètres!$A$1:$I$89,3,0)*VLOOKUP('Données projet'!$B$11,Paramètres!$A$1:$I$89,5,0)</f>
        <v>0</v>
      </c>
      <c r="BF129" s="13" t="e">
        <f t="shared" si="91"/>
        <v>#NUM!</v>
      </c>
      <c r="BG129" s="20" t="e">
        <f t="shared" si="61"/>
        <v>#NUM!</v>
      </c>
      <c r="BH129" s="59" t="e">
        <f t="shared" si="62"/>
        <v>#NUM!</v>
      </c>
      <c r="BI129" s="59">
        <f ca="1">AVERAGE(OFFSET($BH$3,0,0,'Données projet'!$E$11+1,1))-AVERAGE(OFFSET($H$3,0,0,'Données projet'!$E$11+1,1))</f>
        <v>225.75484198243581</v>
      </c>
      <c r="BJ129" s="59">
        <f t="shared" si="92"/>
        <v>199.49566488421061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4.4306876491315093</v>
      </c>
      <c r="BQ129" s="21">
        <f>EXP(-LN(2)/25)*BQ128+(1-EXP(-LN(2)/25))/(LN(2)/25)*Calculateur!BL129*Calculateur!BN129*VLOOKUP('Données projet'!$B$11,Paramètres!$A$1:$I$89,3,0)*0.475*44/12</f>
        <v>19.673376501055344</v>
      </c>
      <c r="BR129" s="21">
        <f>EXP(-LN(2)/2)*BR128+(1-EXP(-LN(2)/2))/(LN(2)/2)*BL129*BO129*VLOOKUP('Données projet'!$B$11,Paramètres!$A$1:$I$89,3,0)*0.475*44/12</f>
        <v>0</v>
      </c>
      <c r="BS129" s="22">
        <f t="shared" si="63"/>
        <v>24.104064150186854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67.409112655344586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1.1368683772161603E-13</v>
      </c>
      <c r="BZ129" s="13">
        <f>BY129*VLOOKUP('Données projet'!$B$12,Paramètres!$A$1:$I$89,3,0)*VLOOKUP('Données projet'!$B$12,Paramètres!$A$1:$I$89,5,0)</f>
        <v>1.0818439477588981E-13</v>
      </c>
      <c r="CA129" s="13">
        <f t="shared" si="93"/>
        <v>1.6104228458716316E-12</v>
      </c>
      <c r="CB129" s="20">
        <f t="shared" si="64"/>
        <v>2.9932409441277661E-12</v>
      </c>
      <c r="CC129" s="59">
        <f t="shared" si="65"/>
        <v>283.83341306959983</v>
      </c>
      <c r="CD129" s="59">
        <f ca="1">AVERAGE(OFFSET($CC$3,0,0,'Données projet'!$E$12+1,1))-AVERAGE(OFFSET($H$3,0,0,'Données projet'!$E$12+1,1))</f>
        <v>413.9352601863377</v>
      </c>
      <c r="CE129" s="59">
        <f t="shared" si="94"/>
        <v>255.13997349799286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40.839266544371114</v>
      </c>
      <c r="CL129" s="21">
        <f>EXP(-LN(2)/25)*CL128+(1-EXP(-LN(2)/25))/(LN(2)/25)*Calculateur!CG129*Calculateur!CI129*VLOOKUP('Données projet'!$B$12,Paramètres!$A$1:$I$89,3,0)*0.475*44/12</f>
        <v>39.139997154178999</v>
      </c>
      <c r="CM129" s="21">
        <f>EXP(-LN(2)/2)*CM128+(1-EXP(-LN(2)/2))/(LN(2)/2)*CG129*CJ129*VLOOKUP('Données projet'!$B$12,Paramètres!$A$1:$I$89,3,0)*0.475*44/12</f>
        <v>8.1063064442630886</v>
      </c>
      <c r="CN129" s="22">
        <f t="shared" si="66"/>
        <v>88.085570142813197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67.409112655344586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2.8421709430404007E-14</v>
      </c>
      <c r="CU129" s="17">
        <f>CT129*VLOOKUP('Données projet'!$B$13,Paramètres!$A$1:$I$89,3,0)*VLOOKUP('Données projet'!$B$13,Paramètres!$A$1:$I$89,5,0)</f>
        <v>2.4829205358400945E-14</v>
      </c>
      <c r="CV129" s="13">
        <f t="shared" si="95"/>
        <v>4.3867331143352915E-13</v>
      </c>
      <c r="CW129" s="20">
        <f t="shared" si="67"/>
        <v>8.0726688341261168E-13</v>
      </c>
      <c r="CX129" s="59">
        <f t="shared" si="68"/>
        <v>283.83341306959761</v>
      </c>
      <c r="CY129" s="59">
        <f ca="1">AVERAGE(OFFSET($CX$3,0,0,'Données projet'!$E$13+1,1))-AVERAGE(OFFSET($H$3,0,0,'Données projet'!$E$13+1,1))</f>
        <v>280.59827778697775</v>
      </c>
      <c r="CZ129" s="59">
        <f t="shared" si="96"/>
        <v>270.86588231964726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>
        <f>EXP(-LN(2)/35)*DF128+(1-EXP(-LN(2)/35))/(LN(2)/35)*DB129*DC129*VLOOKUP('Données projet'!$B$13,Paramètres!$A$1:$I$89,3,0)*0.475*44/12</f>
        <v>13.264560952008463</v>
      </c>
      <c r="DG129" s="21">
        <f>EXP(-LN(2)/25)*DG128+(1-EXP(-LN(2)/25))/(LN(2)/25)*Calculateur!DB129*Calculateur!DD129*VLOOKUP('Données projet'!$B$13,Paramètres!$A$1:$I$89,3,0)*0.475*44/12</f>
        <v>10.194119777919996</v>
      </c>
      <c r="DH129" s="21">
        <f>EXP(-LN(2)/2)*DH128+(1-EXP(-LN(2)/2))/(LN(2)/2)*DB129*DE129*VLOOKUP('Données projet'!$B$13,Paramètres!$A$1:$I$89,3,0)*0.475*44/12</f>
        <v>5.41763802059032E-6</v>
      </c>
      <c r="DI129" s="22">
        <f t="shared" si="69"/>
        <v>23.458686147566482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67.409112655344586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>
        <f>DO129*VLOOKUP('Données projet'!$B$14,Paramètres!$A$1:$I$89,3,0)*VLOOKUP('Données projet'!$B$14,Paramètres!$A$1:$I$89,5,0)</f>
        <v>0</v>
      </c>
      <c r="DQ129" s="13" t="e">
        <f t="shared" si="97"/>
        <v>#NUM!</v>
      </c>
      <c r="DR129" s="20" t="e">
        <f t="shared" si="70"/>
        <v>#NUM!</v>
      </c>
      <c r="DS129" s="59" t="e">
        <f t="shared" si="71"/>
        <v>#NUM!</v>
      </c>
      <c r="DT129" s="59">
        <f ca="1">AVERAGE(OFFSET($DS$3,0,0,'Données projet'!$E$14+1,1))-AVERAGE(OFFSET($H$3,0,0,'Données projet'!$E$14+1,1))</f>
        <v>211.42385430331873</v>
      </c>
      <c r="DU129" s="59">
        <f t="shared" si="98"/>
        <v>146.84623106782686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>
        <f>EXP(-LN(2)/35)*EA128+(1-EXP(-LN(2)/35))/(LN(2)/35)*DW129*DX129*VLOOKUP('Données projet'!$B$14,Paramètres!$A$1:$I$89,3,0)*0.475*44/12</f>
        <v>19.512140222461692</v>
      </c>
      <c r="EB129" s="21">
        <f>EXP(-LN(2)/25)*EB128+(1-EXP(-LN(2)/25))/(LN(2)/25)*Calculateur!DW129*Calculateur!DY129*VLOOKUP('Données projet'!$B$14,Paramètres!$A$1:$I$89,3,0)*0.475*44/12</f>
        <v>18.776136357371779</v>
      </c>
      <c r="EC129" s="21">
        <f>EXP(-LN(2)/2)*EC128+(1-EXP(-LN(2)/2))/(LN(2)/2)*DW129*DZ129*VLOOKUP('Données projet'!$B$14,Paramètres!$A$1:$I$89,3,0)*0.475*44/12</f>
        <v>0.64920862251033296</v>
      </c>
      <c r="ED129" s="22">
        <f t="shared" si="72"/>
        <v>38.937485202343808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67.409112655344586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-9.9475983006414026E-14</v>
      </c>
      <c r="EK129" s="17">
        <f>EJ129*VLOOKUP('Données projet'!$B$15,Paramètres!$A$1:$I$89,3,0)*VLOOKUP('Données projet'!$B$15,Paramètres!$A$1:$I$89,5,0)</f>
        <v>-1.0707594810810407E-13</v>
      </c>
      <c r="EL129" s="13" t="e">
        <f t="shared" si="99"/>
        <v>#NUM!</v>
      </c>
      <c r="EM129" s="20" t="e">
        <f t="shared" si="73"/>
        <v>#NUM!</v>
      </c>
      <c r="EN129" s="59" t="e">
        <f t="shared" si="74"/>
        <v>#NUM!</v>
      </c>
      <c r="EO129" s="59">
        <f ca="1">AVERAGE(OFFSET($EN$3,0,0,'Données projet'!$E$15+1,1))-AVERAGE(OFFSET($H$3,0,0,'Données projet'!$E$15+1,1))</f>
        <v>212.00478362779876</v>
      </c>
      <c r="EP129" s="59">
        <f t="shared" si="100"/>
        <v>133.62262474506707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>
        <f>EXP(-LN(2)/35)*EV128+(1-EXP(-LN(2)/35))/(LN(2)/35)*ER129*ES129*VLOOKUP('Données projet'!$B$15,Paramètres!$A$1:$I$89,3,0)*0.475*44/12</f>
        <v>13.906981935089943</v>
      </c>
      <c r="EW129" s="21">
        <f>EXP(-LN(2)/25)*EW128+(1-EXP(-LN(2)/25))/(LN(2)/25)*Calculateur!ER129*Calculateur!ET129*VLOOKUP('Données projet'!$B$15,Paramètres!$A$1:$I$89,3,0)*0.475*44/12</f>
        <v>17.333716656261796</v>
      </c>
      <c r="EX129" s="21">
        <f>EXP(-LN(2)/2)*EX128+(1-EXP(-LN(2)/2))/(LN(2)/2)*ER129*EU129*VLOOKUP('Données projet'!$B$15,Paramètres!$A$1:$I$89,3,0)*0.475*44/12</f>
        <v>3.9295203559884802</v>
      </c>
      <c r="EY129" s="22">
        <f t="shared" si="75"/>
        <v>35.170218947340217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67.409112655344586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-9.9475983006414026E-14</v>
      </c>
      <c r="FF129" s="17">
        <f>FE129*VLOOKUP('Données projet'!$B$16,Paramètres!$A$1:$I$89,3,0)*VLOOKUP('Données projet'!$B$16,Paramètres!$A$1:$I$89,5,0)</f>
        <v>-9.6213170763803652E-14</v>
      </c>
      <c r="FG129" s="13" t="e">
        <f t="shared" si="101"/>
        <v>#NUM!</v>
      </c>
      <c r="FH129" s="20" t="e">
        <f t="shared" si="76"/>
        <v>#NUM!</v>
      </c>
      <c r="FI129" s="59" t="e">
        <f t="shared" si="77"/>
        <v>#NUM!</v>
      </c>
      <c r="FJ129" s="59">
        <f ca="1">AVERAGE(OFFSET($FI$3,0,0,'Données projet'!$E$16+1,1))-AVERAGE(OFFSET($H$3,0,0,'Données projet'!$E$16+1,1))</f>
        <v>196.65742339093146</v>
      </c>
      <c r="FK129" s="59">
        <f t="shared" si="102"/>
        <v>125.41980634506001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>
        <f>EXP(-LN(2)/35)*FQ128+(1-EXP(-LN(2)/35))/(LN(2)/35)*FM129*FN129*VLOOKUP('Données projet'!$B$16,Paramètres!$A$1:$I$89,3,0)*0.475*44/12</f>
        <v>12.496128695298212</v>
      </c>
      <c r="FR129" s="21">
        <f>EXP(-LN(2)/25)*FR128+(1-EXP(-LN(2)/25))/(LN(2)/25)*Calculateur!FM129*Calculateur!FO129*VLOOKUP('Données projet'!$B$16,Paramètres!$A$1:$I$89,3,0)*0.475*44/12</f>
        <v>15.575223662148282</v>
      </c>
      <c r="FS129" s="21">
        <f>EXP(-LN(2)/2)*FS128+(1-EXP(-LN(2)/2))/(LN(2)/2)*FM129*FP129*VLOOKUP('Données projet'!$B$16,Paramètres!$A$1:$I$89,3,0)*0.475*44/12</f>
        <v>3.5308733633519678</v>
      </c>
      <c r="FT129" s="22">
        <f t="shared" si="78"/>
        <v>31.602225720798462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67.409112655344586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67.409112655344586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>
      <c r="A130" s="10">
        <f t="shared" si="85"/>
        <v>127</v>
      </c>
      <c r="B130" s="73">
        <f>'Scénario référence'!$B$16*5+'Scénario référence'!$B$17*0+'Scénario référence'!$B$18*5</f>
        <v>4.6999999999999993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6.7757040000000099</v>
      </c>
      <c r="D130" s="11">
        <f t="shared" si="86"/>
        <v>2.4990986224794409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20.495031390060657</v>
      </c>
      <c r="H130" s="67">
        <f t="shared" si="56"/>
        <v>203.8869479008184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67.454058758418014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-2.2737367544323206E-13</v>
      </c>
      <c r="O130" s="13">
        <f>N130*VLOOKUP('Données projet'!$B$9,Paramètres!$A$1:$I$89,3,0)*VLOOKUP('Données projet'!$B$9,Paramètres!$A$1:$I$89,5,0)</f>
        <v>-1.3596945791505279E-13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366.93249569585623</v>
      </c>
      <c r="T130" s="59">
        <f t="shared" si="88"/>
        <v>272.47262353368501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60.42403309920212</v>
      </c>
      <c r="AA130" s="21">
        <f>EXP(-LN(2)/25)*AA129+(1-EXP(-LN(2)/25))/(LN(2)/25)*Calculateur!V130*Calculateur!X130*VLOOKUP('Données projet'!$B$9,Paramètres!$A$1:$I$89,3,0)*0.475*44/12</f>
        <v>14.058103459430178</v>
      </c>
      <c r="AB130" s="21">
        <f>EXP(-LN(2)/2)*AB129+(1-EXP(-LN(2)/2))/(LN(2)/2)*V130*Y130*VLOOKUP('Données projet'!$B$9,Paramètres!$A$1:$I$89,3,0)*0.475*44/12</f>
        <v>5.9609672626830967E-6</v>
      </c>
      <c r="AC130" s="22">
        <f t="shared" si="57"/>
        <v>74.482142519599563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67.454058758418014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1.1368683772161603E-13</v>
      </c>
      <c r="AJ130" s="13">
        <f>AI130*VLOOKUP('Données projet'!$B$10,Paramètres!$A$1:$I$89,3,0)*VLOOKUP('Données projet'!$B$10,Paramètres!$A$1:$I$89,5,0)</f>
        <v>5.3205440053716299E-14</v>
      </c>
      <c r="AK130" s="13">
        <f t="shared" si="89"/>
        <v>8.602146238565607E-13</v>
      </c>
      <c r="AL130" s="20">
        <f t="shared" si="58"/>
        <v>1.590873277977066E-12</v>
      </c>
      <c r="AM130" s="59">
        <f t="shared" si="59"/>
        <v>283.99821544753428</v>
      </c>
      <c r="AN130" s="59">
        <f ca="1">AVERAGE(OFFSET($AM$3,0,0,'Données projet'!$E$10+1,1))-AVERAGE(OFFSET($H$3,0,0,'Données projet'!$E$10+1,1))</f>
        <v>382.89338473200229</v>
      </c>
      <c r="AO130" s="59">
        <f t="shared" si="90"/>
        <v>360.46248248971744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119.17704356371303</v>
      </c>
      <c r="AV130" s="21">
        <f>EXP(-LN(2)/25)*AV129+(1-EXP(-LN(2)/25))/(LN(2)/25)*Calculateur!AQ130*Calculateur!AS130*VLOOKUP('Données projet'!$B$10,Paramètres!$A$1:$I$89,3,0)*0.475*44/12</f>
        <v>29.589656558197547</v>
      </c>
      <c r="AW130" s="21">
        <f>EXP(-LN(2)/2)*AW129+(1-EXP(-LN(2)/2))/(LN(2)/2)*AQ130*AT130*VLOOKUP('Données projet'!$B$10,Paramètres!$A$1:$I$89,3,0)*0.475*44/12</f>
        <v>1.9154334001190244E-2</v>
      </c>
      <c r="AX130" s="21">
        <f t="shared" si="60"/>
        <v>148.78585445591176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67.454058758418014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>
        <f>BD130*VLOOKUP('Données projet'!$B$11,Paramètres!$A$1:$I$89,3,0)*VLOOKUP('Données projet'!$B$11,Paramètres!$A$1:$I$89,5,0)</f>
        <v>0</v>
      </c>
      <c r="BF130" s="13" t="e">
        <f t="shared" si="91"/>
        <v>#NUM!</v>
      </c>
      <c r="BG130" s="20" t="e">
        <f t="shared" si="61"/>
        <v>#NUM!</v>
      </c>
      <c r="BH130" s="59" t="e">
        <f t="shared" si="62"/>
        <v>#NUM!</v>
      </c>
      <c r="BI130" s="59">
        <f ca="1">AVERAGE(OFFSET($BH$3,0,0,'Données projet'!$E$11+1,1))-AVERAGE(OFFSET($H$3,0,0,'Données projet'!$E$11+1,1))</f>
        <v>225.75484198243581</v>
      </c>
      <c r="BJ130" s="59">
        <f t="shared" si="92"/>
        <v>199.49566488421061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4.3438045667846614</v>
      </c>
      <c r="BQ130" s="21">
        <f>EXP(-LN(2)/25)*BQ129+(1-EXP(-LN(2)/25))/(LN(2)/25)*Calculateur!BL130*Calculateur!BN130*VLOOKUP('Données projet'!$B$11,Paramètres!$A$1:$I$89,3,0)*0.475*44/12</f>
        <v>19.135406986056079</v>
      </c>
      <c r="BR130" s="21">
        <f>EXP(-LN(2)/2)*BR129+(1-EXP(-LN(2)/2))/(LN(2)/2)*BL130*BO130*VLOOKUP('Données projet'!$B$11,Paramètres!$A$1:$I$89,3,0)*0.475*44/12</f>
        <v>0</v>
      </c>
      <c r="BS130" s="22">
        <f t="shared" si="63"/>
        <v>23.479211552840741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67.454058758418014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1.1368683772161603E-13</v>
      </c>
      <c r="BZ130" s="13">
        <f>BY130*VLOOKUP('Données projet'!$B$12,Paramètres!$A$1:$I$89,3,0)*VLOOKUP('Données projet'!$B$12,Paramètres!$A$1:$I$89,5,0)</f>
        <v>1.0818439477588981E-13</v>
      </c>
      <c r="CA130" s="13">
        <f t="shared" si="93"/>
        <v>1.6104228458716316E-12</v>
      </c>
      <c r="CB130" s="20">
        <f t="shared" si="64"/>
        <v>2.9932409441277661E-12</v>
      </c>
      <c r="CC130" s="59">
        <f t="shared" si="65"/>
        <v>283.9982154475357</v>
      </c>
      <c r="CD130" s="59">
        <f ca="1">AVERAGE(OFFSET($CC$3,0,0,'Données projet'!$E$12+1,1))-AVERAGE(OFFSET($H$3,0,0,'Données projet'!$E$12+1,1))</f>
        <v>413.9352601863377</v>
      </c>
      <c r="CE130" s="59">
        <f t="shared" si="94"/>
        <v>255.13997349799286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40.038433436928983</v>
      </c>
      <c r="CL130" s="21">
        <f>EXP(-LN(2)/25)*CL129+(1-EXP(-LN(2)/25))/(LN(2)/25)*Calculateur!CG130*Calculateur!CI130*VLOOKUP('Données projet'!$B$12,Paramètres!$A$1:$I$89,3,0)*0.475*44/12</f>
        <v>38.069711873714979</v>
      </c>
      <c r="CM130" s="21">
        <f>EXP(-LN(2)/2)*CM129+(1-EXP(-LN(2)/2))/(LN(2)/2)*CG130*CJ130*VLOOKUP('Données projet'!$B$12,Paramètres!$A$1:$I$89,3,0)*0.475*44/12</f>
        <v>5.7320242571146398</v>
      </c>
      <c r="CN130" s="22">
        <f t="shared" si="66"/>
        <v>83.840169567758608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67.454058758418014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2.8421709430404007E-14</v>
      </c>
      <c r="CU130" s="17">
        <f>CT130*VLOOKUP('Données projet'!$B$13,Paramètres!$A$1:$I$89,3,0)*VLOOKUP('Données projet'!$B$13,Paramètres!$A$1:$I$89,5,0)</f>
        <v>2.4829205358400945E-14</v>
      </c>
      <c r="CV130" s="13">
        <f t="shared" si="95"/>
        <v>4.3867331143352915E-13</v>
      </c>
      <c r="CW130" s="20">
        <f t="shared" si="67"/>
        <v>8.0726688341261168E-13</v>
      </c>
      <c r="CX130" s="59">
        <f t="shared" si="68"/>
        <v>283.99821544753348</v>
      </c>
      <c r="CY130" s="59">
        <f ca="1">AVERAGE(OFFSET($CX$3,0,0,'Données projet'!$E$13+1,1))-AVERAGE(OFFSET($H$3,0,0,'Données projet'!$E$13+1,1))</f>
        <v>280.59827778697775</v>
      </c>
      <c r="CZ130" s="59">
        <f t="shared" si="96"/>
        <v>270.86588231964726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>
        <f>EXP(-LN(2)/35)*DF129+(1-EXP(-LN(2)/35))/(LN(2)/35)*DB130*DC130*VLOOKUP('Données projet'!$B$13,Paramètres!$A$1:$I$89,3,0)*0.475*44/12</f>
        <v>13.004451002322879</v>
      </c>
      <c r="DG130" s="21">
        <f>EXP(-LN(2)/25)*DG129+(1-EXP(-LN(2)/25))/(LN(2)/25)*Calculateur!DB130*Calculateur!DD130*VLOOKUP('Données projet'!$B$13,Paramètres!$A$1:$I$89,3,0)*0.475*44/12</f>
        <v>9.9153610365073135</v>
      </c>
      <c r="DH130" s="21">
        <f>EXP(-LN(2)/2)*DH129+(1-EXP(-LN(2)/2))/(LN(2)/2)*DB130*DE130*VLOOKUP('Données projet'!$B$13,Paramètres!$A$1:$I$89,3,0)*0.475*44/12</f>
        <v>3.8308485823734798E-6</v>
      </c>
      <c r="DI130" s="22">
        <f t="shared" si="69"/>
        <v>22.919815869678779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67.454058758418014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>
        <f>DO130*VLOOKUP('Données projet'!$B$14,Paramètres!$A$1:$I$89,3,0)*VLOOKUP('Données projet'!$B$14,Paramètres!$A$1:$I$89,5,0)</f>
        <v>0</v>
      </c>
      <c r="DQ130" s="13" t="e">
        <f t="shared" si="97"/>
        <v>#NUM!</v>
      </c>
      <c r="DR130" s="20" t="e">
        <f t="shared" si="70"/>
        <v>#NUM!</v>
      </c>
      <c r="DS130" s="59" t="e">
        <f t="shared" si="71"/>
        <v>#NUM!</v>
      </c>
      <c r="DT130" s="59">
        <f ca="1">AVERAGE(OFFSET($DS$3,0,0,'Données projet'!$E$14+1,1))-AVERAGE(OFFSET($H$3,0,0,'Données projet'!$E$14+1,1))</f>
        <v>211.42385430331873</v>
      </c>
      <c r="DU130" s="59">
        <f t="shared" si="98"/>
        <v>146.84623106782686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>
        <f>EXP(-LN(2)/35)*EA129+(1-EXP(-LN(2)/35))/(LN(2)/35)*DW130*DX130*VLOOKUP('Données projet'!$B$14,Paramètres!$A$1:$I$89,3,0)*0.475*44/12</f>
        <v>19.129519053929606</v>
      </c>
      <c r="EB130" s="21">
        <f>EXP(-LN(2)/25)*EB129+(1-EXP(-LN(2)/25))/(LN(2)/25)*Calculateur!DW130*Calculateur!DY130*VLOOKUP('Données projet'!$B$14,Paramètres!$A$1:$I$89,3,0)*0.475*44/12</f>
        <v>18.262701921285352</v>
      </c>
      <c r="EC130" s="21">
        <f>EXP(-LN(2)/2)*EC129+(1-EXP(-LN(2)/2))/(LN(2)/2)*DW130*DZ130*VLOOKUP('Données projet'!$B$14,Paramètres!$A$1:$I$89,3,0)*0.475*44/12</f>
        <v>0.45905981938183399</v>
      </c>
      <c r="ED130" s="22">
        <f t="shared" si="72"/>
        <v>37.851280794596789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67.454058758418014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-9.9475983006414026E-14</v>
      </c>
      <c r="EK130" s="17">
        <f>EJ130*VLOOKUP('Données projet'!$B$15,Paramètres!$A$1:$I$89,3,0)*VLOOKUP('Données projet'!$B$15,Paramètres!$A$1:$I$89,5,0)</f>
        <v>-1.0707594810810407E-13</v>
      </c>
      <c r="EL130" s="13" t="e">
        <f t="shared" si="99"/>
        <v>#NUM!</v>
      </c>
      <c r="EM130" s="20" t="e">
        <f t="shared" si="73"/>
        <v>#NUM!</v>
      </c>
      <c r="EN130" s="59" t="e">
        <f t="shared" si="74"/>
        <v>#NUM!</v>
      </c>
      <c r="EO130" s="59">
        <f ca="1">AVERAGE(OFFSET($EN$3,0,0,'Données projet'!$E$15+1,1))-AVERAGE(OFFSET($H$3,0,0,'Données projet'!$E$15+1,1))</f>
        <v>212.00478362779876</v>
      </c>
      <c r="EP130" s="59">
        <f t="shared" si="100"/>
        <v>133.62262474506707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>
        <f>EXP(-LN(2)/35)*EV129+(1-EXP(-LN(2)/35))/(LN(2)/35)*ER130*ES130*VLOOKUP('Données projet'!$B$15,Paramètres!$A$1:$I$89,3,0)*0.475*44/12</f>
        <v>13.63427450176424</v>
      </c>
      <c r="EW130" s="21">
        <f>EXP(-LN(2)/25)*EW129+(1-EXP(-LN(2)/25))/(LN(2)/25)*Calculateur!ER130*Calculateur!ET130*VLOOKUP('Données projet'!$B$15,Paramètres!$A$1:$I$89,3,0)*0.475*44/12</f>
        <v>16.859725262755774</v>
      </c>
      <c r="EX130" s="21">
        <f>EXP(-LN(2)/2)*EX129+(1-EXP(-LN(2)/2))/(LN(2)/2)*ER130*EU130*VLOOKUP('Données projet'!$B$15,Paramètres!$A$1:$I$89,3,0)*0.475*44/12</f>
        <v>2.7785904905300307</v>
      </c>
      <c r="EY130" s="22">
        <f t="shared" si="75"/>
        <v>33.272590255050041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67.454058758418014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-9.9475983006414026E-14</v>
      </c>
      <c r="FF130" s="17">
        <f>FE130*VLOOKUP('Données projet'!$B$16,Paramètres!$A$1:$I$89,3,0)*VLOOKUP('Données projet'!$B$16,Paramètres!$A$1:$I$89,5,0)</f>
        <v>-9.6213170763803652E-14</v>
      </c>
      <c r="FG130" s="13" t="e">
        <f t="shared" si="101"/>
        <v>#NUM!</v>
      </c>
      <c r="FH130" s="20" t="e">
        <f t="shared" si="76"/>
        <v>#NUM!</v>
      </c>
      <c r="FI130" s="59" t="e">
        <f t="shared" si="77"/>
        <v>#NUM!</v>
      </c>
      <c r="FJ130" s="59">
        <f ca="1">AVERAGE(OFFSET($FI$3,0,0,'Données projet'!$E$16+1,1))-AVERAGE(OFFSET($H$3,0,0,'Données projet'!$E$16+1,1))</f>
        <v>196.65742339093146</v>
      </c>
      <c r="FK130" s="59">
        <f t="shared" si="102"/>
        <v>125.41980634506001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>
        <f>EXP(-LN(2)/35)*FQ129+(1-EXP(-LN(2)/35))/(LN(2)/35)*FM130*FN130*VLOOKUP('Données projet'!$B$16,Paramètres!$A$1:$I$89,3,0)*0.475*44/12</f>
        <v>12.25108723346932</v>
      </c>
      <c r="FR130" s="21">
        <f>EXP(-LN(2)/25)*FR129+(1-EXP(-LN(2)/25))/(LN(2)/25)*Calculateur!FM130*Calculateur!FO130*VLOOKUP('Données projet'!$B$16,Paramètres!$A$1:$I$89,3,0)*0.475*44/12</f>
        <v>15.149318352041423</v>
      </c>
      <c r="FS130" s="21">
        <f>EXP(-LN(2)/2)*FS129+(1-EXP(-LN(2)/2))/(LN(2)/2)*FM130*FP130*VLOOKUP('Données projet'!$B$16,Paramètres!$A$1:$I$89,3,0)*0.475*44/12</f>
        <v>2.4967044987371292</v>
      </c>
      <c r="FT130" s="22">
        <f t="shared" si="78"/>
        <v>29.897110084247871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67.454058758418014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67.454058758418014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>
      <c r="A131" s="10">
        <f t="shared" si="85"/>
        <v>128</v>
      </c>
      <c r="B131" s="73">
        <f>'Scénario référence'!$B$16*5+'Scénario référence'!$B$17*0+'Scénario référence'!$B$18*5</f>
        <v>4.6999999999999993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6.8290560000000102</v>
      </c>
      <c r="D131" s="11">
        <f t="shared" si="86"/>
        <v>2.5164781071040805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20.527791235571016</v>
      </c>
      <c r="H131" s="67">
        <f t="shared" si="56"/>
        <v>204.01013856987296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67.498225147087553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-2.2737367544323206E-13</v>
      </c>
      <c r="O131" s="13">
        <f>N131*VLOOKUP('Données projet'!$B$9,Paramètres!$A$1:$I$89,3,0)*VLOOKUP('Données projet'!$B$9,Paramètres!$A$1:$I$89,5,0)</f>
        <v>-1.3596945791505279E-13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366.93249569585623</v>
      </c>
      <c r="T131" s="59">
        <f t="shared" si="88"/>
        <v>272.47262353368501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59.239154665147829</v>
      </c>
      <c r="AA131" s="21">
        <f>EXP(-LN(2)/25)*AA130+(1-EXP(-LN(2)/25))/(LN(2)/25)*Calculateur!V131*Calculateur!X131*VLOOKUP('Données projet'!$B$9,Paramètres!$A$1:$I$89,3,0)*0.475*44/12</f>
        <v>13.673683881048529</v>
      </c>
      <c r="AB131" s="21">
        <f>EXP(-LN(2)/2)*AB130+(1-EXP(-LN(2)/2))/(LN(2)/2)*V131*Y131*VLOOKUP('Données projet'!$B$9,Paramètres!$A$1:$I$89,3,0)*0.475*44/12</f>
        <v>4.2150403738742296E-6</v>
      </c>
      <c r="AC131" s="22">
        <f t="shared" si="57"/>
        <v>72.912842761236732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67.498225147087553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1.1368683772161603E-13</v>
      </c>
      <c r="AJ131" s="13">
        <f>AI131*VLOOKUP('Données projet'!$B$10,Paramètres!$A$1:$I$89,3,0)*VLOOKUP('Données projet'!$B$10,Paramètres!$A$1:$I$89,5,0)</f>
        <v>5.3205440053716299E-14</v>
      </c>
      <c r="AK131" s="13">
        <f t="shared" si="89"/>
        <v>8.602146238565607E-13</v>
      </c>
      <c r="AL131" s="20">
        <f t="shared" si="58"/>
        <v>1.590873277977066E-12</v>
      </c>
      <c r="AM131" s="59">
        <f t="shared" si="59"/>
        <v>284.16015887265593</v>
      </c>
      <c r="AN131" s="59">
        <f ca="1">AVERAGE(OFFSET($AM$3,0,0,'Données projet'!$E$10+1,1))-AVERAGE(OFFSET($H$3,0,0,'Données projet'!$E$10+1,1))</f>
        <v>382.89338473200229</v>
      </c>
      <c r="AO131" s="59">
        <f t="shared" si="90"/>
        <v>360.46248248971744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116.84005443024756</v>
      </c>
      <c r="AV131" s="21">
        <f>EXP(-LN(2)/25)*AV130+(1-EXP(-LN(2)/25))/(LN(2)/25)*Calculateur!AQ131*Calculateur!AS131*VLOOKUP('Données projet'!$B$10,Paramètres!$A$1:$I$89,3,0)*0.475*44/12</f>
        <v>28.780525843561225</v>
      </c>
      <c r="AW131" s="21">
        <f>EXP(-LN(2)/2)*AW130+(1-EXP(-LN(2)/2))/(LN(2)/2)*AQ131*AT131*VLOOKUP('Données projet'!$B$10,Paramètres!$A$1:$I$89,3,0)*0.475*44/12</f>
        <v>1.3544159461353678E-2</v>
      </c>
      <c r="AX131" s="21">
        <f t="shared" si="60"/>
        <v>145.63412443327016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67.498225147087553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>
        <f>BD131*VLOOKUP('Données projet'!$B$11,Paramètres!$A$1:$I$89,3,0)*VLOOKUP('Données projet'!$B$11,Paramètres!$A$1:$I$89,5,0)</f>
        <v>0</v>
      </c>
      <c r="BF131" s="13" t="e">
        <f t="shared" si="91"/>
        <v>#NUM!</v>
      </c>
      <c r="BG131" s="20" t="e">
        <f t="shared" si="61"/>
        <v>#NUM!</v>
      </c>
      <c r="BH131" s="59" t="e">
        <f t="shared" si="62"/>
        <v>#NUM!</v>
      </c>
      <c r="BI131" s="59">
        <f ca="1">AVERAGE(OFFSET($BH$3,0,0,'Données projet'!$E$11+1,1))-AVERAGE(OFFSET($H$3,0,0,'Données projet'!$E$11+1,1))</f>
        <v>225.75484198243581</v>
      </c>
      <c r="BJ131" s="59">
        <f t="shared" si="92"/>
        <v>199.49566488421061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4.2586252086891871</v>
      </c>
      <c r="BQ131" s="21">
        <f>EXP(-LN(2)/25)*BQ130+(1-EXP(-LN(2)/25))/(LN(2)/25)*Calculateur!BL131*Calculateur!BN131*VLOOKUP('Données projet'!$B$11,Paramètres!$A$1:$I$89,3,0)*0.475*44/12</f>
        <v>18.612148275735056</v>
      </c>
      <c r="BR131" s="21">
        <f>EXP(-LN(2)/2)*BR130+(1-EXP(-LN(2)/2))/(LN(2)/2)*BL131*BO131*VLOOKUP('Données projet'!$B$11,Paramètres!$A$1:$I$89,3,0)*0.475*44/12</f>
        <v>0</v>
      </c>
      <c r="BS131" s="22">
        <f t="shared" si="63"/>
        <v>22.870773484424241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67.498225147087553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1.1368683772161603E-13</v>
      </c>
      <c r="BZ131" s="13">
        <f>BY131*VLOOKUP('Données projet'!$B$12,Paramètres!$A$1:$I$89,3,0)*VLOOKUP('Données projet'!$B$12,Paramètres!$A$1:$I$89,5,0)</f>
        <v>1.0818439477588981E-13</v>
      </c>
      <c r="CA131" s="13">
        <f t="shared" si="93"/>
        <v>1.6104228458716316E-12</v>
      </c>
      <c r="CB131" s="20">
        <f t="shared" si="64"/>
        <v>2.9932409441277661E-12</v>
      </c>
      <c r="CC131" s="59">
        <f t="shared" si="65"/>
        <v>284.16015887265735</v>
      </c>
      <c r="CD131" s="59">
        <f ca="1">AVERAGE(OFFSET($CC$3,0,0,'Données projet'!$E$12+1,1))-AVERAGE(OFFSET($H$3,0,0,'Données projet'!$E$12+1,1))</f>
        <v>413.9352601863377</v>
      </c>
      <c r="CE131" s="59">
        <f t="shared" si="94"/>
        <v>255.13997349799286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39.253304178263825</v>
      </c>
      <c r="CL131" s="21">
        <f>EXP(-LN(2)/25)*CL130+(1-EXP(-LN(2)/25))/(LN(2)/25)*Calculateur!CG131*Calculateur!CI131*VLOOKUP('Données projet'!$B$12,Paramètres!$A$1:$I$89,3,0)*0.475*44/12</f>
        <v>37.028693600529103</v>
      </c>
      <c r="CM131" s="21">
        <f>EXP(-LN(2)/2)*CM130+(1-EXP(-LN(2)/2))/(LN(2)/2)*CG131*CJ131*VLOOKUP('Données projet'!$B$12,Paramètres!$A$1:$I$89,3,0)*0.475*44/12</f>
        <v>4.0531532221315443</v>
      </c>
      <c r="CN131" s="22">
        <f t="shared" si="66"/>
        <v>80.335151000924469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67.498225147087553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2.8421709430404007E-14</v>
      </c>
      <c r="CU131" s="17">
        <f>CT131*VLOOKUP('Données projet'!$B$13,Paramètres!$A$1:$I$89,3,0)*VLOOKUP('Données projet'!$B$13,Paramètres!$A$1:$I$89,5,0)</f>
        <v>2.4829205358400945E-14</v>
      </c>
      <c r="CV131" s="13">
        <f t="shared" si="95"/>
        <v>4.3867331143352915E-13</v>
      </c>
      <c r="CW131" s="20">
        <f t="shared" si="67"/>
        <v>8.0726688341261168E-13</v>
      </c>
      <c r="CX131" s="59">
        <f t="shared" si="68"/>
        <v>284.16015887265513</v>
      </c>
      <c r="CY131" s="59">
        <f ca="1">AVERAGE(OFFSET($CX$3,0,0,'Données projet'!$E$13+1,1))-AVERAGE(OFFSET($H$3,0,0,'Données projet'!$E$13+1,1))</f>
        <v>280.59827778697775</v>
      </c>
      <c r="CZ131" s="59">
        <f t="shared" si="96"/>
        <v>270.86588231964726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>
        <f>EXP(-LN(2)/35)*DF130+(1-EXP(-LN(2)/35))/(LN(2)/35)*DB131*DC131*VLOOKUP('Données projet'!$B$13,Paramètres!$A$1:$I$89,3,0)*0.475*44/12</f>
        <v>12.749441650099225</v>
      </c>
      <c r="DG131" s="21">
        <f>EXP(-LN(2)/25)*DG130+(1-EXP(-LN(2)/25))/(LN(2)/25)*Calculateur!DB131*Calculateur!DD131*VLOOKUP('Données projet'!$B$13,Paramètres!$A$1:$I$89,3,0)*0.475*44/12</f>
        <v>9.6442249675378466</v>
      </c>
      <c r="DH131" s="21">
        <f>EXP(-LN(2)/2)*DH130+(1-EXP(-LN(2)/2))/(LN(2)/2)*DB131*DE131*VLOOKUP('Données projet'!$B$13,Paramètres!$A$1:$I$89,3,0)*0.475*44/12</f>
        <v>2.70881901029516E-6</v>
      </c>
      <c r="DI131" s="22">
        <f t="shared" si="69"/>
        <v>22.393669326456084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67.498225147087553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>
        <f>DO131*VLOOKUP('Données projet'!$B$14,Paramètres!$A$1:$I$89,3,0)*VLOOKUP('Données projet'!$B$14,Paramètres!$A$1:$I$89,5,0)</f>
        <v>0</v>
      </c>
      <c r="DQ131" s="13" t="e">
        <f t="shared" si="97"/>
        <v>#NUM!</v>
      </c>
      <c r="DR131" s="20" t="e">
        <f t="shared" si="70"/>
        <v>#NUM!</v>
      </c>
      <c r="DS131" s="59" t="e">
        <f t="shared" si="71"/>
        <v>#NUM!</v>
      </c>
      <c r="DT131" s="59">
        <f ca="1">AVERAGE(OFFSET($DS$3,0,0,'Données projet'!$E$14+1,1))-AVERAGE(OFFSET($H$3,0,0,'Données projet'!$E$14+1,1))</f>
        <v>211.42385430331873</v>
      </c>
      <c r="DU131" s="59">
        <f t="shared" si="98"/>
        <v>146.84623106782686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>
        <f>EXP(-LN(2)/35)*EA130+(1-EXP(-LN(2)/35))/(LN(2)/35)*DW131*DX131*VLOOKUP('Données projet'!$B$14,Paramètres!$A$1:$I$89,3,0)*0.475*44/12</f>
        <v>18.754400853136563</v>
      </c>
      <c r="EB131" s="21">
        <f>EXP(-LN(2)/25)*EB130+(1-EXP(-LN(2)/25))/(LN(2)/25)*Calculateur!DW131*Calculateur!DY131*VLOOKUP('Données projet'!$B$14,Paramètres!$A$1:$I$89,3,0)*0.475*44/12</f>
        <v>17.763307376854051</v>
      </c>
      <c r="EC131" s="21">
        <f>EXP(-LN(2)/2)*EC130+(1-EXP(-LN(2)/2))/(LN(2)/2)*DW131*DZ131*VLOOKUP('Données projet'!$B$14,Paramètres!$A$1:$I$89,3,0)*0.475*44/12</f>
        <v>0.32460431125516653</v>
      </c>
      <c r="ED131" s="22">
        <f t="shared" si="72"/>
        <v>36.842312541245782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67.498225147087553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-9.9475983006414026E-14</v>
      </c>
      <c r="EK131" s="17">
        <f>EJ131*VLOOKUP('Données projet'!$B$15,Paramètres!$A$1:$I$89,3,0)*VLOOKUP('Données projet'!$B$15,Paramètres!$A$1:$I$89,5,0)</f>
        <v>-1.0707594810810407E-13</v>
      </c>
      <c r="EL131" s="13" t="e">
        <f t="shared" si="99"/>
        <v>#NUM!</v>
      </c>
      <c r="EM131" s="20" t="e">
        <f t="shared" si="73"/>
        <v>#NUM!</v>
      </c>
      <c r="EN131" s="59" t="e">
        <f t="shared" si="74"/>
        <v>#NUM!</v>
      </c>
      <c r="EO131" s="59">
        <f ca="1">AVERAGE(OFFSET($EN$3,0,0,'Données projet'!$E$15+1,1))-AVERAGE(OFFSET($H$3,0,0,'Données projet'!$E$15+1,1))</f>
        <v>212.00478362779876</v>
      </c>
      <c r="EP131" s="59">
        <f t="shared" si="100"/>
        <v>133.62262474506707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>
        <f>EXP(-LN(2)/35)*EV130+(1-EXP(-LN(2)/35))/(LN(2)/35)*ER131*ES131*VLOOKUP('Données projet'!$B$15,Paramètres!$A$1:$I$89,3,0)*0.475*44/12</f>
        <v>13.366914694870944</v>
      </c>
      <c r="EW131" s="21">
        <f>EXP(-LN(2)/25)*EW130+(1-EXP(-LN(2)/25))/(LN(2)/25)*Calculateur!ER131*Calculateur!ET131*VLOOKUP('Données projet'!$B$15,Paramètres!$A$1:$I$89,3,0)*0.475*44/12</f>
        <v>16.398695188831297</v>
      </c>
      <c r="EX131" s="21">
        <f>EXP(-LN(2)/2)*EX130+(1-EXP(-LN(2)/2))/(LN(2)/2)*ER131*EU131*VLOOKUP('Données projet'!$B$15,Paramètres!$A$1:$I$89,3,0)*0.475*44/12</f>
        <v>1.9647601779942403</v>
      </c>
      <c r="EY131" s="22">
        <f t="shared" si="75"/>
        <v>31.73037006169648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67.498225147087553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-9.9475983006414026E-14</v>
      </c>
      <c r="FF131" s="17">
        <f>FE131*VLOOKUP('Données projet'!$B$16,Paramètres!$A$1:$I$89,3,0)*VLOOKUP('Données projet'!$B$16,Paramètres!$A$1:$I$89,5,0)</f>
        <v>-9.6213170763803652E-14</v>
      </c>
      <c r="FG131" s="13" t="e">
        <f t="shared" si="101"/>
        <v>#NUM!</v>
      </c>
      <c r="FH131" s="20" t="e">
        <f t="shared" si="76"/>
        <v>#NUM!</v>
      </c>
      <c r="FI131" s="59" t="e">
        <f t="shared" si="77"/>
        <v>#NUM!</v>
      </c>
      <c r="FJ131" s="59">
        <f ca="1">AVERAGE(OFFSET($FI$3,0,0,'Données projet'!$E$16+1,1))-AVERAGE(OFFSET($H$3,0,0,'Données projet'!$E$16+1,1))</f>
        <v>196.65742339093146</v>
      </c>
      <c r="FK131" s="59">
        <f t="shared" si="102"/>
        <v>125.41980634506001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>
        <f>EXP(-LN(2)/35)*FQ130+(1-EXP(-LN(2)/35))/(LN(2)/35)*FM131*FN131*VLOOKUP('Données projet'!$B$16,Paramètres!$A$1:$I$89,3,0)*0.475*44/12</f>
        <v>12.010850885246359</v>
      </c>
      <c r="FR131" s="21">
        <f>EXP(-LN(2)/25)*FR130+(1-EXP(-LN(2)/25))/(LN(2)/25)*Calculateur!FM131*Calculateur!FO131*VLOOKUP('Données projet'!$B$16,Paramètres!$A$1:$I$89,3,0)*0.475*44/12</f>
        <v>14.735059445036821</v>
      </c>
      <c r="FS131" s="21">
        <f>EXP(-LN(2)/2)*FS130+(1-EXP(-LN(2)/2))/(LN(2)/2)*FM131*FP131*VLOOKUP('Données projet'!$B$16,Paramètres!$A$1:$I$89,3,0)*0.475*44/12</f>
        <v>1.7654366816759841</v>
      </c>
      <c r="FT131" s="22">
        <f t="shared" si="78"/>
        <v>28.511347011959163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67.498225147087553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67.498225147087553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>
      <c r="A132" s="10">
        <f t="shared" si="85"/>
        <v>129</v>
      </c>
      <c r="B132" s="73">
        <f>'Scénario référence'!$B$16*5+'Scénario référence'!$B$17*0+'Scénario référence'!$B$18*5</f>
        <v>4.6999999999999993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6.8824080000000105</v>
      </c>
      <c r="D132" s="11">
        <f t="shared" si="86"/>
        <v>2.5338417942738278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20.560543764365427</v>
      </c>
      <c r="H132" s="67">
        <f t="shared" ref="H132:H195" si="110">(B132+E132+F132)*44/12+(C132+D132)*0.475*44/12</f>
        <v>204.13330172502694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67.541625347654929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-2.2737367544323206E-13</v>
      </c>
      <c r="O132" s="13">
        <f>N132*VLOOKUP('Données projet'!$B$9,Paramètres!$A$1:$I$89,3,0)*VLOOKUP('Données projet'!$B$9,Paramètres!$A$1:$I$89,5,0)</f>
        <v>-1.3596945791505279E-13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366.93249569585623</v>
      </c>
      <c r="T132" s="59">
        <f t="shared" si="88"/>
        <v>272.47262353368501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58.077510974480859</v>
      </c>
      <c r="AA132" s="21">
        <f>EXP(-LN(2)/25)*AA131+(1-EXP(-LN(2)/25))/(LN(2)/25)*Calculateur!V132*Calculateur!X132*VLOOKUP('Données projet'!$B$9,Paramètres!$A$1:$I$89,3,0)*0.475*44/12</f>
        <v>13.299776276253473</v>
      </c>
      <c r="AB132" s="21">
        <f>EXP(-LN(2)/2)*AB131+(1-EXP(-LN(2)/2))/(LN(2)/2)*V132*Y132*VLOOKUP('Données projet'!$B$9,Paramètres!$A$1:$I$89,3,0)*0.475*44/12</f>
        <v>2.9804836313415484E-6</v>
      </c>
      <c r="AC132" s="22">
        <f t="shared" ref="AC132:AC153" si="111">SUM(Z132:AB132)</f>
        <v>71.377290231217955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67.541625347654929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1.1368683772161603E-13</v>
      </c>
      <c r="AJ132" s="13">
        <f>AI132*VLOOKUP('Données projet'!$B$10,Paramètres!$A$1:$I$89,3,0)*VLOOKUP('Données projet'!$B$10,Paramètres!$A$1:$I$89,5,0)</f>
        <v>5.3205440053716299E-14</v>
      </c>
      <c r="AK132" s="13">
        <f t="shared" si="89"/>
        <v>8.602146238565607E-13</v>
      </c>
      <c r="AL132" s="20">
        <f t="shared" ref="AL132:AL153" si="112">(AJ132+AK132)*0.475*44/12</f>
        <v>1.590873277977066E-12</v>
      </c>
      <c r="AM132" s="59">
        <f t="shared" ref="AM132:AM195" si="113">AL132+(AD132+AE132)*44/12</f>
        <v>284.31929294140303</v>
      </c>
      <c r="AN132" s="59">
        <f ca="1">AVERAGE(OFFSET($AM$3,0,0,'Données projet'!$E$10+1,1))-AVERAGE(OFFSET($H$3,0,0,'Données projet'!$E$10+1,1))</f>
        <v>382.89338473200229</v>
      </c>
      <c r="AO132" s="59">
        <f t="shared" si="90"/>
        <v>360.46248248971744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114.54889222826674</v>
      </c>
      <c r="AV132" s="21">
        <f>EXP(-LN(2)/25)*AV131+(1-EXP(-LN(2)/25))/(LN(2)/25)*Calculateur!AQ132*Calculateur!AS132*VLOOKUP('Données projet'!$B$10,Paramètres!$A$1:$I$89,3,0)*0.475*44/12</f>
        <v>27.993520850866968</v>
      </c>
      <c r="AW132" s="21">
        <f>EXP(-LN(2)/2)*AW131+(1-EXP(-LN(2)/2))/(LN(2)/2)*AQ132*AT132*VLOOKUP('Données projet'!$B$10,Paramètres!$A$1:$I$89,3,0)*0.475*44/12</f>
        <v>9.5771670005951222E-3</v>
      </c>
      <c r="AX132" s="21">
        <f t="shared" ref="AX132:AX153" si="114">SUM(AU132:AW132)</f>
        <v>142.5519902461343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67.541625347654929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>
        <f>BD132*VLOOKUP('Données projet'!$B$11,Paramètres!$A$1:$I$89,3,0)*VLOOKUP('Données projet'!$B$11,Paramètres!$A$1:$I$89,5,0)</f>
        <v>0</v>
      </c>
      <c r="BF132" s="13" t="e">
        <f t="shared" si="91"/>
        <v>#NUM!</v>
      </c>
      <c r="BG132" s="20" t="e">
        <f t="shared" ref="BG132:BG153" si="115">(BE132+BF132)*0.475*44/12</f>
        <v>#NUM!</v>
      </c>
      <c r="BH132" s="59" t="e">
        <f t="shared" ref="BH132:BH195" si="116">BG132+(AY132+AZ132)*44/12</f>
        <v>#NUM!</v>
      </c>
      <c r="BI132" s="59">
        <f ca="1">AVERAGE(OFFSET($BH$3,0,0,'Données projet'!$E$11+1,1))-AVERAGE(OFFSET($H$3,0,0,'Données projet'!$E$11+1,1))</f>
        <v>225.75484198243581</v>
      </c>
      <c r="BJ132" s="59">
        <f t="shared" si="92"/>
        <v>199.49566488421061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4.1751161658516871</v>
      </c>
      <c r="BQ132" s="21">
        <f>EXP(-LN(2)/25)*BQ131+(1-EXP(-LN(2)/25))/(LN(2)/25)*Calculateur!BL132*Calculateur!BN132*VLOOKUP('Données projet'!$B$11,Paramètres!$A$1:$I$89,3,0)*0.475*44/12</f>
        <v>18.10319810236474</v>
      </c>
      <c r="BR132" s="21">
        <f>EXP(-LN(2)/2)*BR131+(1-EXP(-LN(2)/2))/(LN(2)/2)*BL132*BO132*VLOOKUP('Données projet'!$B$11,Paramètres!$A$1:$I$89,3,0)*0.475*44/12</f>
        <v>0</v>
      </c>
      <c r="BS132" s="22">
        <f t="shared" ref="BS132:BS153" si="117">SUM(BP132:BR132)</f>
        <v>22.278314268216427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67.541625347654929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1.1368683772161603E-13</v>
      </c>
      <c r="BZ132" s="13">
        <f>BY132*VLOOKUP('Données projet'!$B$12,Paramètres!$A$1:$I$89,3,0)*VLOOKUP('Données projet'!$B$12,Paramètres!$A$1:$I$89,5,0)</f>
        <v>1.0818439477588981E-13</v>
      </c>
      <c r="CA132" s="13">
        <f t="shared" si="93"/>
        <v>1.6104228458716316E-12</v>
      </c>
      <c r="CB132" s="20">
        <f t="shared" ref="CB132:CB153" si="118">(BZ132+CA132)*0.475*44/12</f>
        <v>2.9932409441277661E-12</v>
      </c>
      <c r="CC132" s="59">
        <f t="shared" ref="CC132:CC195" si="119">CB132+(BT132+BU132)*44/12</f>
        <v>284.31929294140446</v>
      </c>
      <c r="CD132" s="59">
        <f ca="1">AVERAGE(OFFSET($CC$3,0,0,'Données projet'!$E$12+1,1))-AVERAGE(OFFSET($H$3,0,0,'Données projet'!$E$12+1,1))</f>
        <v>413.9352601863377</v>
      </c>
      <c r="CE132" s="59">
        <f t="shared" si="94"/>
        <v>255.13997349799286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38.483570825479532</v>
      </c>
      <c r="CL132" s="21">
        <f>EXP(-LN(2)/25)*CL131+(1-EXP(-LN(2)/25))/(LN(2)/25)*Calculateur!CG132*Calculateur!CI132*VLOOKUP('Données projet'!$B$12,Paramètres!$A$1:$I$89,3,0)*0.475*44/12</f>
        <v>36.016142026768271</v>
      </c>
      <c r="CM132" s="21">
        <f>EXP(-LN(2)/2)*CM131+(1-EXP(-LN(2)/2))/(LN(2)/2)*CG132*CJ132*VLOOKUP('Données projet'!$B$12,Paramètres!$A$1:$I$89,3,0)*0.475*44/12</f>
        <v>2.8660121285573199</v>
      </c>
      <c r="CN132" s="22">
        <f t="shared" ref="CN132:CN153" si="120">SUM(CK132:CM132)</f>
        <v>77.365724980805112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67.541625347654929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2.8421709430404007E-14</v>
      </c>
      <c r="CU132" s="17">
        <f>CT132*VLOOKUP('Données projet'!$B$13,Paramètres!$A$1:$I$89,3,0)*VLOOKUP('Données projet'!$B$13,Paramètres!$A$1:$I$89,5,0)</f>
        <v>2.4829205358400945E-14</v>
      </c>
      <c r="CV132" s="13">
        <f t="shared" si="95"/>
        <v>4.3867331143352915E-13</v>
      </c>
      <c r="CW132" s="20">
        <f t="shared" ref="CW132:CW153" si="121">(CU132+CV132)*0.475*44/12</f>
        <v>8.0726688341261168E-13</v>
      </c>
      <c r="CX132" s="59">
        <f t="shared" ref="CX132:CX195" si="122">CW132+(CO132+CP132)*44/12</f>
        <v>284.31929294140224</v>
      </c>
      <c r="CY132" s="59">
        <f ca="1">AVERAGE(OFFSET($CX$3,0,0,'Données projet'!$E$13+1,1))-AVERAGE(OFFSET($H$3,0,0,'Données projet'!$E$13+1,1))</f>
        <v>280.59827778697775</v>
      </c>
      <c r="CZ132" s="59">
        <f t="shared" si="96"/>
        <v>270.86588231964726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>
        <f>EXP(-LN(2)/35)*DF131+(1-EXP(-LN(2)/35))/(LN(2)/35)*DB132*DC132*VLOOKUP('Données projet'!$B$13,Paramètres!$A$1:$I$89,3,0)*0.475*44/12</f>
        <v>12.499432875732332</v>
      </c>
      <c r="DG132" s="21">
        <f>EXP(-LN(2)/25)*DG131+(1-EXP(-LN(2)/25))/(LN(2)/25)*Calculateur!DB132*Calculateur!DD132*VLOOKUP('Données projet'!$B$13,Paramètres!$A$1:$I$89,3,0)*0.475*44/12</f>
        <v>9.3805031286327747</v>
      </c>
      <c r="DH132" s="21">
        <f>EXP(-LN(2)/2)*DH131+(1-EXP(-LN(2)/2))/(LN(2)/2)*DB132*DE132*VLOOKUP('Données projet'!$B$13,Paramètres!$A$1:$I$89,3,0)*0.475*44/12</f>
        <v>1.9154242911867399E-6</v>
      </c>
      <c r="DI132" s="22">
        <f t="shared" ref="DI132:DI153" si="123">SUM(DF132:DH132)</f>
        <v>21.879937919789398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67.541625347654929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>
        <f>DO132*VLOOKUP('Données projet'!$B$14,Paramètres!$A$1:$I$89,3,0)*VLOOKUP('Données projet'!$B$14,Paramètres!$A$1:$I$89,5,0)</f>
        <v>0</v>
      </c>
      <c r="DQ132" s="13" t="e">
        <f t="shared" si="97"/>
        <v>#NUM!</v>
      </c>
      <c r="DR132" s="20" t="e">
        <f t="shared" ref="DR132:DR153" si="124">(DP132+DQ132)*0.475*44/12</f>
        <v>#NUM!</v>
      </c>
      <c r="DS132" s="59" t="e">
        <f t="shared" ref="DS132:DS195" si="125">DR132+(DJ132+DK132)*44/12</f>
        <v>#NUM!</v>
      </c>
      <c r="DT132" s="59">
        <f ca="1">AVERAGE(OFFSET($DS$3,0,0,'Données projet'!$E$14+1,1))-AVERAGE(OFFSET($H$3,0,0,'Données projet'!$E$14+1,1))</f>
        <v>211.42385430331873</v>
      </c>
      <c r="DU132" s="59">
        <f t="shared" si="98"/>
        <v>146.84623106782686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>
        <f>EXP(-LN(2)/35)*EA131+(1-EXP(-LN(2)/35))/(LN(2)/35)*DW132*DX132*VLOOKUP('Données projet'!$B$14,Paramètres!$A$1:$I$89,3,0)*0.475*44/12</f>
        <v>18.386638491461561</v>
      </c>
      <c r="EB132" s="21">
        <f>EXP(-LN(2)/25)*EB131+(1-EXP(-LN(2)/25))/(LN(2)/25)*Calculateur!DW132*Calculateur!DY132*VLOOKUP('Données projet'!$B$14,Paramètres!$A$1:$I$89,3,0)*0.475*44/12</f>
        <v>17.277568802502241</v>
      </c>
      <c r="EC132" s="21">
        <f>EXP(-LN(2)/2)*EC131+(1-EXP(-LN(2)/2))/(LN(2)/2)*DW132*DZ132*VLOOKUP('Données projet'!$B$14,Paramètres!$A$1:$I$89,3,0)*0.475*44/12</f>
        <v>0.22952990969091702</v>
      </c>
      <c r="ED132" s="22">
        <f t="shared" ref="ED132:ED153" si="126">SUM(EA132:EC132)</f>
        <v>35.893737203654716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67.541625347654929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-9.9475983006414026E-14</v>
      </c>
      <c r="EK132" s="17">
        <f>EJ132*VLOOKUP('Données projet'!$B$15,Paramètres!$A$1:$I$89,3,0)*VLOOKUP('Données projet'!$B$15,Paramètres!$A$1:$I$89,5,0)</f>
        <v>-1.0707594810810407E-13</v>
      </c>
      <c r="EL132" s="13" t="e">
        <f t="shared" si="99"/>
        <v>#NUM!</v>
      </c>
      <c r="EM132" s="20" t="e">
        <f t="shared" ref="EM132:EM153" si="127">(EK132+EL132)*0.475*44/12</f>
        <v>#NUM!</v>
      </c>
      <c r="EN132" s="59" t="e">
        <f t="shared" ref="EN132:EN195" si="128">EM132+(EE132+EF132)*44/12</f>
        <v>#NUM!</v>
      </c>
      <c r="EO132" s="59">
        <f ca="1">AVERAGE(OFFSET($EN$3,0,0,'Données projet'!$E$15+1,1))-AVERAGE(OFFSET($H$3,0,0,'Données projet'!$E$15+1,1))</f>
        <v>212.00478362779876</v>
      </c>
      <c r="EP132" s="59">
        <f t="shared" si="100"/>
        <v>133.62262474506707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>
        <f>EXP(-LN(2)/35)*EV131+(1-EXP(-LN(2)/35))/(LN(2)/35)*ER132*ES132*VLOOKUP('Données projet'!$B$15,Paramètres!$A$1:$I$89,3,0)*0.475*44/12</f>
        <v>13.104797650717446</v>
      </c>
      <c r="EW132" s="21">
        <f>EXP(-LN(2)/25)*EW131+(1-EXP(-LN(2)/25))/(LN(2)/25)*Calculateur!ER132*Calculateur!ET132*VLOOKUP('Données projet'!$B$15,Paramètres!$A$1:$I$89,3,0)*0.475*44/12</f>
        <v>15.950272006522805</v>
      </c>
      <c r="EX132" s="21">
        <f>EXP(-LN(2)/2)*EX131+(1-EXP(-LN(2)/2))/(LN(2)/2)*ER132*EU132*VLOOKUP('Données projet'!$B$15,Paramètres!$A$1:$I$89,3,0)*0.475*44/12</f>
        <v>1.3892952452650156</v>
      </c>
      <c r="EY132" s="22">
        <f t="shared" ref="EY132:EY153" si="129">SUM(EV132:EX132)</f>
        <v>30.444364902505267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67.541625347654929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-9.9475983006414026E-14</v>
      </c>
      <c r="FF132" s="17">
        <f>FE132*VLOOKUP('Données projet'!$B$16,Paramètres!$A$1:$I$89,3,0)*VLOOKUP('Données projet'!$B$16,Paramètres!$A$1:$I$89,5,0)</f>
        <v>-9.6213170763803652E-14</v>
      </c>
      <c r="FG132" s="13" t="e">
        <f t="shared" si="101"/>
        <v>#NUM!</v>
      </c>
      <c r="FH132" s="20" t="e">
        <f t="shared" ref="FH132:FH153" si="130">(FF132+FG132)*0.475*44/12</f>
        <v>#NUM!</v>
      </c>
      <c r="FI132" s="59" t="e">
        <f t="shared" ref="FI132:FI195" si="131">FH132+(EZ132+FA132)*44/12</f>
        <v>#NUM!</v>
      </c>
      <c r="FJ132" s="59">
        <f ca="1">AVERAGE(OFFSET($FI$3,0,0,'Données projet'!$E$16+1,1))-AVERAGE(OFFSET($H$3,0,0,'Données projet'!$E$16+1,1))</f>
        <v>196.65742339093146</v>
      </c>
      <c r="FK132" s="59">
        <f t="shared" si="102"/>
        <v>125.41980634506001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>
        <f>EXP(-LN(2)/35)*FQ131+(1-EXP(-LN(2)/35))/(LN(2)/35)*FM132*FN132*VLOOKUP('Données projet'!$B$16,Paramètres!$A$1:$I$89,3,0)*0.475*44/12</f>
        <v>11.775325425282347</v>
      </c>
      <c r="FR132" s="21">
        <f>EXP(-LN(2)/25)*FR131+(1-EXP(-LN(2)/25))/(LN(2)/25)*Calculateur!FM132*Calculateur!FO132*VLOOKUP('Données projet'!$B$16,Paramètres!$A$1:$I$89,3,0)*0.475*44/12</f>
        <v>14.332128469629192</v>
      </c>
      <c r="FS132" s="21">
        <f>EXP(-LN(2)/2)*FS131+(1-EXP(-LN(2)/2))/(LN(2)/2)*FM132*FP132*VLOOKUP('Données projet'!$B$16,Paramètres!$A$1:$I$89,3,0)*0.475*44/12</f>
        <v>1.2483522493685648</v>
      </c>
      <c r="FT132" s="22">
        <f t="shared" ref="FT132:FT153" si="132">SUM(FQ132:FS132)</f>
        <v>27.355806144280102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67.541625347654929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67.541625347654929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>
      <c r="A133" s="10">
        <f t="shared" ref="A133:A152" si="139">A132+1</f>
        <v>130</v>
      </c>
      <c r="B133" s="73">
        <f>'Scénario référence'!$B$16*5+'Scénario référence'!$B$17*0+'Scénario référence'!$B$18*5</f>
        <v>4.6999999999999993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6.9357600000000108</v>
      </c>
      <c r="D133" s="11">
        <f t="shared" ref="D133:D196" si="140">IFERROR(EXP(-1.0587+0.8836*LN(C133)+0.284),0)</f>
        <v>2.5511898206451069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20.593289039737385</v>
      </c>
      <c r="H133" s="67">
        <f t="shared" si="110"/>
        <v>204.25643760429026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67.584272651770775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-2.2737367544323206E-13</v>
      </c>
      <c r="O133" s="13">
        <f>N133*VLOOKUP('Données projet'!$B$9,Paramètres!$A$1:$I$89,3,0)*VLOOKUP('Données projet'!$B$9,Paramètres!$A$1:$I$89,5,0)</f>
        <v>-1.3596945791505279E-13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366.93249569585623</v>
      </c>
      <c r="T133" s="59">
        <f t="shared" ref="T133:T196" si="142">$T$3</f>
        <v>272.47262353368501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56.938646408055178</v>
      </c>
      <c r="AA133" s="21">
        <f>EXP(-LN(2)/25)*AA132+(1-EXP(-LN(2)/25))/(LN(2)/25)*Calculateur!V133*Calculateur!X133*VLOOKUP('Données projet'!$B$9,Paramètres!$A$1:$I$89,3,0)*0.475*44/12</f>
        <v>12.936093194574484</v>
      </c>
      <c r="AB133" s="21">
        <f>EXP(-LN(2)/2)*AB132+(1-EXP(-LN(2)/2))/(LN(2)/2)*V133*Y133*VLOOKUP('Données projet'!$B$9,Paramètres!$A$1:$I$89,3,0)*0.475*44/12</f>
        <v>2.1075201869371148E-6</v>
      </c>
      <c r="AC133" s="22">
        <f t="shared" si="111"/>
        <v>69.874741710149848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67.584272651770775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1.1368683772161603E-13</v>
      </c>
      <c r="AJ133" s="13">
        <f>AI133*VLOOKUP('Données projet'!$B$10,Paramètres!$A$1:$I$89,3,0)*VLOOKUP('Données projet'!$B$10,Paramètres!$A$1:$I$89,5,0)</f>
        <v>5.3205440053716299E-14</v>
      </c>
      <c r="AK133" s="13">
        <f t="shared" ref="AK133:AK153" si="143">EXP(-1.0587+0.8836*LN(AJ133)+0.284)</f>
        <v>8.602146238565607E-13</v>
      </c>
      <c r="AL133" s="20">
        <f t="shared" si="112"/>
        <v>1.590873277977066E-12</v>
      </c>
      <c r="AM133" s="59">
        <f t="shared" si="113"/>
        <v>284.47566638982778</v>
      </c>
      <c r="AN133" s="59">
        <f ca="1">AVERAGE(OFFSET($AM$3,0,0,'Données projet'!$E$10+1,1))-AVERAGE(OFFSET($H$3,0,0,'Données projet'!$E$10+1,1))</f>
        <v>382.89338473200229</v>
      </c>
      <c r="AO133" s="59">
        <f t="shared" ref="AO133:AO196" si="144">$AO$3</f>
        <v>360.46248248971744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112.30265831959581</v>
      </c>
      <c r="AV133" s="21">
        <f>EXP(-LN(2)/25)*AV132+(1-EXP(-LN(2)/25))/(LN(2)/25)*Calculateur!AQ133*Calculateur!AS133*VLOOKUP('Données projet'!$B$10,Paramètres!$A$1:$I$89,3,0)*0.475*44/12</f>
        <v>27.228036551084731</v>
      </c>
      <c r="AW133" s="21">
        <f>EXP(-LN(2)/2)*AW132+(1-EXP(-LN(2)/2))/(LN(2)/2)*AQ133*AT133*VLOOKUP('Données projet'!$B$10,Paramètres!$A$1:$I$89,3,0)*0.475*44/12</f>
        <v>6.7720797306768388E-3</v>
      </c>
      <c r="AX133" s="21">
        <f t="shared" si="114"/>
        <v>139.53746695041121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67.584272651770775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>
        <f>BD133*VLOOKUP('Données projet'!$B$11,Paramètres!$A$1:$I$89,3,0)*VLOOKUP('Données projet'!$B$11,Paramètres!$A$1:$I$89,5,0)</f>
        <v>0</v>
      </c>
      <c r="BF133" s="13" t="e">
        <f t="shared" ref="BF133:BF153" si="145">EXP(-1.0587+0.8836*LN(BE133)+0.284)</f>
        <v>#NUM!</v>
      </c>
      <c r="BG133" s="20" t="e">
        <f t="shared" si="115"/>
        <v>#NUM!</v>
      </c>
      <c r="BH133" s="59" t="e">
        <f t="shared" si="116"/>
        <v>#NUM!</v>
      </c>
      <c r="BI133" s="59">
        <f ca="1">AVERAGE(OFFSET($BH$3,0,0,'Données projet'!$E$11+1,1))-AVERAGE(OFFSET($H$3,0,0,'Données projet'!$E$11+1,1))</f>
        <v>225.75484198243581</v>
      </c>
      <c r="BJ133" s="59">
        <f t="shared" ref="BJ133:BJ196" si="146">$BJ$3</f>
        <v>199.49566488421061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4.0932446844087442</v>
      </c>
      <c r="BQ133" s="21">
        <f>EXP(-LN(2)/25)*BQ132+(1-EXP(-LN(2)/25))/(LN(2)/25)*Calculateur!BL133*Calculateur!BN133*VLOOKUP('Données projet'!$B$11,Paramètres!$A$1:$I$89,3,0)*0.475*44/12</f>
        <v>17.608165198249765</v>
      </c>
      <c r="BR133" s="21">
        <f>EXP(-LN(2)/2)*BR132+(1-EXP(-LN(2)/2))/(LN(2)/2)*BL133*BO133*VLOOKUP('Données projet'!$B$11,Paramètres!$A$1:$I$89,3,0)*0.475*44/12</f>
        <v>0</v>
      </c>
      <c r="BS133" s="22">
        <f t="shared" si="117"/>
        <v>21.70140988265851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67.584272651770775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1.1368683772161603E-13</v>
      </c>
      <c r="BZ133" s="13">
        <f>BY133*VLOOKUP('Données projet'!$B$12,Paramètres!$A$1:$I$89,3,0)*VLOOKUP('Données projet'!$B$12,Paramètres!$A$1:$I$89,5,0)</f>
        <v>1.0818439477588981E-13</v>
      </c>
      <c r="CA133" s="13">
        <f t="shared" ref="CA133:CA153" si="147">EXP(-1.0587+0.8836*LN(BZ133)+0.284)</f>
        <v>1.6104228458716316E-12</v>
      </c>
      <c r="CB133" s="20">
        <f t="shared" si="118"/>
        <v>2.9932409441277661E-12</v>
      </c>
      <c r="CC133" s="59">
        <f t="shared" si="119"/>
        <v>284.4756663898292</v>
      </c>
      <c r="CD133" s="59">
        <f ca="1">AVERAGE(OFFSET($CC$3,0,0,'Données projet'!$E$12+1,1))-AVERAGE(OFFSET($H$3,0,0,'Données projet'!$E$12+1,1))</f>
        <v>413.9352601863377</v>
      </c>
      <c r="CE133" s="59">
        <f t="shared" ref="CE133:CE196" si="148">$CE$3</f>
        <v>255.13997349799286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37.728931474252349</v>
      </c>
      <c r="CL133" s="21">
        <f>EXP(-LN(2)/25)*CL132+(1-EXP(-LN(2)/25))/(LN(2)/25)*Calculateur!CG133*Calculateur!CI133*VLOOKUP('Données projet'!$B$12,Paramètres!$A$1:$I$89,3,0)*0.475*44/12</f>
        <v>35.031278729039698</v>
      </c>
      <c r="CM133" s="21">
        <f>EXP(-LN(2)/2)*CM132+(1-EXP(-LN(2)/2))/(LN(2)/2)*CG133*CJ133*VLOOKUP('Données projet'!$B$12,Paramètres!$A$1:$I$89,3,0)*0.475*44/12</f>
        <v>2.0265766110657721</v>
      </c>
      <c r="CN133" s="22">
        <f t="shared" si="120"/>
        <v>74.786786814357825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67.584272651770775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2.8421709430404007E-14</v>
      </c>
      <c r="CU133" s="17">
        <f>CT133*VLOOKUP('Données projet'!$B$13,Paramètres!$A$1:$I$89,3,0)*VLOOKUP('Données projet'!$B$13,Paramètres!$A$1:$I$89,5,0)</f>
        <v>2.4829205358400945E-14</v>
      </c>
      <c r="CV133" s="13">
        <f t="shared" ref="CV133:CV153" si="149">EXP(-1.0587+0.8836*LN(CU133)+0.284)</f>
        <v>4.3867331143352915E-13</v>
      </c>
      <c r="CW133" s="20">
        <f t="shared" si="121"/>
        <v>8.0726688341261168E-13</v>
      </c>
      <c r="CX133" s="59">
        <f t="shared" si="122"/>
        <v>284.47566638982698</v>
      </c>
      <c r="CY133" s="59">
        <f ca="1">AVERAGE(OFFSET($CX$3,0,0,'Données projet'!$E$13+1,1))-AVERAGE(OFFSET($H$3,0,0,'Données projet'!$E$13+1,1))</f>
        <v>280.59827778697775</v>
      </c>
      <c r="CZ133" s="59">
        <f t="shared" ref="CZ133:CZ196" si="150">$CZ$3</f>
        <v>270.86588231964726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>
        <f>EXP(-LN(2)/35)*DF132+(1-EXP(-LN(2)/35))/(LN(2)/35)*DB133*DC133*VLOOKUP('Données projet'!$B$13,Paramètres!$A$1:$I$89,3,0)*0.475*44/12</f>
        <v>12.254326620940477</v>
      </c>
      <c r="DG133" s="21">
        <f>EXP(-LN(2)/25)*DG132+(1-EXP(-LN(2)/25))/(LN(2)/25)*Calculateur!DB133*Calculateur!DD133*VLOOKUP('Données projet'!$B$13,Paramètres!$A$1:$I$89,3,0)*0.475*44/12</f>
        <v>9.1239927772810905</v>
      </c>
      <c r="DH133" s="21">
        <f>EXP(-LN(2)/2)*DH132+(1-EXP(-LN(2)/2))/(LN(2)/2)*DB133*DE133*VLOOKUP('Données projet'!$B$13,Paramètres!$A$1:$I$89,3,0)*0.475*44/12</f>
        <v>1.35440950514758E-6</v>
      </c>
      <c r="DI133" s="22">
        <f t="shared" si="123"/>
        <v>21.378320752631073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67.584272651770775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>
        <f>DO133*VLOOKUP('Données projet'!$B$14,Paramètres!$A$1:$I$89,3,0)*VLOOKUP('Données projet'!$B$14,Paramètres!$A$1:$I$89,5,0)</f>
        <v>0</v>
      </c>
      <c r="DQ133" s="13" t="e">
        <f t="shared" ref="DQ133:DQ153" si="151">EXP(-1.0587+0.8836*LN(DP133)+0.284)</f>
        <v>#NUM!</v>
      </c>
      <c r="DR133" s="20" t="e">
        <f t="shared" si="124"/>
        <v>#NUM!</v>
      </c>
      <c r="DS133" s="59" t="e">
        <f t="shared" si="125"/>
        <v>#NUM!</v>
      </c>
      <c r="DT133" s="59">
        <f ca="1">AVERAGE(OFFSET($DS$3,0,0,'Données projet'!$E$14+1,1))-AVERAGE(OFFSET($H$3,0,0,'Données projet'!$E$14+1,1))</f>
        <v>211.42385430331873</v>
      </c>
      <c r="DU133" s="59">
        <f t="shared" ref="DU133:DU196" si="152">$DU$3</f>
        <v>146.84623106782686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>
        <f>EXP(-LN(2)/35)*EA132+(1-EXP(-LN(2)/35))/(LN(2)/35)*DW133*DX133*VLOOKUP('Données projet'!$B$14,Paramètres!$A$1:$I$89,3,0)*0.475*44/12</f>
        <v>18.026087725386116</v>
      </c>
      <c r="EB133" s="21">
        <f>EXP(-LN(2)/25)*EB132+(1-EXP(-LN(2)/25))/(LN(2)/25)*Calculateur!DW133*Calculateur!DY133*VLOOKUP('Données projet'!$B$14,Paramètres!$A$1:$I$89,3,0)*0.475*44/12</f>
        <v>16.805112775009963</v>
      </c>
      <c r="EC133" s="21">
        <f>EXP(-LN(2)/2)*EC132+(1-EXP(-LN(2)/2))/(LN(2)/2)*DW133*DZ133*VLOOKUP('Données projet'!$B$14,Paramètres!$A$1:$I$89,3,0)*0.475*44/12</f>
        <v>0.16230215562758329</v>
      </c>
      <c r="ED133" s="22">
        <f t="shared" si="126"/>
        <v>34.993502656023665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67.584272651770775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-9.9475983006414026E-14</v>
      </c>
      <c r="EK133" s="17">
        <f>EJ133*VLOOKUP('Données projet'!$B$15,Paramètres!$A$1:$I$89,3,0)*VLOOKUP('Données projet'!$B$15,Paramètres!$A$1:$I$89,5,0)</f>
        <v>-1.0707594810810407E-13</v>
      </c>
      <c r="EL133" s="13" t="e">
        <f t="shared" ref="EL133:EL153" si="153">EXP(-1.0587+0.8836*LN(EK133)+0.284)</f>
        <v>#NUM!</v>
      </c>
      <c r="EM133" s="20" t="e">
        <f t="shared" si="127"/>
        <v>#NUM!</v>
      </c>
      <c r="EN133" s="59" t="e">
        <f t="shared" si="128"/>
        <v>#NUM!</v>
      </c>
      <c r="EO133" s="59">
        <f ca="1">AVERAGE(OFFSET($EN$3,0,0,'Données projet'!$E$15+1,1))-AVERAGE(OFFSET($H$3,0,0,'Données projet'!$E$15+1,1))</f>
        <v>212.00478362779876</v>
      </c>
      <c r="EP133" s="59">
        <f t="shared" ref="EP133:EP196" si="154">$EP$3</f>
        <v>133.62262474506707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>
        <f>EXP(-LN(2)/35)*EV132+(1-EXP(-LN(2)/35))/(LN(2)/35)*ER133*ES133*VLOOKUP('Données projet'!$B$15,Paramètres!$A$1:$I$89,3,0)*0.475*44/12</f>
        <v>12.847820561924188</v>
      </c>
      <c r="EW133" s="21">
        <f>EXP(-LN(2)/25)*EW132+(1-EXP(-LN(2)/25))/(LN(2)/25)*Calculateur!ER133*Calculateur!ET133*VLOOKUP('Données projet'!$B$15,Paramètres!$A$1:$I$89,3,0)*0.475*44/12</f>
        <v>15.51411097971609</v>
      </c>
      <c r="EX133" s="21">
        <f>EXP(-LN(2)/2)*EX132+(1-EXP(-LN(2)/2))/(LN(2)/2)*ER133*EU133*VLOOKUP('Données projet'!$B$15,Paramètres!$A$1:$I$89,3,0)*0.475*44/12</f>
        <v>0.98238008899712026</v>
      </c>
      <c r="EY133" s="22">
        <f t="shared" si="129"/>
        <v>29.344311630637399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67.584272651770775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-9.9475983006414026E-14</v>
      </c>
      <c r="FF133" s="17">
        <f>FE133*VLOOKUP('Données projet'!$B$16,Paramètres!$A$1:$I$89,3,0)*VLOOKUP('Données projet'!$B$16,Paramètres!$A$1:$I$89,5,0)</f>
        <v>-9.6213170763803652E-14</v>
      </c>
      <c r="FG133" s="13" t="e">
        <f t="shared" ref="FG133:FG153" si="155">EXP(-1.0587+0.8836*LN(FF133)+0.284)</f>
        <v>#NUM!</v>
      </c>
      <c r="FH133" s="20" t="e">
        <f t="shared" si="130"/>
        <v>#NUM!</v>
      </c>
      <c r="FI133" s="59" t="e">
        <f t="shared" si="131"/>
        <v>#NUM!</v>
      </c>
      <c r="FJ133" s="59">
        <f ca="1">AVERAGE(OFFSET($FI$3,0,0,'Données projet'!$E$16+1,1))-AVERAGE(OFFSET($H$3,0,0,'Données projet'!$E$16+1,1))</f>
        <v>196.65742339093146</v>
      </c>
      <c r="FK133" s="59">
        <f t="shared" ref="FK133:FK196" si="156">$FK$3</f>
        <v>125.41980634506001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>
        <f>EXP(-LN(2)/35)*FQ132+(1-EXP(-LN(2)/35))/(LN(2)/35)*FM133*FN133*VLOOKUP('Données projet'!$B$16,Paramètres!$A$1:$I$89,3,0)*0.475*44/12</f>
        <v>11.544418475931883</v>
      </c>
      <c r="FR133" s="21">
        <f>EXP(-LN(2)/25)*FR132+(1-EXP(-LN(2)/25))/(LN(2)/25)*Calculateur!FM133*Calculateur!FO133*VLOOKUP('Données projet'!$B$16,Paramètres!$A$1:$I$89,3,0)*0.475*44/12</f>
        <v>13.940215662933301</v>
      </c>
      <c r="FS133" s="21">
        <f>EXP(-LN(2)/2)*FS132+(1-EXP(-LN(2)/2))/(LN(2)/2)*FM133*FP133*VLOOKUP('Données projet'!$B$16,Paramètres!$A$1:$I$89,3,0)*0.475*44/12</f>
        <v>0.88271834083799228</v>
      </c>
      <c r="FT133" s="22">
        <f t="shared" si="132"/>
        <v>26.367352479703175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67.584272651770775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67.584272651770775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>
      <c r="A134" s="10">
        <f t="shared" si="139"/>
        <v>131</v>
      </c>
      <c r="B134" s="73">
        <f>'Scénario référence'!$B$16*5+'Scénario référence'!$B$17*0+'Scénario référence'!$B$18*5</f>
        <v>4.6999999999999993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6.9891120000000111</v>
      </c>
      <c r="D134" s="11">
        <f t="shared" si="140"/>
        <v>2.5685223206505032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20.626027123950411</v>
      </c>
      <c r="H134" s="67">
        <f t="shared" si="110"/>
        <v>204.37954644179968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67.626180120505296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-2.2737367544323206E-13</v>
      </c>
      <c r="O134" s="13">
        <f>N134*VLOOKUP('Données projet'!$B$9,Paramètres!$A$1:$I$89,3,0)*VLOOKUP('Données projet'!$B$9,Paramètres!$A$1:$I$89,5,0)</f>
        <v>-1.3596945791505279E-13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366.93249569585623</v>
      </c>
      <c r="T134" s="59">
        <f t="shared" si="142"/>
        <v>272.47262353368501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55.822114281138305</v>
      </c>
      <c r="AA134" s="21">
        <f>EXP(-LN(2)/25)*AA133+(1-EXP(-LN(2)/25))/(LN(2)/25)*Calculateur!V134*Calculateur!X134*VLOOKUP('Données projet'!$B$9,Paramètres!$A$1:$I$89,3,0)*0.475*44/12</f>
        <v>12.582355045889269</v>
      </c>
      <c r="AB134" s="21">
        <f>EXP(-LN(2)/2)*AB133+(1-EXP(-LN(2)/2))/(LN(2)/2)*V134*Y134*VLOOKUP('Données projet'!$B$9,Paramètres!$A$1:$I$89,3,0)*0.475*44/12</f>
        <v>1.4902418156707742E-6</v>
      </c>
      <c r="AC134" s="22">
        <f t="shared" si="111"/>
        <v>68.404470817269384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67.626180120505296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1.1368683772161603E-13</v>
      </c>
      <c r="AJ134" s="13">
        <f>AI134*VLOOKUP('Données projet'!$B$10,Paramètres!$A$1:$I$89,3,0)*VLOOKUP('Données projet'!$B$10,Paramètres!$A$1:$I$89,5,0)</f>
        <v>5.3205440053716299E-14</v>
      </c>
      <c r="AK134" s="13">
        <f t="shared" si="143"/>
        <v>8.602146238565607E-13</v>
      </c>
      <c r="AL134" s="20">
        <f t="shared" si="112"/>
        <v>1.590873277977066E-12</v>
      </c>
      <c r="AM134" s="59">
        <f t="shared" si="113"/>
        <v>284.62932710852101</v>
      </c>
      <c r="AN134" s="59">
        <f ca="1">AVERAGE(OFFSET($AM$3,0,0,'Données projet'!$E$10+1,1))-AVERAGE(OFFSET($H$3,0,0,'Données projet'!$E$10+1,1))</f>
        <v>382.89338473200229</v>
      </c>
      <c r="AO134" s="59">
        <f t="shared" si="144"/>
        <v>360.46248248971744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110.1004716878065</v>
      </c>
      <c r="AV134" s="21">
        <f>EXP(-LN(2)/25)*AV133+(1-EXP(-LN(2)/25))/(LN(2)/25)*Calculateur!AQ134*Calculateur!AS134*VLOOKUP('Données projet'!$B$10,Paramètres!$A$1:$I$89,3,0)*0.475*44/12</f>
        <v>26.483484459735106</v>
      </c>
      <c r="AW134" s="21">
        <f>EXP(-LN(2)/2)*AW133+(1-EXP(-LN(2)/2))/(LN(2)/2)*AQ134*AT134*VLOOKUP('Données projet'!$B$10,Paramètres!$A$1:$I$89,3,0)*0.475*44/12</f>
        <v>4.7885835002975611E-3</v>
      </c>
      <c r="AX134" s="21">
        <f t="shared" si="114"/>
        <v>136.58874473104191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67.626180120505296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>
        <f>BD134*VLOOKUP('Données projet'!$B$11,Paramètres!$A$1:$I$89,3,0)*VLOOKUP('Données projet'!$B$11,Paramètres!$A$1:$I$89,5,0)</f>
        <v>0</v>
      </c>
      <c r="BF134" s="13" t="e">
        <f t="shared" si="145"/>
        <v>#NUM!</v>
      </c>
      <c r="BG134" s="20" t="e">
        <f t="shared" si="115"/>
        <v>#NUM!</v>
      </c>
      <c r="BH134" s="59" t="e">
        <f t="shared" si="116"/>
        <v>#NUM!</v>
      </c>
      <c r="BI134" s="59">
        <f ca="1">AVERAGE(OFFSET($BH$3,0,0,'Données projet'!$E$11+1,1))-AVERAGE(OFFSET($H$3,0,0,'Données projet'!$E$11+1,1))</f>
        <v>225.75484198243581</v>
      </c>
      <c r="BJ134" s="59">
        <f t="shared" si="146"/>
        <v>199.49566488421061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4.012978652780224</v>
      </c>
      <c r="BQ134" s="21">
        <f>EXP(-LN(2)/25)*BQ133+(1-EXP(-LN(2)/25))/(LN(2)/25)*Calculateur!BL134*Calculateur!BN134*VLOOKUP('Données projet'!$B$11,Paramètres!$A$1:$I$89,3,0)*0.475*44/12</f>
        <v>17.126668994930462</v>
      </c>
      <c r="BR134" s="21">
        <f>EXP(-LN(2)/2)*BR133+(1-EXP(-LN(2)/2))/(LN(2)/2)*BL134*BO134*VLOOKUP('Données projet'!$B$11,Paramètres!$A$1:$I$89,3,0)*0.475*44/12</f>
        <v>0</v>
      </c>
      <c r="BS134" s="22">
        <f t="shared" si="117"/>
        <v>21.139647647710685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67.626180120505296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1.1368683772161603E-13</v>
      </c>
      <c r="BZ134" s="13">
        <f>BY134*VLOOKUP('Données projet'!$B$12,Paramètres!$A$1:$I$89,3,0)*VLOOKUP('Données projet'!$B$12,Paramètres!$A$1:$I$89,5,0)</f>
        <v>1.0818439477588981E-13</v>
      </c>
      <c r="CA134" s="13">
        <f t="shared" si="147"/>
        <v>1.6104228458716316E-12</v>
      </c>
      <c r="CB134" s="20">
        <f t="shared" si="118"/>
        <v>2.9932409441277661E-12</v>
      </c>
      <c r="CC134" s="59">
        <f t="shared" si="119"/>
        <v>284.62932710852243</v>
      </c>
      <c r="CD134" s="59">
        <f ca="1">AVERAGE(OFFSET($CC$3,0,0,'Données projet'!$E$12+1,1))-AVERAGE(OFFSET($H$3,0,0,'Données projet'!$E$12+1,1))</f>
        <v>413.9352601863377</v>
      </c>
      <c r="CE134" s="59">
        <f t="shared" si="148"/>
        <v>255.13997349799286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36.989090140418178</v>
      </c>
      <c r="CL134" s="21">
        <f>EXP(-LN(2)/25)*CL133+(1-EXP(-LN(2)/25))/(LN(2)/25)*Calculateur!CG134*Calculateur!CI134*VLOOKUP('Données projet'!$B$12,Paramètres!$A$1:$I$89,3,0)*0.475*44/12</f>
        <v>34.073346569979222</v>
      </c>
      <c r="CM134" s="21">
        <f>EXP(-LN(2)/2)*CM133+(1-EXP(-LN(2)/2))/(LN(2)/2)*CG134*CJ134*VLOOKUP('Données projet'!$B$12,Paramètres!$A$1:$I$89,3,0)*0.475*44/12</f>
        <v>1.43300606427866</v>
      </c>
      <c r="CN134" s="22">
        <f t="shared" si="120"/>
        <v>72.495442774676064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67.626180120505296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2.8421709430404007E-14</v>
      </c>
      <c r="CU134" s="17">
        <f>CT134*VLOOKUP('Données projet'!$B$13,Paramètres!$A$1:$I$89,3,0)*VLOOKUP('Données projet'!$B$13,Paramètres!$A$1:$I$89,5,0)</f>
        <v>2.4829205358400945E-14</v>
      </c>
      <c r="CV134" s="13">
        <f t="shared" si="149"/>
        <v>4.3867331143352915E-13</v>
      </c>
      <c r="CW134" s="20">
        <f t="shared" si="121"/>
        <v>8.0726688341261168E-13</v>
      </c>
      <c r="CX134" s="59">
        <f t="shared" si="122"/>
        <v>284.62932710852022</v>
      </c>
      <c r="CY134" s="59">
        <f ca="1">AVERAGE(OFFSET($CX$3,0,0,'Données projet'!$E$13+1,1))-AVERAGE(OFFSET($H$3,0,0,'Données projet'!$E$13+1,1))</f>
        <v>280.59827778697775</v>
      </c>
      <c r="CZ134" s="59">
        <f t="shared" si="150"/>
        <v>270.86588231964726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>
        <f>EXP(-LN(2)/35)*DF133+(1-EXP(-LN(2)/35))/(LN(2)/35)*DB134*DC134*VLOOKUP('Données projet'!$B$13,Paramètres!$A$1:$I$89,3,0)*0.475*44/12</f>
        <v>12.014026750305037</v>
      </c>
      <c r="DG134" s="21">
        <f>EXP(-LN(2)/25)*DG133+(1-EXP(-LN(2)/25))/(LN(2)/25)*Calculateur!DB134*Calculateur!DD134*VLOOKUP('Données projet'!$B$13,Paramètres!$A$1:$I$89,3,0)*0.475*44/12</f>
        <v>8.8744967149764129</v>
      </c>
      <c r="DH134" s="21">
        <f>EXP(-LN(2)/2)*DH133+(1-EXP(-LN(2)/2))/(LN(2)/2)*DB134*DE134*VLOOKUP('Données projet'!$B$13,Paramètres!$A$1:$I$89,3,0)*0.475*44/12</f>
        <v>9.5771214559336994E-7</v>
      </c>
      <c r="DI134" s="22">
        <f t="shared" si="123"/>
        <v>20.888524422993598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67.626180120505296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>
        <f>DO134*VLOOKUP('Données projet'!$B$14,Paramètres!$A$1:$I$89,3,0)*VLOOKUP('Données projet'!$B$14,Paramètres!$A$1:$I$89,5,0)</f>
        <v>0</v>
      </c>
      <c r="DQ134" s="13" t="e">
        <f t="shared" si="151"/>
        <v>#NUM!</v>
      </c>
      <c r="DR134" s="20" t="e">
        <f t="shared" si="124"/>
        <v>#NUM!</v>
      </c>
      <c r="DS134" s="59" t="e">
        <f t="shared" si="125"/>
        <v>#NUM!</v>
      </c>
      <c r="DT134" s="59">
        <f ca="1">AVERAGE(OFFSET($DS$3,0,0,'Données projet'!$E$14+1,1))-AVERAGE(OFFSET($H$3,0,0,'Données projet'!$E$14+1,1))</f>
        <v>211.42385430331873</v>
      </c>
      <c r="DU134" s="59">
        <f t="shared" si="152"/>
        <v>146.84623106782686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>
        <f>EXP(-LN(2)/35)*EA133+(1-EXP(-LN(2)/35))/(LN(2)/35)*DW134*DX134*VLOOKUP('Données projet'!$B$14,Paramètres!$A$1:$I$89,3,0)*0.475*44/12</f>
        <v>17.672607139919158</v>
      </c>
      <c r="EB134" s="21">
        <f>EXP(-LN(2)/25)*EB133+(1-EXP(-LN(2)/25))/(LN(2)/25)*Calculateur!DW134*Calculateur!DY134*VLOOKUP('Données projet'!$B$14,Paramètres!$A$1:$I$89,3,0)*0.475*44/12</f>
        <v>16.345576082434842</v>
      </c>
      <c r="EC134" s="21">
        <f>EXP(-LN(2)/2)*EC133+(1-EXP(-LN(2)/2))/(LN(2)/2)*DW134*DZ134*VLOOKUP('Données projet'!$B$14,Paramètres!$A$1:$I$89,3,0)*0.475*44/12</f>
        <v>0.11476495484545852</v>
      </c>
      <c r="ED134" s="22">
        <f t="shared" si="126"/>
        <v>34.132948177199452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67.626180120505296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-9.9475983006414026E-14</v>
      </c>
      <c r="EK134" s="17">
        <f>EJ134*VLOOKUP('Données projet'!$B$15,Paramètres!$A$1:$I$89,3,0)*VLOOKUP('Données projet'!$B$15,Paramètres!$A$1:$I$89,5,0)</f>
        <v>-1.0707594810810407E-13</v>
      </c>
      <c r="EL134" s="13" t="e">
        <f t="shared" si="153"/>
        <v>#NUM!</v>
      </c>
      <c r="EM134" s="20" t="e">
        <f t="shared" si="127"/>
        <v>#NUM!</v>
      </c>
      <c r="EN134" s="59" t="e">
        <f t="shared" si="128"/>
        <v>#NUM!</v>
      </c>
      <c r="EO134" s="59">
        <f ca="1">AVERAGE(OFFSET($EN$3,0,0,'Données projet'!$E$15+1,1))-AVERAGE(OFFSET($H$3,0,0,'Données projet'!$E$15+1,1))</f>
        <v>212.00478362779876</v>
      </c>
      <c r="EP134" s="59">
        <f t="shared" si="154"/>
        <v>133.62262474506707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>
        <f>EXP(-LN(2)/35)*EV133+(1-EXP(-LN(2)/35))/(LN(2)/35)*ER134*ES134*VLOOKUP('Données projet'!$B$15,Paramètres!$A$1:$I$89,3,0)*0.475*44/12</f>
        <v>12.595882637101617</v>
      </c>
      <c r="EW134" s="21">
        <f>EXP(-LN(2)/25)*EW133+(1-EXP(-LN(2)/25))/(LN(2)/25)*Calculateur!ER134*Calculateur!ET134*VLOOKUP('Données projet'!$B$15,Paramètres!$A$1:$I$89,3,0)*0.475*44/12</f>
        <v>15.089876799124115</v>
      </c>
      <c r="EX134" s="21">
        <f>EXP(-LN(2)/2)*EX133+(1-EXP(-LN(2)/2))/(LN(2)/2)*ER134*EU134*VLOOKUP('Données projet'!$B$15,Paramètres!$A$1:$I$89,3,0)*0.475*44/12</f>
        <v>0.6946476226325079</v>
      </c>
      <c r="EY134" s="22">
        <f t="shared" si="129"/>
        <v>28.380407058858239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67.626180120505296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-9.9475983006414026E-14</v>
      </c>
      <c r="FF134" s="17">
        <f>FE134*VLOOKUP('Données projet'!$B$16,Paramètres!$A$1:$I$89,3,0)*VLOOKUP('Données projet'!$B$16,Paramètres!$A$1:$I$89,5,0)</f>
        <v>-9.6213170763803652E-14</v>
      </c>
      <c r="FG134" s="13" t="e">
        <f t="shared" si="155"/>
        <v>#NUM!</v>
      </c>
      <c r="FH134" s="20" t="e">
        <f t="shared" si="130"/>
        <v>#NUM!</v>
      </c>
      <c r="FI134" s="59" t="e">
        <f t="shared" si="131"/>
        <v>#NUM!</v>
      </c>
      <c r="FJ134" s="59">
        <f ca="1">AVERAGE(OFFSET($FI$3,0,0,'Données projet'!$E$16+1,1))-AVERAGE(OFFSET($H$3,0,0,'Données projet'!$E$16+1,1))</f>
        <v>196.65742339093146</v>
      </c>
      <c r="FK134" s="59">
        <f t="shared" si="156"/>
        <v>125.41980634506001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>
        <f>EXP(-LN(2)/35)*FQ133+(1-EXP(-LN(2)/35))/(LN(2)/35)*FM134*FN134*VLOOKUP('Données projet'!$B$16,Paramètres!$A$1:$I$89,3,0)*0.475*44/12</f>
        <v>11.318039471018848</v>
      </c>
      <c r="FR134" s="21">
        <f>EXP(-LN(2)/25)*FR133+(1-EXP(-LN(2)/25))/(LN(2)/25)*Calculateur!FM134*Calculateur!FO134*VLOOKUP('Données projet'!$B$16,Paramètres!$A$1:$I$89,3,0)*0.475*44/12</f>
        <v>13.559019732546309</v>
      </c>
      <c r="FS134" s="21">
        <f>EXP(-LN(2)/2)*FS133+(1-EXP(-LN(2)/2))/(LN(2)/2)*FM134*FP134*VLOOKUP('Données projet'!$B$16,Paramètres!$A$1:$I$89,3,0)*0.475*44/12</f>
        <v>0.62417612468428252</v>
      </c>
      <c r="FT134" s="22">
        <f t="shared" si="132"/>
        <v>25.50123532824944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67.626180120505296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67.626180120505296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>
      <c r="A135" s="10">
        <f t="shared" si="139"/>
        <v>132</v>
      </c>
      <c r="B135" s="73">
        <f>'Scénario référence'!$B$16*5+'Scénario référence'!$B$17*0+'Scénario référence'!$B$18*5</f>
        <v>4.6999999999999993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7.0424640000000114</v>
      </c>
      <c r="D135" s="11">
        <f t="shared" si="140"/>
        <v>2.5858394265516509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20.658758078262522</v>
      </c>
      <c r="H135" s="67">
        <f t="shared" si="110"/>
        <v>204.50262846791082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67.66736058834833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-2.2737367544323206E-13</v>
      </c>
      <c r="O135" s="13">
        <f>N135*VLOOKUP('Données projet'!$B$9,Paramètres!$A$1:$I$89,3,0)*VLOOKUP('Données projet'!$B$9,Paramètres!$A$1:$I$89,5,0)</f>
        <v>-1.3596945791505279E-13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366.93249569585623</v>
      </c>
      <c r="T135" s="59">
        <f t="shared" si="142"/>
        <v>272.47262353368501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54.727476668212923</v>
      </c>
      <c r="AA135" s="21">
        <f>EXP(-LN(2)/25)*AA134+(1-EXP(-LN(2)/25))/(LN(2)/25)*Calculateur!V135*Calculateur!X135*VLOOKUP('Données projet'!$B$9,Paramètres!$A$1:$I$89,3,0)*0.475*44/12</f>
        <v>12.238289885482132</v>
      </c>
      <c r="AB135" s="21">
        <f>EXP(-LN(2)/2)*AB134+(1-EXP(-LN(2)/2))/(LN(2)/2)*V135*Y135*VLOOKUP('Données projet'!$B$9,Paramètres!$A$1:$I$89,3,0)*0.475*44/12</f>
        <v>1.0537600934685574E-6</v>
      </c>
      <c r="AC135" s="22">
        <f t="shared" si="111"/>
        <v>66.965767607455149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67.66736058834833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1.1368683772161603E-13</v>
      </c>
      <c r="AJ135" s="13">
        <f>AI135*VLOOKUP('Données projet'!$B$10,Paramètres!$A$1:$I$89,3,0)*VLOOKUP('Données projet'!$B$10,Paramètres!$A$1:$I$89,5,0)</f>
        <v>5.3205440053716299E-14</v>
      </c>
      <c r="AK135" s="13">
        <f t="shared" si="143"/>
        <v>8.602146238565607E-13</v>
      </c>
      <c r="AL135" s="20">
        <f t="shared" si="112"/>
        <v>1.590873277977066E-12</v>
      </c>
      <c r="AM135" s="59">
        <f t="shared" si="113"/>
        <v>284.78032215727882</v>
      </c>
      <c r="AN135" s="59">
        <f ca="1">AVERAGE(OFFSET($AM$3,0,0,'Données projet'!$E$10+1,1))-AVERAGE(OFFSET($H$3,0,0,'Données projet'!$E$10+1,1))</f>
        <v>382.89338473200229</v>
      </c>
      <c r="AO135" s="59">
        <f t="shared" si="144"/>
        <v>360.46248248971744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107.94146859266537</v>
      </c>
      <c r="AV135" s="21">
        <f>EXP(-LN(2)/25)*AV134+(1-EXP(-LN(2)/25))/(LN(2)/25)*Calculateur!AQ135*Calculateur!AS135*VLOOKUP('Données projet'!$B$10,Paramètres!$A$1:$I$89,3,0)*0.475*44/12</f>
        <v>25.759292184477729</v>
      </c>
      <c r="AW135" s="21">
        <f>EXP(-LN(2)/2)*AW134+(1-EXP(-LN(2)/2))/(LN(2)/2)*AQ135*AT135*VLOOKUP('Données projet'!$B$10,Paramètres!$A$1:$I$89,3,0)*0.475*44/12</f>
        <v>3.3860398653384194E-3</v>
      </c>
      <c r="AX135" s="21">
        <f t="shared" si="114"/>
        <v>133.70414681700845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67.66736058834833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>
        <f>BD135*VLOOKUP('Données projet'!$B$11,Paramètres!$A$1:$I$89,3,0)*VLOOKUP('Données projet'!$B$11,Paramètres!$A$1:$I$89,5,0)</f>
        <v>0</v>
      </c>
      <c r="BF135" s="13" t="e">
        <f t="shared" si="145"/>
        <v>#NUM!</v>
      </c>
      <c r="BG135" s="20" t="e">
        <f t="shared" si="115"/>
        <v>#NUM!</v>
      </c>
      <c r="BH135" s="59" t="e">
        <f t="shared" si="116"/>
        <v>#NUM!</v>
      </c>
      <c r="BI135" s="59">
        <f ca="1">AVERAGE(OFFSET($BH$3,0,0,'Données projet'!$E$11+1,1))-AVERAGE(OFFSET($H$3,0,0,'Données projet'!$E$11+1,1))</f>
        <v>225.75484198243581</v>
      </c>
      <c r="BJ135" s="59">
        <f t="shared" si="146"/>
        <v>199.49566488421061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3.9342865890744942</v>
      </c>
      <c r="BQ135" s="21">
        <f>EXP(-LN(2)/25)*BQ134+(1-EXP(-LN(2)/25))/(LN(2)/25)*Calculateur!BL135*Calculateur!BN135*VLOOKUP('Données projet'!$B$11,Paramètres!$A$1:$I$89,3,0)*0.475*44/12</f>
        <v>16.65833933061171</v>
      </c>
      <c r="BR135" s="21">
        <f>EXP(-LN(2)/2)*BR134+(1-EXP(-LN(2)/2))/(LN(2)/2)*BL135*BO135*VLOOKUP('Données projet'!$B$11,Paramètres!$A$1:$I$89,3,0)*0.475*44/12</f>
        <v>0</v>
      </c>
      <c r="BS135" s="22">
        <f t="shared" si="117"/>
        <v>20.592625919686206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67.66736058834833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1.1368683772161603E-13</v>
      </c>
      <c r="BZ135" s="13">
        <f>BY135*VLOOKUP('Données projet'!$B$12,Paramètres!$A$1:$I$89,3,0)*VLOOKUP('Données projet'!$B$12,Paramètres!$A$1:$I$89,5,0)</f>
        <v>1.0818439477588981E-13</v>
      </c>
      <c r="CA135" s="13">
        <f t="shared" si="147"/>
        <v>1.6104228458716316E-12</v>
      </c>
      <c r="CB135" s="20">
        <f t="shared" si="118"/>
        <v>2.9932409441277661E-12</v>
      </c>
      <c r="CC135" s="59">
        <f t="shared" si="119"/>
        <v>284.78032215728024</v>
      </c>
      <c r="CD135" s="59">
        <f ca="1">AVERAGE(OFFSET($CC$3,0,0,'Données projet'!$E$12+1,1))-AVERAGE(OFFSET($H$3,0,0,'Données projet'!$E$12+1,1))</f>
        <v>413.9352601863377</v>
      </c>
      <c r="CE135" s="59">
        <f t="shared" si="148"/>
        <v>255.13997349799286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36.263756643881834</v>
      </c>
      <c r="CL135" s="21">
        <f>EXP(-LN(2)/25)*CL134+(1-EXP(-LN(2)/25))/(LN(2)/25)*Calculateur!CG135*Calculateur!CI135*VLOOKUP('Données projet'!$B$12,Paramètres!$A$1:$I$89,3,0)*0.475*44/12</f>
        <v>33.141609116183723</v>
      </c>
      <c r="CM135" s="21">
        <f>EXP(-LN(2)/2)*CM134+(1-EXP(-LN(2)/2))/(LN(2)/2)*CG135*CJ135*VLOOKUP('Données projet'!$B$12,Paramètres!$A$1:$I$89,3,0)*0.475*44/12</f>
        <v>1.0132883055328861</v>
      </c>
      <c r="CN135" s="22">
        <f t="shared" si="120"/>
        <v>70.418654065598446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67.66736058834833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2.8421709430404007E-14</v>
      </c>
      <c r="CU135" s="17">
        <f>CT135*VLOOKUP('Données projet'!$B$13,Paramètres!$A$1:$I$89,3,0)*VLOOKUP('Données projet'!$B$13,Paramètres!$A$1:$I$89,5,0)</f>
        <v>2.4829205358400945E-14</v>
      </c>
      <c r="CV135" s="13">
        <f t="shared" si="149"/>
        <v>4.3867331143352915E-13</v>
      </c>
      <c r="CW135" s="20">
        <f t="shared" si="121"/>
        <v>8.0726688341261168E-13</v>
      </c>
      <c r="CX135" s="59">
        <f t="shared" si="122"/>
        <v>284.78032215727802</v>
      </c>
      <c r="CY135" s="59">
        <f ca="1">AVERAGE(OFFSET($CX$3,0,0,'Données projet'!$E$13+1,1))-AVERAGE(OFFSET($H$3,0,0,'Données projet'!$E$13+1,1))</f>
        <v>280.59827778697775</v>
      </c>
      <c r="CZ135" s="59">
        <f t="shared" si="150"/>
        <v>270.86588231964726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>
        <f>EXP(-LN(2)/35)*DF134+(1-EXP(-LN(2)/35))/(LN(2)/35)*DB135*DC135*VLOOKUP('Données projet'!$B$13,Paramètres!$A$1:$I$89,3,0)*0.475*44/12</f>
        <v>11.778439013564309</v>
      </c>
      <c r="DG135" s="21">
        <f>EXP(-LN(2)/25)*DG134+(1-EXP(-LN(2)/25))/(LN(2)/25)*Calculateur!DB135*Calculateur!DD135*VLOOKUP('Données projet'!$B$13,Paramètres!$A$1:$I$89,3,0)*0.475*44/12</f>
        <v>8.6318231356158837</v>
      </c>
      <c r="DH135" s="21">
        <f>EXP(-LN(2)/2)*DH134+(1-EXP(-LN(2)/2))/(LN(2)/2)*DB135*DE135*VLOOKUP('Données projet'!$B$13,Paramètres!$A$1:$I$89,3,0)*0.475*44/12</f>
        <v>6.7720475257379E-7</v>
      </c>
      <c r="DI135" s="22">
        <f t="shared" si="123"/>
        <v>20.410262826384944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67.66736058834833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>
        <f>DO135*VLOOKUP('Données projet'!$B$14,Paramètres!$A$1:$I$89,3,0)*VLOOKUP('Données projet'!$B$14,Paramètres!$A$1:$I$89,5,0)</f>
        <v>0</v>
      </c>
      <c r="DQ135" s="13" t="e">
        <f t="shared" si="151"/>
        <v>#NUM!</v>
      </c>
      <c r="DR135" s="20" t="e">
        <f t="shared" si="124"/>
        <v>#NUM!</v>
      </c>
      <c r="DS135" s="59" t="e">
        <f t="shared" si="125"/>
        <v>#NUM!</v>
      </c>
      <c r="DT135" s="59">
        <f ca="1">AVERAGE(OFFSET($DS$3,0,0,'Données projet'!$E$14+1,1))-AVERAGE(OFFSET($H$3,0,0,'Données projet'!$E$14+1,1))</f>
        <v>211.42385430331873</v>
      </c>
      <c r="DU135" s="59">
        <f t="shared" si="152"/>
        <v>146.84623106782686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>
        <f>EXP(-LN(2)/35)*EA134+(1-EXP(-LN(2)/35))/(LN(2)/35)*DW135*DX135*VLOOKUP('Données projet'!$B$14,Paramètres!$A$1:$I$89,3,0)*0.475*44/12</f>
        <v>17.326058093131337</v>
      </c>
      <c r="EB135" s="21">
        <f>EXP(-LN(2)/25)*EB134+(1-EXP(-LN(2)/25))/(LN(2)/25)*Calculateur!DW135*Calculateur!DY135*VLOOKUP('Données projet'!$B$14,Paramètres!$A$1:$I$89,3,0)*0.475*44/12</f>
        <v>15.898605444884174</v>
      </c>
      <c r="EC135" s="21">
        <f>EXP(-LN(2)/2)*EC134+(1-EXP(-LN(2)/2))/(LN(2)/2)*DW135*DZ135*VLOOKUP('Données projet'!$B$14,Paramètres!$A$1:$I$89,3,0)*0.475*44/12</f>
        <v>8.1151077813791647E-2</v>
      </c>
      <c r="ED135" s="22">
        <f t="shared" si="126"/>
        <v>33.305814615829306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67.66736058834833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-9.9475983006414026E-14</v>
      </c>
      <c r="EK135" s="17">
        <f>EJ135*VLOOKUP('Données projet'!$B$15,Paramètres!$A$1:$I$89,3,0)*VLOOKUP('Données projet'!$B$15,Paramètres!$A$1:$I$89,5,0)</f>
        <v>-1.0707594810810407E-13</v>
      </c>
      <c r="EL135" s="13" t="e">
        <f t="shared" si="153"/>
        <v>#NUM!</v>
      </c>
      <c r="EM135" s="20" t="e">
        <f t="shared" si="127"/>
        <v>#NUM!</v>
      </c>
      <c r="EN135" s="59" t="e">
        <f t="shared" si="128"/>
        <v>#NUM!</v>
      </c>
      <c r="EO135" s="59">
        <f ca="1">AVERAGE(OFFSET($EN$3,0,0,'Données projet'!$E$15+1,1))-AVERAGE(OFFSET($H$3,0,0,'Données projet'!$E$15+1,1))</f>
        <v>212.00478362779876</v>
      </c>
      <c r="EP135" s="59">
        <f t="shared" si="154"/>
        <v>133.62262474506707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>
        <f>EXP(-LN(2)/35)*EV134+(1-EXP(-LN(2)/35))/(LN(2)/35)*ER135*ES135*VLOOKUP('Données projet'!$B$15,Paramètres!$A$1:$I$89,3,0)*0.475*44/12</f>
        <v>12.348885061317857</v>
      </c>
      <c r="EW135" s="21">
        <f>EXP(-LN(2)/25)*EW134+(1-EXP(-LN(2)/25))/(LN(2)/25)*Calculateur!ER135*Calculateur!ET135*VLOOKUP('Données projet'!$B$15,Paramètres!$A$1:$I$89,3,0)*0.475*44/12</f>
        <v>14.677243324509933</v>
      </c>
      <c r="EX135" s="21">
        <f>EXP(-LN(2)/2)*EX134+(1-EXP(-LN(2)/2))/(LN(2)/2)*ER135*EU135*VLOOKUP('Données projet'!$B$15,Paramètres!$A$1:$I$89,3,0)*0.475*44/12</f>
        <v>0.49119004449856024</v>
      </c>
      <c r="EY135" s="22">
        <f t="shared" si="129"/>
        <v>27.517318430326348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67.66736058834833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-9.9475983006414026E-14</v>
      </c>
      <c r="FF135" s="17">
        <f>FE135*VLOOKUP('Données projet'!$B$16,Paramètres!$A$1:$I$89,3,0)*VLOOKUP('Données projet'!$B$16,Paramètres!$A$1:$I$89,5,0)</f>
        <v>-9.6213170763803652E-14</v>
      </c>
      <c r="FG135" s="13" t="e">
        <f t="shared" si="155"/>
        <v>#NUM!</v>
      </c>
      <c r="FH135" s="20" t="e">
        <f t="shared" si="130"/>
        <v>#NUM!</v>
      </c>
      <c r="FI135" s="59" t="e">
        <f t="shared" si="131"/>
        <v>#NUM!</v>
      </c>
      <c r="FJ135" s="59">
        <f ca="1">AVERAGE(OFFSET($FI$3,0,0,'Données projet'!$E$16+1,1))-AVERAGE(OFFSET($H$3,0,0,'Données projet'!$E$16+1,1))</f>
        <v>196.65742339093146</v>
      </c>
      <c r="FK135" s="59">
        <f t="shared" si="156"/>
        <v>125.41980634506001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>
        <f>EXP(-LN(2)/35)*FQ134+(1-EXP(-LN(2)/35))/(LN(2)/35)*FM135*FN135*VLOOKUP('Données projet'!$B$16,Paramètres!$A$1:$I$89,3,0)*0.475*44/12</f>
        <v>11.096099620314599</v>
      </c>
      <c r="FR135" s="21">
        <f>EXP(-LN(2)/25)*FR134+(1-EXP(-LN(2)/25))/(LN(2)/25)*Calculateur!FM135*Calculateur!FO135*VLOOKUP('Données projet'!$B$16,Paramètres!$A$1:$I$89,3,0)*0.475*44/12</f>
        <v>13.188247624921972</v>
      </c>
      <c r="FS135" s="21">
        <f>EXP(-LN(2)/2)*FS134+(1-EXP(-LN(2)/2))/(LN(2)/2)*FM135*FP135*VLOOKUP('Données projet'!$B$16,Paramètres!$A$1:$I$89,3,0)*0.475*44/12</f>
        <v>0.44135917041899619</v>
      </c>
      <c r="FT135" s="22">
        <f t="shared" si="132"/>
        <v>24.725706415655566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67.66736058834833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67.66736058834833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>
      <c r="A136" s="10">
        <f t="shared" si="139"/>
        <v>133</v>
      </c>
      <c r="B136" s="73">
        <f>'Scénario référence'!$B$16*5+'Scénario référence'!$B$17*0+'Scénario référence'!$B$18*5</f>
        <v>4.6999999999999993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7.0958160000000117</v>
      </c>
      <c r="D136" s="11">
        <f t="shared" si="140"/>
        <v>2.6031412684904622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20.691481962949972</v>
      </c>
      <c r="H136" s="67">
        <f t="shared" si="110"/>
        <v>204.6256839092876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67.707826667140012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-2.2737367544323206E-13</v>
      </c>
      <c r="O136" s="13">
        <f>N136*VLOOKUP('Données projet'!$B$9,Paramètres!$A$1:$I$89,3,0)*VLOOKUP('Données projet'!$B$9,Paramètres!$A$1:$I$89,5,0)</f>
        <v>-1.3596945791505279E-13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366.93249569585623</v>
      </c>
      <c r="T136" s="59">
        <f t="shared" si="142"/>
        <v>272.47262353368501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53.654304231213985</v>
      </c>
      <c r="AA136" s="21">
        <f>EXP(-LN(2)/25)*AA135+(1-EXP(-LN(2)/25))/(LN(2)/25)*Calculateur!V136*Calculateur!X136*VLOOKUP('Données projet'!$B$9,Paramètres!$A$1:$I$89,3,0)*0.475*44/12</f>
        <v>11.903633204979929</v>
      </c>
      <c r="AB136" s="21">
        <f>EXP(-LN(2)/2)*AB135+(1-EXP(-LN(2)/2))/(LN(2)/2)*V136*Y136*VLOOKUP('Données projet'!$B$9,Paramètres!$A$1:$I$89,3,0)*0.475*44/12</f>
        <v>7.4512090783538709E-7</v>
      </c>
      <c r="AC136" s="22">
        <f t="shared" si="111"/>
        <v>65.557938181314825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67.707826667140012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1.1368683772161603E-13</v>
      </c>
      <c r="AJ136" s="13">
        <f>AI136*VLOOKUP('Données projet'!$B$10,Paramètres!$A$1:$I$89,3,0)*VLOOKUP('Données projet'!$B$10,Paramètres!$A$1:$I$89,5,0)</f>
        <v>5.3205440053716299E-14</v>
      </c>
      <c r="AK136" s="13">
        <f t="shared" si="143"/>
        <v>8.602146238565607E-13</v>
      </c>
      <c r="AL136" s="20">
        <f t="shared" si="112"/>
        <v>1.590873277977066E-12</v>
      </c>
      <c r="AM136" s="59">
        <f t="shared" si="113"/>
        <v>284.92869777951495</v>
      </c>
      <c r="AN136" s="59">
        <f ca="1">AVERAGE(OFFSET($AM$3,0,0,'Données projet'!$E$10+1,1))-AVERAGE(OFFSET($H$3,0,0,'Données projet'!$E$10+1,1))</f>
        <v>382.89338473200229</v>
      </c>
      <c r="AO136" s="59">
        <f t="shared" si="144"/>
        <v>360.46248248971744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105.82480223135811</v>
      </c>
      <c r="AV136" s="21">
        <f>EXP(-LN(2)/25)*AV135+(1-EXP(-LN(2)/25))/(LN(2)/25)*Calculateur!AQ136*Calculateur!AS136*VLOOKUP('Données projet'!$B$10,Paramètres!$A$1:$I$89,3,0)*0.475*44/12</f>
        <v>25.054902985070882</v>
      </c>
      <c r="AW136" s="21">
        <f>EXP(-LN(2)/2)*AW135+(1-EXP(-LN(2)/2))/(LN(2)/2)*AQ136*AT136*VLOOKUP('Données projet'!$B$10,Paramètres!$A$1:$I$89,3,0)*0.475*44/12</f>
        <v>2.3942917501487805E-3</v>
      </c>
      <c r="AX136" s="21">
        <f t="shared" si="114"/>
        <v>130.88209950817912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67.707826667140012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>
        <f>BD136*VLOOKUP('Données projet'!$B$11,Paramètres!$A$1:$I$89,3,0)*VLOOKUP('Données projet'!$B$11,Paramètres!$A$1:$I$89,5,0)</f>
        <v>0</v>
      </c>
      <c r="BF136" s="13" t="e">
        <f t="shared" si="145"/>
        <v>#NUM!</v>
      </c>
      <c r="BG136" s="20" t="e">
        <f t="shared" si="115"/>
        <v>#NUM!</v>
      </c>
      <c r="BH136" s="59" t="e">
        <f t="shared" si="116"/>
        <v>#NUM!</v>
      </c>
      <c r="BI136" s="59">
        <f ca="1">AVERAGE(OFFSET($BH$3,0,0,'Données projet'!$E$11+1,1))-AVERAGE(OFFSET($H$3,0,0,'Données projet'!$E$11+1,1))</f>
        <v>225.75484198243581</v>
      </c>
      <c r="BJ136" s="59">
        <f t="shared" si="146"/>
        <v>199.49566488421061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3.8571376287406141</v>
      </c>
      <c r="BQ136" s="21">
        <f>EXP(-LN(2)/25)*BQ135+(1-EXP(-LN(2)/25))/(LN(2)/25)*Calculateur!BL136*Calculateur!BN136*VLOOKUP('Données projet'!$B$11,Paramètres!$A$1:$I$89,3,0)*0.475*44/12</f>
        <v>16.202816165592139</v>
      </c>
      <c r="BR136" s="21">
        <f>EXP(-LN(2)/2)*BR135+(1-EXP(-LN(2)/2))/(LN(2)/2)*BL136*BO136*VLOOKUP('Données projet'!$B$11,Paramètres!$A$1:$I$89,3,0)*0.475*44/12</f>
        <v>0</v>
      </c>
      <c r="BS136" s="22">
        <f t="shared" si="117"/>
        <v>20.059953794332753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67.707826667140012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1.1368683772161603E-13</v>
      </c>
      <c r="BZ136" s="13">
        <f>BY136*VLOOKUP('Données projet'!$B$12,Paramètres!$A$1:$I$89,3,0)*VLOOKUP('Données projet'!$B$12,Paramètres!$A$1:$I$89,5,0)</f>
        <v>1.0818439477588981E-13</v>
      </c>
      <c r="CA136" s="13">
        <f t="shared" si="147"/>
        <v>1.6104228458716316E-12</v>
      </c>
      <c r="CB136" s="20">
        <f t="shared" si="118"/>
        <v>2.9932409441277661E-12</v>
      </c>
      <c r="CC136" s="59">
        <f t="shared" si="119"/>
        <v>284.92869777951637</v>
      </c>
      <c r="CD136" s="59">
        <f ca="1">AVERAGE(OFFSET($CC$3,0,0,'Données projet'!$E$12+1,1))-AVERAGE(OFFSET($H$3,0,0,'Données projet'!$E$12+1,1))</f>
        <v>413.9352601863377</v>
      </c>
      <c r="CE136" s="59">
        <f t="shared" si="148"/>
        <v>255.13997349799286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35.552646494802822</v>
      </c>
      <c r="CL136" s="21">
        <f>EXP(-LN(2)/25)*CL135+(1-EXP(-LN(2)/25))/(LN(2)/25)*Calculateur!CG136*Calculateur!CI136*VLOOKUP('Données projet'!$B$12,Paramètres!$A$1:$I$89,3,0)*0.475*44/12</f>
        <v>32.2353500720602</v>
      </c>
      <c r="CM136" s="21">
        <f>EXP(-LN(2)/2)*CM135+(1-EXP(-LN(2)/2))/(LN(2)/2)*CG136*CJ136*VLOOKUP('Données projet'!$B$12,Paramètres!$A$1:$I$89,3,0)*0.475*44/12</f>
        <v>0.71650303213932998</v>
      </c>
      <c r="CN136" s="22">
        <f t="shared" si="120"/>
        <v>68.504499599002358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67.707826667140012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2.8421709430404007E-14</v>
      </c>
      <c r="CU136" s="17">
        <f>CT136*VLOOKUP('Données projet'!$B$13,Paramètres!$A$1:$I$89,3,0)*VLOOKUP('Données projet'!$B$13,Paramètres!$A$1:$I$89,5,0)</f>
        <v>2.4829205358400945E-14</v>
      </c>
      <c r="CV136" s="13">
        <f t="shared" si="149"/>
        <v>4.3867331143352915E-13</v>
      </c>
      <c r="CW136" s="20">
        <f t="shared" si="121"/>
        <v>8.0726688341261168E-13</v>
      </c>
      <c r="CX136" s="59">
        <f t="shared" si="122"/>
        <v>284.92869777951415</v>
      </c>
      <c r="CY136" s="59">
        <f ca="1">AVERAGE(OFFSET($CX$3,0,0,'Données projet'!$E$13+1,1))-AVERAGE(OFFSET($H$3,0,0,'Données projet'!$E$13+1,1))</f>
        <v>280.59827778697775</v>
      </c>
      <c r="CZ136" s="59">
        <f t="shared" si="150"/>
        <v>270.86588231964726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>
        <f>EXP(-LN(2)/35)*DF135+(1-EXP(-LN(2)/35))/(LN(2)/35)*DB136*DC136*VLOOKUP('Données projet'!$B$13,Paramètres!$A$1:$I$89,3,0)*0.475*44/12</f>
        <v>11.547471008646736</v>
      </c>
      <c r="DG136" s="21">
        <f>EXP(-LN(2)/25)*DG135+(1-EXP(-LN(2)/25))/(LN(2)/25)*Calculateur!DB136*Calculateur!DD136*VLOOKUP('Données projet'!$B$13,Paramètres!$A$1:$I$89,3,0)*0.475*44/12</f>
        <v>8.3957854780446173</v>
      </c>
      <c r="DH136" s="21">
        <f>EXP(-LN(2)/2)*DH135+(1-EXP(-LN(2)/2))/(LN(2)/2)*DB136*DE136*VLOOKUP('Données projet'!$B$13,Paramètres!$A$1:$I$89,3,0)*0.475*44/12</f>
        <v>4.7885607279668497E-7</v>
      </c>
      <c r="DI136" s="22">
        <f t="shared" si="123"/>
        <v>19.943256965547427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67.707826667140012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>
        <f>DO136*VLOOKUP('Données projet'!$B$14,Paramètres!$A$1:$I$89,3,0)*VLOOKUP('Données projet'!$B$14,Paramètres!$A$1:$I$89,5,0)</f>
        <v>0</v>
      </c>
      <c r="DQ136" s="13" t="e">
        <f t="shared" si="151"/>
        <v>#NUM!</v>
      </c>
      <c r="DR136" s="20" t="e">
        <f t="shared" si="124"/>
        <v>#NUM!</v>
      </c>
      <c r="DS136" s="59" t="e">
        <f t="shared" si="125"/>
        <v>#NUM!</v>
      </c>
      <c r="DT136" s="59">
        <f ca="1">AVERAGE(OFFSET($DS$3,0,0,'Données projet'!$E$14+1,1))-AVERAGE(OFFSET($H$3,0,0,'Données projet'!$E$14+1,1))</f>
        <v>211.42385430331873</v>
      </c>
      <c r="DU136" s="59">
        <f t="shared" si="152"/>
        <v>146.84623106782686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>
        <f>EXP(-LN(2)/35)*EA135+(1-EXP(-LN(2)/35))/(LN(2)/35)*DW136*DX136*VLOOKUP('Données projet'!$B$14,Paramètres!$A$1:$I$89,3,0)*0.475*44/12</f>
        <v>16.98630466177698</v>
      </c>
      <c r="EB136" s="21">
        <f>EXP(-LN(2)/25)*EB135+(1-EXP(-LN(2)/25))/(LN(2)/25)*Calculateur!DW136*Calculateur!DY136*VLOOKUP('Données projet'!$B$14,Paramètres!$A$1:$I$89,3,0)*0.475*44/12</f>
        <v>15.463857242922492</v>
      </c>
      <c r="EC136" s="21">
        <f>EXP(-LN(2)/2)*EC135+(1-EXP(-LN(2)/2))/(LN(2)/2)*DW136*DZ136*VLOOKUP('Données projet'!$B$14,Paramètres!$A$1:$I$89,3,0)*0.475*44/12</f>
        <v>5.7382477422729262E-2</v>
      </c>
      <c r="ED136" s="22">
        <f t="shared" si="126"/>
        <v>32.507544382122198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67.707826667140012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-9.9475983006414026E-14</v>
      </c>
      <c r="EK136" s="17">
        <f>EJ136*VLOOKUP('Données projet'!$B$15,Paramètres!$A$1:$I$89,3,0)*VLOOKUP('Données projet'!$B$15,Paramètres!$A$1:$I$89,5,0)</f>
        <v>-1.0707594810810407E-13</v>
      </c>
      <c r="EL136" s="13" t="e">
        <f t="shared" si="153"/>
        <v>#NUM!</v>
      </c>
      <c r="EM136" s="20" t="e">
        <f t="shared" si="127"/>
        <v>#NUM!</v>
      </c>
      <c r="EN136" s="59" t="e">
        <f t="shared" si="128"/>
        <v>#NUM!</v>
      </c>
      <c r="EO136" s="59">
        <f ca="1">AVERAGE(OFFSET($EN$3,0,0,'Données projet'!$E$15+1,1))-AVERAGE(OFFSET($H$3,0,0,'Données projet'!$E$15+1,1))</f>
        <v>212.00478362779876</v>
      </c>
      <c r="EP136" s="59">
        <f t="shared" si="154"/>
        <v>133.62262474506707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>
        <f>EXP(-LN(2)/35)*EV135+(1-EXP(-LN(2)/35))/(LN(2)/35)*ER136*ES136*VLOOKUP('Données projet'!$B$15,Paramètres!$A$1:$I$89,3,0)*0.475*44/12</f>
        <v>12.10673095734157</v>
      </c>
      <c r="EW136" s="21">
        <f>EXP(-LN(2)/25)*EW135+(1-EXP(-LN(2)/25))/(LN(2)/25)*Calculateur!ER136*Calculateur!ET136*VLOOKUP('Données projet'!$B$15,Paramètres!$A$1:$I$89,3,0)*0.475*44/12</f>
        <v>14.275893333958527</v>
      </c>
      <c r="EX136" s="21">
        <f>EXP(-LN(2)/2)*EX135+(1-EXP(-LN(2)/2))/(LN(2)/2)*ER136*EU136*VLOOKUP('Données projet'!$B$15,Paramètres!$A$1:$I$89,3,0)*0.475*44/12</f>
        <v>0.34732381131625401</v>
      </c>
      <c r="EY136" s="22">
        <f t="shared" si="129"/>
        <v>26.729948102616351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67.707826667140012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-9.9475983006414026E-14</v>
      </c>
      <c r="FF136" s="17">
        <f>FE136*VLOOKUP('Données projet'!$B$16,Paramètres!$A$1:$I$89,3,0)*VLOOKUP('Données projet'!$B$16,Paramètres!$A$1:$I$89,5,0)</f>
        <v>-9.6213170763803652E-14</v>
      </c>
      <c r="FG136" s="13" t="e">
        <f t="shared" si="155"/>
        <v>#NUM!</v>
      </c>
      <c r="FH136" s="20" t="e">
        <f t="shared" si="130"/>
        <v>#NUM!</v>
      </c>
      <c r="FI136" s="59" t="e">
        <f t="shared" si="131"/>
        <v>#NUM!</v>
      </c>
      <c r="FJ136" s="59">
        <f ca="1">AVERAGE(OFFSET($FI$3,0,0,'Données projet'!$E$16+1,1))-AVERAGE(OFFSET($H$3,0,0,'Données projet'!$E$16+1,1))</f>
        <v>196.65742339093146</v>
      </c>
      <c r="FK136" s="59">
        <f t="shared" si="156"/>
        <v>125.41980634506001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>
        <f>EXP(-LN(2)/35)*FQ135+(1-EXP(-LN(2)/35))/(LN(2)/35)*FM136*FN136*VLOOKUP('Données projet'!$B$16,Paramètres!$A$1:$I$89,3,0)*0.475*44/12</f>
        <v>10.878511874712718</v>
      </c>
      <c r="FR136" s="21">
        <f>EXP(-LN(2)/25)*FR135+(1-EXP(-LN(2)/25))/(LN(2)/25)*Calculateur!FM136*Calculateur!FO136*VLOOKUP('Données projet'!$B$16,Paramètres!$A$1:$I$89,3,0)*0.475*44/12</f>
        <v>12.827614300078681</v>
      </c>
      <c r="FS136" s="21">
        <f>EXP(-LN(2)/2)*FS135+(1-EXP(-LN(2)/2))/(LN(2)/2)*FM136*FP136*VLOOKUP('Données projet'!$B$16,Paramètres!$A$1:$I$89,3,0)*0.475*44/12</f>
        <v>0.31208806234214131</v>
      </c>
      <c r="FT136" s="22">
        <f t="shared" si="132"/>
        <v>24.018214237133542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67.707826667140012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67.707826667140012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>
      <c r="A137" s="10">
        <f t="shared" si="139"/>
        <v>134</v>
      </c>
      <c r="B137" s="73">
        <f>'Scénario référence'!$B$16*5+'Scénario référence'!$B$17*0+'Scénario référence'!$B$18*5</f>
        <v>4.6999999999999993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7.149168000000012</v>
      </c>
      <c r="D137" s="11">
        <f t="shared" si="140"/>
        <v>2.6204279745387793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20.724198837330245</v>
      </c>
      <c r="H137" s="67">
        <f t="shared" si="110"/>
        <v>204.74871298898842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67.747590749933281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-2.2737367544323206E-13</v>
      </c>
      <c r="O137" s="13">
        <f>N137*VLOOKUP('Données projet'!$B$9,Paramètres!$A$1:$I$89,3,0)*VLOOKUP('Données projet'!$B$9,Paramètres!$A$1:$I$89,5,0)</f>
        <v>-1.3596945791505279E-13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366.93249569585623</v>
      </c>
      <c r="T137" s="59">
        <f t="shared" si="142"/>
        <v>272.47262353368501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52.602176051134045</v>
      </c>
      <c r="AA137" s="21">
        <f>EXP(-LN(2)/25)*AA136+(1-EXP(-LN(2)/25))/(LN(2)/25)*Calculateur!V137*Calculateur!X137*VLOOKUP('Données projet'!$B$9,Paramètres!$A$1:$I$89,3,0)*0.475*44/12</f>
        <v>11.578127729004889</v>
      </c>
      <c r="AB137" s="21">
        <f>EXP(-LN(2)/2)*AB136+(1-EXP(-LN(2)/2))/(LN(2)/2)*V137*Y137*VLOOKUP('Données projet'!$B$9,Paramètres!$A$1:$I$89,3,0)*0.475*44/12</f>
        <v>5.268800467342787E-7</v>
      </c>
      <c r="AC137" s="22">
        <f t="shared" si="111"/>
        <v>64.180304307018972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67.747590749933281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1.1368683772161603E-13</v>
      </c>
      <c r="AJ137" s="13">
        <f>AI137*VLOOKUP('Données projet'!$B$10,Paramètres!$A$1:$I$89,3,0)*VLOOKUP('Données projet'!$B$10,Paramètres!$A$1:$I$89,5,0)</f>
        <v>5.3205440053716299E-14</v>
      </c>
      <c r="AK137" s="13">
        <f t="shared" si="143"/>
        <v>8.602146238565607E-13</v>
      </c>
      <c r="AL137" s="20">
        <f t="shared" si="112"/>
        <v>1.590873277977066E-12</v>
      </c>
      <c r="AM137" s="59">
        <f t="shared" si="113"/>
        <v>285.07449941642363</v>
      </c>
      <c r="AN137" s="59">
        <f ca="1">AVERAGE(OFFSET($AM$3,0,0,'Données projet'!$E$10+1,1))-AVERAGE(OFFSET($H$3,0,0,'Données projet'!$E$10+1,1))</f>
        <v>382.89338473200229</v>
      </c>
      <c r="AO137" s="59">
        <f t="shared" si="144"/>
        <v>360.46248248971744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103.74964240635707</v>
      </c>
      <c r="AV137" s="21">
        <f>EXP(-LN(2)/25)*AV136+(1-EXP(-LN(2)/25))/(LN(2)/25)*Calculateur!AQ137*Calculateur!AS137*VLOOKUP('Données projet'!$B$10,Paramètres!$A$1:$I$89,3,0)*0.475*44/12</f>
        <v>24.369775345364033</v>
      </c>
      <c r="AW137" s="21">
        <f>EXP(-LN(2)/2)*AW136+(1-EXP(-LN(2)/2))/(LN(2)/2)*AQ137*AT137*VLOOKUP('Données projet'!$B$10,Paramètres!$A$1:$I$89,3,0)*0.475*44/12</f>
        <v>1.6930199326692097E-3</v>
      </c>
      <c r="AX137" s="21">
        <f t="shared" si="114"/>
        <v>128.12111077165378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67.747590749933281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>
        <f>BD137*VLOOKUP('Données projet'!$B$11,Paramètres!$A$1:$I$89,3,0)*VLOOKUP('Données projet'!$B$11,Paramètres!$A$1:$I$89,5,0)</f>
        <v>0</v>
      </c>
      <c r="BF137" s="13" t="e">
        <f t="shared" si="145"/>
        <v>#NUM!</v>
      </c>
      <c r="BG137" s="20" t="e">
        <f t="shared" si="115"/>
        <v>#NUM!</v>
      </c>
      <c r="BH137" s="59" t="e">
        <f t="shared" si="116"/>
        <v>#NUM!</v>
      </c>
      <c r="BI137" s="59">
        <f ca="1">AVERAGE(OFFSET($BH$3,0,0,'Données projet'!$E$11+1,1))-AVERAGE(OFFSET($H$3,0,0,'Données projet'!$E$11+1,1))</f>
        <v>225.75484198243581</v>
      </c>
      <c r="BJ137" s="59">
        <f t="shared" si="146"/>
        <v>199.49566488421061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3.7815015124626621</v>
      </c>
      <c r="BQ137" s="21">
        <f>EXP(-LN(2)/25)*BQ136+(1-EXP(-LN(2)/25))/(LN(2)/25)*Calculateur!BL137*Calculateur!BN137*VLOOKUP('Données projet'!$B$11,Paramètres!$A$1:$I$89,3,0)*0.475*44/12</f>
        <v>15.759749305474953</v>
      </c>
      <c r="BR137" s="21">
        <f>EXP(-LN(2)/2)*BR136+(1-EXP(-LN(2)/2))/(LN(2)/2)*BL137*BO137*VLOOKUP('Données projet'!$B$11,Paramètres!$A$1:$I$89,3,0)*0.475*44/12</f>
        <v>0</v>
      </c>
      <c r="BS137" s="22">
        <f t="shared" si="117"/>
        <v>19.541250817937616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67.747590749933281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1.1368683772161603E-13</v>
      </c>
      <c r="BZ137" s="13">
        <f>BY137*VLOOKUP('Données projet'!$B$12,Paramètres!$A$1:$I$89,3,0)*VLOOKUP('Données projet'!$B$12,Paramètres!$A$1:$I$89,5,0)</f>
        <v>1.0818439477588981E-13</v>
      </c>
      <c r="CA137" s="13">
        <f t="shared" si="147"/>
        <v>1.6104228458716316E-12</v>
      </c>
      <c r="CB137" s="20">
        <f t="shared" si="118"/>
        <v>2.9932409441277661E-12</v>
      </c>
      <c r="CC137" s="59">
        <f t="shared" si="119"/>
        <v>285.07449941642506</v>
      </c>
      <c r="CD137" s="59">
        <f ca="1">AVERAGE(OFFSET($CC$3,0,0,'Données projet'!$E$12+1,1))-AVERAGE(OFFSET($H$3,0,0,'Données projet'!$E$12+1,1))</f>
        <v>413.9352601863377</v>
      </c>
      <c r="CE137" s="59">
        <f t="shared" si="148"/>
        <v>255.13997349799286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34.85548078201289</v>
      </c>
      <c r="CL137" s="21">
        <f>EXP(-LN(2)/25)*CL136+(1-EXP(-LN(2)/25))/(LN(2)/25)*Calculateur!CG137*Calculateur!CI137*VLOOKUP('Données projet'!$B$12,Paramètres!$A$1:$I$89,3,0)*0.475*44/12</f>
        <v>31.353872729156329</v>
      </c>
      <c r="CM137" s="21">
        <f>EXP(-LN(2)/2)*CM136+(1-EXP(-LN(2)/2))/(LN(2)/2)*CG137*CJ137*VLOOKUP('Données projet'!$B$12,Paramètres!$A$1:$I$89,3,0)*0.475*44/12</f>
        <v>0.50664415276644303</v>
      </c>
      <c r="CN137" s="22">
        <f t="shared" si="120"/>
        <v>66.715997663935653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67.747590749933281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2.8421709430404007E-14</v>
      </c>
      <c r="CU137" s="17">
        <f>CT137*VLOOKUP('Données projet'!$B$13,Paramètres!$A$1:$I$89,3,0)*VLOOKUP('Données projet'!$B$13,Paramètres!$A$1:$I$89,5,0)</f>
        <v>2.4829205358400945E-14</v>
      </c>
      <c r="CV137" s="13">
        <f t="shared" si="149"/>
        <v>4.3867331143352915E-13</v>
      </c>
      <c r="CW137" s="20">
        <f t="shared" si="121"/>
        <v>8.0726688341261168E-13</v>
      </c>
      <c r="CX137" s="59">
        <f t="shared" si="122"/>
        <v>285.07449941642284</v>
      </c>
      <c r="CY137" s="59">
        <f ca="1">AVERAGE(OFFSET($CX$3,0,0,'Données projet'!$E$13+1,1))-AVERAGE(OFFSET($H$3,0,0,'Données projet'!$E$13+1,1))</f>
        <v>280.59827778697775</v>
      </c>
      <c r="CZ137" s="59">
        <f t="shared" si="150"/>
        <v>270.86588231964726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>
        <f>EXP(-LN(2)/35)*DF136+(1-EXP(-LN(2)/35))/(LN(2)/35)*DB137*DC137*VLOOKUP('Données projet'!$B$13,Paramètres!$A$1:$I$89,3,0)*0.475*44/12</f>
        <v>11.321032145429024</v>
      </c>
      <c r="DG137" s="21">
        <f>EXP(-LN(2)/25)*DG136+(1-EXP(-LN(2)/25))/(LN(2)/25)*Calculateur!DB137*Calculateur!DD137*VLOOKUP('Données projet'!$B$13,Paramètres!$A$1:$I$89,3,0)*0.475*44/12</f>
        <v>8.1662022826323177</v>
      </c>
      <c r="DH137" s="21">
        <f>EXP(-LN(2)/2)*DH136+(1-EXP(-LN(2)/2))/(LN(2)/2)*DB137*DE137*VLOOKUP('Données projet'!$B$13,Paramètres!$A$1:$I$89,3,0)*0.475*44/12</f>
        <v>3.38602376286895E-7</v>
      </c>
      <c r="DI137" s="22">
        <f t="shared" si="123"/>
        <v>19.487234766663718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67.747590749933281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>
        <f>DO137*VLOOKUP('Données projet'!$B$14,Paramètres!$A$1:$I$89,3,0)*VLOOKUP('Données projet'!$B$14,Paramètres!$A$1:$I$89,5,0)</f>
        <v>0</v>
      </c>
      <c r="DQ137" s="13" t="e">
        <f t="shared" si="151"/>
        <v>#NUM!</v>
      </c>
      <c r="DR137" s="20" t="e">
        <f t="shared" si="124"/>
        <v>#NUM!</v>
      </c>
      <c r="DS137" s="59" t="e">
        <f t="shared" si="125"/>
        <v>#NUM!</v>
      </c>
      <c r="DT137" s="59">
        <f ca="1">AVERAGE(OFFSET($DS$3,0,0,'Données projet'!$E$14+1,1))-AVERAGE(OFFSET($H$3,0,0,'Données projet'!$E$14+1,1))</f>
        <v>211.42385430331873</v>
      </c>
      <c r="DU137" s="59">
        <f t="shared" si="152"/>
        <v>146.84623106782686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>
        <f>EXP(-LN(2)/35)*EA136+(1-EXP(-LN(2)/35))/(LN(2)/35)*DW137*DX137*VLOOKUP('Données projet'!$B$14,Paramètres!$A$1:$I$89,3,0)*0.475*44/12</f>
        <v>16.65321358798235</v>
      </c>
      <c r="EB137" s="21">
        <f>EXP(-LN(2)/25)*EB136+(1-EXP(-LN(2)/25))/(LN(2)/25)*Calculateur!DW137*Calculateur!DY137*VLOOKUP('Données projet'!$B$14,Paramètres!$A$1:$I$89,3,0)*0.475*44/12</f>
        <v>15.040997253405868</v>
      </c>
      <c r="EC137" s="21">
        <f>EXP(-LN(2)/2)*EC136+(1-EXP(-LN(2)/2))/(LN(2)/2)*DW137*DZ137*VLOOKUP('Données projet'!$B$14,Paramètres!$A$1:$I$89,3,0)*0.475*44/12</f>
        <v>4.0575538906895824E-2</v>
      </c>
      <c r="ED137" s="22">
        <f t="shared" si="126"/>
        <v>31.734786380295116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67.747590749933281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-9.9475983006414026E-14</v>
      </c>
      <c r="EK137" s="17">
        <f>EJ137*VLOOKUP('Données projet'!$B$15,Paramètres!$A$1:$I$89,3,0)*VLOOKUP('Données projet'!$B$15,Paramètres!$A$1:$I$89,5,0)</f>
        <v>-1.0707594810810407E-13</v>
      </c>
      <c r="EL137" s="13" t="e">
        <f t="shared" si="153"/>
        <v>#NUM!</v>
      </c>
      <c r="EM137" s="20" t="e">
        <f t="shared" si="127"/>
        <v>#NUM!</v>
      </c>
      <c r="EN137" s="59" t="e">
        <f t="shared" si="128"/>
        <v>#NUM!</v>
      </c>
      <c r="EO137" s="59">
        <f ca="1">AVERAGE(OFFSET($EN$3,0,0,'Données projet'!$E$15+1,1))-AVERAGE(OFFSET($H$3,0,0,'Données projet'!$E$15+1,1))</f>
        <v>212.00478362779876</v>
      </c>
      <c r="EP137" s="59">
        <f t="shared" si="154"/>
        <v>133.62262474506707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>
        <f>EXP(-LN(2)/35)*EV136+(1-EXP(-LN(2)/35))/(LN(2)/35)*ER137*ES137*VLOOKUP('Données projet'!$B$15,Paramètres!$A$1:$I$89,3,0)*0.475*44/12</f>
        <v>11.869325347644839</v>
      </c>
      <c r="EW137" s="21">
        <f>EXP(-LN(2)/25)*EW136+(1-EXP(-LN(2)/25))/(LN(2)/25)*Calculateur!ER137*Calculateur!ET137*VLOOKUP('Données projet'!$B$15,Paramètres!$A$1:$I$89,3,0)*0.475*44/12</f>
        <v>13.885518280004828</v>
      </c>
      <c r="EX137" s="21">
        <f>EXP(-LN(2)/2)*EX136+(1-EXP(-LN(2)/2))/(LN(2)/2)*ER137*EU137*VLOOKUP('Données projet'!$B$15,Paramètres!$A$1:$I$89,3,0)*0.475*44/12</f>
        <v>0.24559502224928015</v>
      </c>
      <c r="EY137" s="22">
        <f t="shared" si="129"/>
        <v>26.000438649898946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67.747590749933281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-9.9475983006414026E-14</v>
      </c>
      <c r="FF137" s="17">
        <f>FE137*VLOOKUP('Données projet'!$B$16,Paramètres!$A$1:$I$89,3,0)*VLOOKUP('Données projet'!$B$16,Paramètres!$A$1:$I$89,5,0)</f>
        <v>-9.6213170763803652E-14</v>
      </c>
      <c r="FG137" s="13" t="e">
        <f t="shared" si="155"/>
        <v>#NUM!</v>
      </c>
      <c r="FH137" s="20" t="e">
        <f t="shared" si="130"/>
        <v>#NUM!</v>
      </c>
      <c r="FI137" s="59" t="e">
        <f t="shared" si="131"/>
        <v>#NUM!</v>
      </c>
      <c r="FJ137" s="59">
        <f ca="1">AVERAGE(OFFSET($FI$3,0,0,'Données projet'!$E$16+1,1))-AVERAGE(OFFSET($H$3,0,0,'Données projet'!$E$16+1,1))</f>
        <v>196.65742339093146</v>
      </c>
      <c r="FK137" s="59">
        <f t="shared" si="156"/>
        <v>125.41980634506001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>
        <f>EXP(-LN(2)/35)*FQ136+(1-EXP(-LN(2)/35))/(LN(2)/35)*FM137*FN137*VLOOKUP('Données projet'!$B$16,Paramètres!$A$1:$I$89,3,0)*0.475*44/12</f>
        <v>10.66519089208667</v>
      </c>
      <c r="FR137" s="21">
        <f>EXP(-LN(2)/25)*FR136+(1-EXP(-LN(2)/25))/(LN(2)/25)*Calculateur!FM137*Calculateur!FO137*VLOOKUP('Données projet'!$B$16,Paramètres!$A$1:$I$89,3,0)*0.475*44/12</f>
        <v>12.47684251246811</v>
      </c>
      <c r="FS137" s="21">
        <f>EXP(-LN(2)/2)*FS136+(1-EXP(-LN(2)/2))/(LN(2)/2)*FM137*FP137*VLOOKUP('Données projet'!$B$16,Paramètres!$A$1:$I$89,3,0)*0.475*44/12</f>
        <v>0.22067958520949812</v>
      </c>
      <c r="FT137" s="22">
        <f t="shared" si="132"/>
        <v>23.36271298976428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67.747590749933281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67.747590749933281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>
      <c r="A138" s="10">
        <f t="shared" si="139"/>
        <v>135</v>
      </c>
      <c r="B138" s="73">
        <f>'Scénario référence'!$B$16*5+'Scénario référence'!$B$17*0+'Scénario référence'!$B$18*5</f>
        <v>4.6999999999999993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7.2025200000000122</v>
      </c>
      <c r="D138" s="11">
        <f t="shared" si="140"/>
        <v>2.6376996707464944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20.756908759784345</v>
      </c>
      <c r="H138" s="67">
        <f t="shared" si="110"/>
        <v>204.87171592655017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67.786665014789236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-2.2737367544323206E-13</v>
      </c>
      <c r="O138" s="13">
        <f>N138*VLOOKUP('Données projet'!$B$9,Paramètres!$A$1:$I$89,3,0)*VLOOKUP('Données projet'!$B$9,Paramètres!$A$1:$I$89,5,0)</f>
        <v>-1.3596945791505279E-13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366.93249569585623</v>
      </c>
      <c r="T138" s="59">
        <f t="shared" si="142"/>
        <v>272.47262353368501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51.570679462930649</v>
      </c>
      <c r="AA138" s="21">
        <f>EXP(-LN(2)/25)*AA137+(1-EXP(-LN(2)/25))/(LN(2)/25)*Calculateur!V138*Calculateur!X138*VLOOKUP('Données projet'!$B$9,Paramètres!$A$1:$I$89,3,0)*0.475*44/12</f>
        <v>11.261523217387975</v>
      </c>
      <c r="AB138" s="21">
        <f>EXP(-LN(2)/2)*AB137+(1-EXP(-LN(2)/2))/(LN(2)/2)*V138*Y138*VLOOKUP('Données projet'!$B$9,Paramètres!$A$1:$I$89,3,0)*0.475*44/12</f>
        <v>3.7256045391769355E-7</v>
      </c>
      <c r="AC138" s="22">
        <f t="shared" si="111"/>
        <v>62.83220305287908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67.786665014789236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1.1368683772161603E-13</v>
      </c>
      <c r="AJ138" s="13">
        <f>AI138*VLOOKUP('Données projet'!$B$10,Paramètres!$A$1:$I$89,3,0)*VLOOKUP('Données projet'!$B$10,Paramètres!$A$1:$I$89,5,0)</f>
        <v>5.3205440053716299E-14</v>
      </c>
      <c r="AK138" s="13">
        <f t="shared" si="143"/>
        <v>8.602146238565607E-13</v>
      </c>
      <c r="AL138" s="20">
        <f t="shared" si="112"/>
        <v>1.590873277977066E-12</v>
      </c>
      <c r="AM138" s="59">
        <f t="shared" si="113"/>
        <v>285.21777172089543</v>
      </c>
      <c r="AN138" s="59">
        <f ca="1">AVERAGE(OFFSET($AM$3,0,0,'Données projet'!$E$10+1,1))-AVERAGE(OFFSET($H$3,0,0,'Données projet'!$E$10+1,1))</f>
        <v>382.89338473200229</v>
      </c>
      <c r="AO138" s="59">
        <f t="shared" si="144"/>
        <v>360.46248248971744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101.71517519980179</v>
      </c>
      <c r="AV138" s="21">
        <f>EXP(-LN(2)/25)*AV137+(1-EXP(-LN(2)/25))/(LN(2)/25)*Calculateur!AQ138*Calculateur!AS138*VLOOKUP('Données projet'!$B$10,Paramètres!$A$1:$I$89,3,0)*0.475*44/12</f>
        <v>23.703382556994267</v>
      </c>
      <c r="AW138" s="21">
        <f>EXP(-LN(2)/2)*AW137+(1-EXP(-LN(2)/2))/(LN(2)/2)*AQ138*AT138*VLOOKUP('Données projet'!$B$10,Paramètres!$A$1:$I$89,3,0)*0.475*44/12</f>
        <v>1.1971458750743903E-3</v>
      </c>
      <c r="AX138" s="21">
        <f t="shared" si="114"/>
        <v>125.41975490267113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67.786665014789236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>
        <f>BD138*VLOOKUP('Données projet'!$B$11,Paramètres!$A$1:$I$89,3,0)*VLOOKUP('Données projet'!$B$11,Paramètres!$A$1:$I$89,5,0)</f>
        <v>0</v>
      </c>
      <c r="BF138" s="13" t="e">
        <f t="shared" si="145"/>
        <v>#NUM!</v>
      </c>
      <c r="BG138" s="20" t="e">
        <f t="shared" si="115"/>
        <v>#NUM!</v>
      </c>
      <c r="BH138" s="59" t="e">
        <f t="shared" si="116"/>
        <v>#NUM!</v>
      </c>
      <c r="BI138" s="59">
        <f ca="1">AVERAGE(OFFSET($BH$3,0,0,'Données projet'!$E$11+1,1))-AVERAGE(OFFSET($H$3,0,0,'Données projet'!$E$11+1,1))</f>
        <v>225.75484198243581</v>
      </c>
      <c r="BJ138" s="59">
        <f t="shared" si="146"/>
        <v>199.49566488421061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3.7073485742914452</v>
      </c>
      <c r="BQ138" s="21">
        <f>EXP(-LN(2)/25)*BQ137+(1-EXP(-LN(2)/25))/(LN(2)/25)*Calculateur!BL138*Calculateur!BN138*VLOOKUP('Données projet'!$B$11,Paramètres!$A$1:$I$89,3,0)*0.475*44/12</f>
        <v>15.328798131947543</v>
      </c>
      <c r="BR138" s="21">
        <f>EXP(-LN(2)/2)*BR137+(1-EXP(-LN(2)/2))/(LN(2)/2)*BL138*BO138*VLOOKUP('Données projet'!$B$11,Paramètres!$A$1:$I$89,3,0)*0.475*44/12</f>
        <v>0</v>
      </c>
      <c r="BS138" s="22">
        <f t="shared" si="117"/>
        <v>19.036146706238988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67.786665014789236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1.1368683772161603E-13</v>
      </c>
      <c r="BZ138" s="13">
        <f>BY138*VLOOKUP('Données projet'!$B$12,Paramètres!$A$1:$I$89,3,0)*VLOOKUP('Données projet'!$B$12,Paramètres!$A$1:$I$89,5,0)</f>
        <v>1.0818439477588981E-13</v>
      </c>
      <c r="CA138" s="13">
        <f t="shared" si="147"/>
        <v>1.6104228458716316E-12</v>
      </c>
      <c r="CB138" s="20">
        <f t="shared" si="118"/>
        <v>2.9932409441277661E-12</v>
      </c>
      <c r="CC138" s="59">
        <f t="shared" si="119"/>
        <v>285.21777172089685</v>
      </c>
      <c r="CD138" s="59">
        <f ca="1">AVERAGE(OFFSET($CC$3,0,0,'Données projet'!$E$12+1,1))-AVERAGE(OFFSET($H$3,0,0,'Données projet'!$E$12+1,1))</f>
        <v>413.9352601863377</v>
      </c>
      <c r="CE138" s="59">
        <f t="shared" si="148"/>
        <v>255.13997349799286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34.171986063621667</v>
      </c>
      <c r="CL138" s="21">
        <f>EXP(-LN(2)/25)*CL137+(1-EXP(-LN(2)/25))/(LN(2)/25)*Calculateur!CG138*Calculateur!CI138*VLOOKUP('Données projet'!$B$12,Paramètres!$A$1:$I$89,3,0)*0.475*44/12</f>
        <v>30.496499430549044</v>
      </c>
      <c r="CM138" s="21">
        <f>EXP(-LN(2)/2)*CM137+(1-EXP(-LN(2)/2))/(LN(2)/2)*CG138*CJ138*VLOOKUP('Données projet'!$B$12,Paramètres!$A$1:$I$89,3,0)*0.475*44/12</f>
        <v>0.35825151606966499</v>
      </c>
      <c r="CN138" s="22">
        <f t="shared" si="120"/>
        <v>65.026737010240382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67.786665014789236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2.8421709430404007E-14</v>
      </c>
      <c r="CU138" s="17">
        <f>CT138*VLOOKUP('Données projet'!$B$13,Paramètres!$A$1:$I$89,3,0)*VLOOKUP('Données projet'!$B$13,Paramètres!$A$1:$I$89,5,0)</f>
        <v>2.4829205358400945E-14</v>
      </c>
      <c r="CV138" s="13">
        <f t="shared" si="149"/>
        <v>4.3867331143352915E-13</v>
      </c>
      <c r="CW138" s="20">
        <f t="shared" si="121"/>
        <v>8.0726688341261168E-13</v>
      </c>
      <c r="CX138" s="59">
        <f t="shared" si="122"/>
        <v>285.21777172089463</v>
      </c>
      <c r="CY138" s="59">
        <f ca="1">AVERAGE(OFFSET($CX$3,0,0,'Données projet'!$E$13+1,1))-AVERAGE(OFFSET($H$3,0,0,'Données projet'!$E$13+1,1))</f>
        <v>280.59827778697775</v>
      </c>
      <c r="CZ138" s="59">
        <f t="shared" si="150"/>
        <v>270.86588231964726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>
        <f>EXP(-LN(2)/35)*DF137+(1-EXP(-LN(2)/35))/(LN(2)/35)*DB138*DC138*VLOOKUP('Données projet'!$B$13,Paramètres!$A$1:$I$89,3,0)*0.475*44/12</f>
        <v>11.099033610204943</v>
      </c>
      <c r="DG138" s="21">
        <f>EXP(-LN(2)/25)*DG137+(1-EXP(-LN(2)/25))/(LN(2)/25)*Calculateur!DB138*Calculateur!DD138*VLOOKUP('Données projet'!$B$13,Paramètres!$A$1:$I$89,3,0)*0.475*44/12</f>
        <v>7.9428970517718227</v>
      </c>
      <c r="DH138" s="21">
        <f>EXP(-LN(2)/2)*DH137+(1-EXP(-LN(2)/2))/(LN(2)/2)*DB138*DE138*VLOOKUP('Données projet'!$B$13,Paramètres!$A$1:$I$89,3,0)*0.475*44/12</f>
        <v>2.3942803639834249E-7</v>
      </c>
      <c r="DI138" s="22">
        <f t="shared" si="123"/>
        <v>19.0419309014048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67.786665014789236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>
        <f>DO138*VLOOKUP('Données projet'!$B$14,Paramètres!$A$1:$I$89,3,0)*VLOOKUP('Données projet'!$B$14,Paramètres!$A$1:$I$89,5,0)</f>
        <v>0</v>
      </c>
      <c r="DQ138" s="13" t="e">
        <f t="shared" si="151"/>
        <v>#NUM!</v>
      </c>
      <c r="DR138" s="20" t="e">
        <f t="shared" si="124"/>
        <v>#NUM!</v>
      </c>
      <c r="DS138" s="59" t="e">
        <f t="shared" si="125"/>
        <v>#NUM!</v>
      </c>
      <c r="DT138" s="59">
        <f ca="1">AVERAGE(OFFSET($DS$3,0,0,'Données projet'!$E$14+1,1))-AVERAGE(OFFSET($H$3,0,0,'Données projet'!$E$14+1,1))</f>
        <v>211.42385430331873</v>
      </c>
      <c r="DU138" s="59">
        <f t="shared" si="152"/>
        <v>146.84623106782686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>
        <f>EXP(-LN(2)/35)*EA137+(1-EXP(-LN(2)/35))/(LN(2)/35)*DW138*DX138*VLOOKUP('Données projet'!$B$14,Paramètres!$A$1:$I$89,3,0)*0.475*44/12</f>
        <v>16.32665422697934</v>
      </c>
      <c r="EB138" s="21">
        <f>EXP(-LN(2)/25)*EB137+(1-EXP(-LN(2)/25))/(LN(2)/25)*Calculateur!DW138*Calculateur!DY138*VLOOKUP('Données projet'!$B$14,Paramètres!$A$1:$I$89,3,0)*0.475*44/12</f>
        <v>14.629700392539815</v>
      </c>
      <c r="EC138" s="21">
        <f>EXP(-LN(2)/2)*EC137+(1-EXP(-LN(2)/2))/(LN(2)/2)*DW138*DZ138*VLOOKUP('Données projet'!$B$14,Paramètres!$A$1:$I$89,3,0)*0.475*44/12</f>
        <v>2.8691238711364631E-2</v>
      </c>
      <c r="ED138" s="22">
        <f t="shared" si="126"/>
        <v>30.985045858230517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67.786665014789236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-9.9475983006414026E-14</v>
      </c>
      <c r="EK138" s="17">
        <f>EJ138*VLOOKUP('Données projet'!$B$15,Paramètres!$A$1:$I$89,3,0)*VLOOKUP('Données projet'!$B$15,Paramètres!$A$1:$I$89,5,0)</f>
        <v>-1.0707594810810407E-13</v>
      </c>
      <c r="EL138" s="13" t="e">
        <f t="shared" si="153"/>
        <v>#NUM!</v>
      </c>
      <c r="EM138" s="20" t="e">
        <f t="shared" si="127"/>
        <v>#NUM!</v>
      </c>
      <c r="EN138" s="59" t="e">
        <f t="shared" si="128"/>
        <v>#NUM!</v>
      </c>
      <c r="EO138" s="59">
        <f ca="1">AVERAGE(OFFSET($EN$3,0,0,'Données projet'!$E$15+1,1))-AVERAGE(OFFSET($H$3,0,0,'Données projet'!$E$15+1,1))</f>
        <v>212.00478362779876</v>
      </c>
      <c r="EP138" s="59">
        <f t="shared" si="154"/>
        <v>133.62262474506707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>
        <f>EXP(-LN(2)/35)*EV137+(1-EXP(-LN(2)/35))/(LN(2)/35)*ER138*ES138*VLOOKUP('Données projet'!$B$15,Paramètres!$A$1:$I$89,3,0)*0.475*44/12</f>
        <v>11.636575117151137</v>
      </c>
      <c r="EW138" s="21">
        <f>EXP(-LN(2)/25)*EW137+(1-EXP(-LN(2)/25))/(LN(2)/25)*Calculateur!ER138*Calculateur!ET138*VLOOKUP('Données projet'!$B$15,Paramètres!$A$1:$I$89,3,0)*0.475*44/12</f>
        <v>13.505818052430426</v>
      </c>
      <c r="EX138" s="21">
        <f>EXP(-LN(2)/2)*EX137+(1-EXP(-LN(2)/2))/(LN(2)/2)*ER138*EU138*VLOOKUP('Données projet'!$B$15,Paramètres!$A$1:$I$89,3,0)*0.475*44/12</f>
        <v>0.17366190565812703</v>
      </c>
      <c r="EY138" s="22">
        <f t="shared" si="129"/>
        <v>25.316055075239689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67.786665014789236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-9.9475983006414026E-14</v>
      </c>
      <c r="FF138" s="17">
        <f>FE138*VLOOKUP('Données projet'!$B$16,Paramètres!$A$1:$I$89,3,0)*VLOOKUP('Données projet'!$B$16,Paramètres!$A$1:$I$89,5,0)</f>
        <v>-9.6213170763803652E-14</v>
      </c>
      <c r="FG138" s="13" t="e">
        <f t="shared" si="155"/>
        <v>#NUM!</v>
      </c>
      <c r="FH138" s="20" t="e">
        <f t="shared" si="130"/>
        <v>#NUM!</v>
      </c>
      <c r="FI138" s="59" t="e">
        <f t="shared" si="131"/>
        <v>#NUM!</v>
      </c>
      <c r="FJ138" s="59">
        <f ca="1">AVERAGE(OFFSET($FI$3,0,0,'Données projet'!$E$16+1,1))-AVERAGE(OFFSET($H$3,0,0,'Données projet'!$E$16+1,1))</f>
        <v>196.65742339093146</v>
      </c>
      <c r="FK138" s="59">
        <f t="shared" si="156"/>
        <v>125.41980634506001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>
        <f>EXP(-LN(2)/35)*FQ137+(1-EXP(-LN(2)/35))/(LN(2)/35)*FM138*FN138*VLOOKUP('Données projet'!$B$16,Paramètres!$A$1:$I$89,3,0)*0.475*44/12</f>
        <v>10.456053003816967</v>
      </c>
      <c r="FR138" s="21">
        <f>EXP(-LN(2)/25)*FR137+(1-EXP(-LN(2)/25))/(LN(2)/25)*Calculateur!FM138*Calculateur!FO138*VLOOKUP('Données projet'!$B$16,Paramètres!$A$1:$I$89,3,0)*0.475*44/12</f>
        <v>12.135662597836038</v>
      </c>
      <c r="FS138" s="21">
        <f>EXP(-LN(2)/2)*FS137+(1-EXP(-LN(2)/2))/(LN(2)/2)*FM138*FP138*VLOOKUP('Données projet'!$B$16,Paramètres!$A$1:$I$89,3,0)*0.475*44/12</f>
        <v>0.15604403117107066</v>
      </c>
      <c r="FT138" s="22">
        <f t="shared" si="132"/>
        <v>22.747759632824078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67.786665014789236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67.786665014789236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>
      <c r="A139" s="10">
        <f t="shared" si="139"/>
        <v>136</v>
      </c>
      <c r="B139" s="73">
        <f>'Scénario référence'!$B$16*5+'Scénario référence'!$B$17*0+'Scénario référence'!$B$18*5</f>
        <v>4.6999999999999993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7.2558720000000125</v>
      </c>
      <c r="D139" s="11">
        <f t="shared" si="140"/>
        <v>2.6549564811882118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20.789611787778405</v>
      </c>
      <c r="H139" s="67">
        <f t="shared" si="110"/>
        <v>204.99469293806951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67.825061428506928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-2.2737367544323206E-13</v>
      </c>
      <c r="O139" s="13">
        <f>N139*VLOOKUP('Données projet'!$B$9,Paramètres!$A$1:$I$89,3,0)*VLOOKUP('Données projet'!$B$9,Paramètres!$A$1:$I$89,5,0)</f>
        <v>-1.3596945791505279E-13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366.93249569585623</v>
      </c>
      <c r="T139" s="59">
        <f t="shared" si="142"/>
        <v>272.47262353368501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50.559409893671123</v>
      </c>
      <c r="AA139" s="21">
        <f>EXP(-LN(2)/25)*AA138+(1-EXP(-LN(2)/25))/(LN(2)/25)*Calculateur!V139*Calculateur!X139*VLOOKUP('Données projet'!$B$9,Paramètres!$A$1:$I$89,3,0)*0.475*44/12</f>
        <v>10.953576272790732</v>
      </c>
      <c r="AB139" s="21">
        <f>EXP(-LN(2)/2)*AB138+(1-EXP(-LN(2)/2))/(LN(2)/2)*V139*Y139*VLOOKUP('Données projet'!$B$9,Paramètres!$A$1:$I$89,3,0)*0.475*44/12</f>
        <v>2.6344002336713935E-7</v>
      </c>
      <c r="AC139" s="22">
        <f t="shared" si="111"/>
        <v>61.512986429901879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67.825061428506928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1.1368683772161603E-13</v>
      </c>
      <c r="AJ139" s="13">
        <f>AI139*VLOOKUP('Données projet'!$B$10,Paramètres!$A$1:$I$89,3,0)*VLOOKUP('Données projet'!$B$10,Paramètres!$A$1:$I$89,5,0)</f>
        <v>5.3205440053716299E-14</v>
      </c>
      <c r="AK139" s="13">
        <f t="shared" si="143"/>
        <v>8.602146238565607E-13</v>
      </c>
      <c r="AL139" s="20">
        <f t="shared" si="112"/>
        <v>1.590873277977066E-12</v>
      </c>
      <c r="AM139" s="59">
        <f t="shared" si="113"/>
        <v>285.35855857119367</v>
      </c>
      <c r="AN139" s="59">
        <f ca="1">AVERAGE(OFFSET($AM$3,0,0,'Données projet'!$E$10+1,1))-AVERAGE(OFFSET($H$3,0,0,'Données projet'!$E$10+1,1))</f>
        <v>382.89338473200229</v>
      </c>
      <c r="AO139" s="59">
        <f t="shared" si="144"/>
        <v>360.46248248971744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99.720602654264596</v>
      </c>
      <c r="AV139" s="21">
        <f>EXP(-LN(2)/25)*AV138+(1-EXP(-LN(2)/25))/(LN(2)/25)*Calculateur!AQ139*Calculateur!AS139*VLOOKUP('Données projet'!$B$10,Paramètres!$A$1:$I$89,3,0)*0.475*44/12</f>
        <v>23.055212314466544</v>
      </c>
      <c r="AW139" s="21">
        <f>EXP(-LN(2)/2)*AW138+(1-EXP(-LN(2)/2))/(LN(2)/2)*AQ139*AT139*VLOOKUP('Données projet'!$B$10,Paramètres!$A$1:$I$89,3,0)*0.475*44/12</f>
        <v>8.4650996633460485E-4</v>
      </c>
      <c r="AX139" s="21">
        <f t="shared" si="114"/>
        <v>122.77666147869748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67.825061428506928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>
        <f>BD139*VLOOKUP('Données projet'!$B$11,Paramètres!$A$1:$I$89,3,0)*VLOOKUP('Données projet'!$B$11,Paramètres!$A$1:$I$89,5,0)</f>
        <v>0</v>
      </c>
      <c r="BF139" s="13" t="e">
        <f t="shared" si="145"/>
        <v>#NUM!</v>
      </c>
      <c r="BG139" s="20" t="e">
        <f t="shared" si="115"/>
        <v>#NUM!</v>
      </c>
      <c r="BH139" s="59" t="e">
        <f t="shared" si="116"/>
        <v>#NUM!</v>
      </c>
      <c r="BI139" s="59">
        <f ca="1">AVERAGE(OFFSET($BH$3,0,0,'Données projet'!$E$11+1,1))-AVERAGE(OFFSET($H$3,0,0,'Données projet'!$E$11+1,1))</f>
        <v>225.75484198243581</v>
      </c>
      <c r="BJ139" s="59">
        <f t="shared" si="146"/>
        <v>199.49566488421061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3.6346497300089395</v>
      </c>
      <c r="BQ139" s="21">
        <f>EXP(-LN(2)/25)*BQ138+(1-EXP(-LN(2)/25))/(LN(2)/25)*Calculateur!BL139*Calculateur!BN139*VLOOKUP('Données projet'!$B$11,Paramètres!$A$1:$I$89,3,0)*0.475*44/12</f>
        <v>14.909631340922978</v>
      </c>
      <c r="BR139" s="21">
        <f>EXP(-LN(2)/2)*BR138+(1-EXP(-LN(2)/2))/(LN(2)/2)*BL139*BO139*VLOOKUP('Données projet'!$B$11,Paramètres!$A$1:$I$89,3,0)*0.475*44/12</f>
        <v>0</v>
      </c>
      <c r="BS139" s="22">
        <f t="shared" si="117"/>
        <v>18.544281070931916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67.825061428506928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1.1368683772161603E-13</v>
      </c>
      <c r="BZ139" s="13">
        <f>BY139*VLOOKUP('Données projet'!$B$12,Paramètres!$A$1:$I$89,3,0)*VLOOKUP('Données projet'!$B$12,Paramètres!$A$1:$I$89,5,0)</f>
        <v>1.0818439477588981E-13</v>
      </c>
      <c r="CA139" s="13">
        <f t="shared" si="147"/>
        <v>1.6104228458716316E-12</v>
      </c>
      <c r="CB139" s="20">
        <f t="shared" si="118"/>
        <v>2.9932409441277661E-12</v>
      </c>
      <c r="CC139" s="59">
        <f t="shared" si="119"/>
        <v>285.35855857119509</v>
      </c>
      <c r="CD139" s="59">
        <f ca="1">AVERAGE(OFFSET($CC$3,0,0,'Données projet'!$E$12+1,1))-AVERAGE(OFFSET($H$3,0,0,'Données projet'!$E$12+1,1))</f>
        <v>413.9352601863377</v>
      </c>
      <c r="CE139" s="59">
        <f t="shared" si="148"/>
        <v>255.13997349799286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33.501894259767482</v>
      </c>
      <c r="CL139" s="21">
        <f>EXP(-LN(2)/25)*CL138+(1-EXP(-LN(2)/25))/(LN(2)/25)*Calculateur!CG139*Calculateur!CI139*VLOOKUP('Données projet'!$B$12,Paramètres!$A$1:$I$89,3,0)*0.475*44/12</f>
        <v>29.662571049879475</v>
      </c>
      <c r="CM139" s="21">
        <f>EXP(-LN(2)/2)*CM138+(1-EXP(-LN(2)/2))/(LN(2)/2)*CG139*CJ139*VLOOKUP('Données projet'!$B$12,Paramètres!$A$1:$I$89,3,0)*0.475*44/12</f>
        <v>0.25332207638322152</v>
      </c>
      <c r="CN139" s="22">
        <f t="shared" si="120"/>
        <v>63.417787386030177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67.825061428506928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2.8421709430404007E-14</v>
      </c>
      <c r="CU139" s="17">
        <f>CT139*VLOOKUP('Données projet'!$B$13,Paramètres!$A$1:$I$89,3,0)*VLOOKUP('Données projet'!$B$13,Paramètres!$A$1:$I$89,5,0)</f>
        <v>2.4829205358400945E-14</v>
      </c>
      <c r="CV139" s="13">
        <f t="shared" si="149"/>
        <v>4.3867331143352915E-13</v>
      </c>
      <c r="CW139" s="20">
        <f t="shared" si="121"/>
        <v>8.0726688341261168E-13</v>
      </c>
      <c r="CX139" s="59">
        <f t="shared" si="122"/>
        <v>285.35855857119287</v>
      </c>
      <c r="CY139" s="59">
        <f ca="1">AVERAGE(OFFSET($CX$3,0,0,'Données projet'!$E$13+1,1))-AVERAGE(OFFSET($H$3,0,0,'Données projet'!$E$13+1,1))</f>
        <v>280.59827778697775</v>
      </c>
      <c r="CZ139" s="59">
        <f t="shared" si="150"/>
        <v>270.86588231964726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>
        <f>EXP(-LN(2)/35)*DF138+(1-EXP(-LN(2)/35))/(LN(2)/35)*DB139*DC139*VLOOKUP('Données projet'!$B$13,Paramètres!$A$1:$I$89,3,0)*0.475*44/12</f>
        <v>10.88138833085087</v>
      </c>
      <c r="DG139" s="21">
        <f>EXP(-LN(2)/25)*DG138+(1-EXP(-LN(2)/25))/(LN(2)/25)*Calculateur!DB139*Calculateur!DD139*VLOOKUP('Données projet'!$B$13,Paramètres!$A$1:$I$89,3,0)*0.475*44/12</f>
        <v>7.72569811419232</v>
      </c>
      <c r="DH139" s="21">
        <f>EXP(-LN(2)/2)*DH138+(1-EXP(-LN(2)/2))/(LN(2)/2)*DB139*DE139*VLOOKUP('Données projet'!$B$13,Paramètres!$A$1:$I$89,3,0)*0.475*44/12</f>
        <v>1.693011881434475E-7</v>
      </c>
      <c r="DI139" s="22">
        <f t="shared" si="123"/>
        <v>18.607086614344379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67.825061428506928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>
        <f>DO139*VLOOKUP('Données projet'!$B$14,Paramètres!$A$1:$I$89,3,0)*VLOOKUP('Données projet'!$B$14,Paramètres!$A$1:$I$89,5,0)</f>
        <v>0</v>
      </c>
      <c r="DQ139" s="13" t="e">
        <f t="shared" si="151"/>
        <v>#NUM!</v>
      </c>
      <c r="DR139" s="20" t="e">
        <f t="shared" si="124"/>
        <v>#NUM!</v>
      </c>
      <c r="DS139" s="59" t="e">
        <f t="shared" si="125"/>
        <v>#NUM!</v>
      </c>
      <c r="DT139" s="59">
        <f ca="1">AVERAGE(OFFSET($DS$3,0,0,'Données projet'!$E$14+1,1))-AVERAGE(OFFSET($H$3,0,0,'Données projet'!$E$14+1,1))</f>
        <v>211.42385430331873</v>
      </c>
      <c r="DU139" s="59">
        <f t="shared" si="152"/>
        <v>146.84623106782686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>
        <f>EXP(-LN(2)/35)*EA138+(1-EXP(-LN(2)/35))/(LN(2)/35)*DW139*DX139*VLOOKUP('Données projet'!$B$14,Paramètres!$A$1:$I$89,3,0)*0.475*44/12</f>
        <v>16.006498495864054</v>
      </c>
      <c r="EB139" s="21">
        <f>EXP(-LN(2)/25)*EB138+(1-EXP(-LN(2)/25))/(LN(2)/25)*Calculateur!DW139*Calculateur!DY139*VLOOKUP('Données projet'!$B$14,Paramètres!$A$1:$I$89,3,0)*0.475*44/12</f>
        <v>14.229650465963307</v>
      </c>
      <c r="EC139" s="21">
        <f>EXP(-LN(2)/2)*EC138+(1-EXP(-LN(2)/2))/(LN(2)/2)*DW139*DZ139*VLOOKUP('Données projet'!$B$14,Paramètres!$A$1:$I$89,3,0)*0.475*44/12</f>
        <v>2.0287769453447912E-2</v>
      </c>
      <c r="ED139" s="22">
        <f t="shared" si="126"/>
        <v>30.256436731280807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67.825061428506928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-9.9475983006414026E-14</v>
      </c>
      <c r="EK139" s="17">
        <f>EJ139*VLOOKUP('Données projet'!$B$15,Paramètres!$A$1:$I$89,3,0)*VLOOKUP('Données projet'!$B$15,Paramètres!$A$1:$I$89,5,0)</f>
        <v>-1.0707594810810407E-13</v>
      </c>
      <c r="EL139" s="13" t="e">
        <f t="shared" si="153"/>
        <v>#NUM!</v>
      </c>
      <c r="EM139" s="20" t="e">
        <f t="shared" si="127"/>
        <v>#NUM!</v>
      </c>
      <c r="EN139" s="59" t="e">
        <f t="shared" si="128"/>
        <v>#NUM!</v>
      </c>
      <c r="EO139" s="59">
        <f ca="1">AVERAGE(OFFSET($EN$3,0,0,'Données projet'!$E$15+1,1))-AVERAGE(OFFSET($H$3,0,0,'Données projet'!$E$15+1,1))</f>
        <v>212.00478362779876</v>
      </c>
      <c r="EP139" s="59">
        <f t="shared" si="154"/>
        <v>133.62262474506707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>
        <f>EXP(-LN(2)/35)*EV138+(1-EXP(-LN(2)/35))/(LN(2)/35)*ER139*ES139*VLOOKUP('Données projet'!$B$15,Paramètres!$A$1:$I$89,3,0)*0.475*44/12</f>
        <v>11.408388976713795</v>
      </c>
      <c r="EW139" s="21">
        <f>EXP(-LN(2)/25)*EW138+(1-EXP(-LN(2)/25))/(LN(2)/25)*Calculateur!ER139*Calculateur!ET139*VLOOKUP('Données projet'!$B$15,Paramètres!$A$1:$I$89,3,0)*0.475*44/12</f>
        <v>13.136500747546613</v>
      </c>
      <c r="EX139" s="21">
        <f>EXP(-LN(2)/2)*EX138+(1-EXP(-LN(2)/2))/(LN(2)/2)*ER139*EU139*VLOOKUP('Données projet'!$B$15,Paramètres!$A$1:$I$89,3,0)*0.475*44/12</f>
        <v>0.1227975111246401</v>
      </c>
      <c r="EY139" s="22">
        <f t="shared" si="129"/>
        <v>24.667687235385049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67.825061428506928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-9.9475983006414026E-14</v>
      </c>
      <c r="FF139" s="17">
        <f>FE139*VLOOKUP('Données projet'!$B$16,Paramètres!$A$1:$I$89,3,0)*VLOOKUP('Données projet'!$B$16,Paramètres!$A$1:$I$89,5,0)</f>
        <v>-9.6213170763803652E-14</v>
      </c>
      <c r="FG139" s="13" t="e">
        <f t="shared" si="155"/>
        <v>#NUM!</v>
      </c>
      <c r="FH139" s="20" t="e">
        <f t="shared" si="130"/>
        <v>#NUM!</v>
      </c>
      <c r="FI139" s="59" t="e">
        <f t="shared" si="131"/>
        <v>#NUM!</v>
      </c>
      <c r="FJ139" s="59">
        <f ca="1">AVERAGE(OFFSET($FI$3,0,0,'Données projet'!$E$16+1,1))-AVERAGE(OFFSET($H$3,0,0,'Données projet'!$E$16+1,1))</f>
        <v>196.65742339093146</v>
      </c>
      <c r="FK139" s="59">
        <f t="shared" si="156"/>
        <v>125.41980634506001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>
        <f>EXP(-LN(2)/35)*FQ138+(1-EXP(-LN(2)/35))/(LN(2)/35)*FM139*FN139*VLOOKUP('Données projet'!$B$16,Paramètres!$A$1:$I$89,3,0)*0.475*44/12</f>
        <v>10.251016181974716</v>
      </c>
      <c r="FR139" s="21">
        <f>EXP(-LN(2)/25)*FR138+(1-EXP(-LN(2)/25))/(LN(2)/25)*Calculateur!FM139*Calculateur!FO139*VLOOKUP('Données projet'!$B$16,Paramètres!$A$1:$I$89,3,0)*0.475*44/12</f>
        <v>11.803812265911452</v>
      </c>
      <c r="FS139" s="21">
        <f>EXP(-LN(2)/2)*FS138+(1-EXP(-LN(2)/2))/(LN(2)/2)*FM139*FP139*VLOOKUP('Données projet'!$B$16,Paramètres!$A$1:$I$89,3,0)*0.475*44/12</f>
        <v>0.11033979260474906</v>
      </c>
      <c r="FT139" s="22">
        <f t="shared" si="132"/>
        <v>22.165168240490914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67.825061428506928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67.825061428506928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>
      <c r="A140" s="10">
        <f t="shared" si="139"/>
        <v>137</v>
      </c>
      <c r="B140" s="73">
        <f>'Scénario référence'!$B$16*5+'Scénario référence'!$B$17*0+'Scénario référence'!$B$18*5</f>
        <v>4.6999999999999993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7.3092240000000128</v>
      </c>
      <c r="D140" s="11">
        <f t="shared" si="140"/>
        <v>2.6721985280084875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20.822307977884638</v>
      </c>
      <c r="H140" s="67">
        <f t="shared" si="110"/>
        <v>205.11764423628148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67.862791750288125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-2.2737367544323206E-13</v>
      </c>
      <c r="O140" s="13">
        <f>N140*VLOOKUP('Données projet'!$B$9,Paramètres!$A$1:$I$89,3,0)*VLOOKUP('Données projet'!$B$9,Paramètres!$A$1:$I$89,5,0)</f>
        <v>-1.3596945791505279E-13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366.93249569585623</v>
      </c>
      <c r="T140" s="59">
        <f t="shared" si="142"/>
        <v>272.47262353368501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49.567970703851252</v>
      </c>
      <c r="AA140" s="21">
        <f>EXP(-LN(2)/25)*AA139+(1-EXP(-LN(2)/25))/(LN(2)/25)*Calculateur!V140*Calculateur!X140*VLOOKUP('Données projet'!$B$9,Paramètres!$A$1:$I$89,3,0)*0.475*44/12</f>
        <v>10.654050153587729</v>
      </c>
      <c r="AB140" s="21">
        <f>EXP(-LN(2)/2)*AB139+(1-EXP(-LN(2)/2))/(LN(2)/2)*V140*Y140*VLOOKUP('Données projet'!$B$9,Paramètres!$A$1:$I$89,3,0)*0.475*44/12</f>
        <v>1.8628022695884677E-7</v>
      </c>
      <c r="AC140" s="22">
        <f t="shared" si="111"/>
        <v>60.222021043719202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67.862791750288125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1.1368683772161603E-13</v>
      </c>
      <c r="AJ140" s="13">
        <f>AI140*VLOOKUP('Données projet'!$B$10,Paramètres!$A$1:$I$89,3,0)*VLOOKUP('Données projet'!$B$10,Paramètres!$A$1:$I$89,5,0)</f>
        <v>5.3205440053716299E-14</v>
      </c>
      <c r="AK140" s="13">
        <f t="shared" si="143"/>
        <v>8.602146238565607E-13</v>
      </c>
      <c r="AL140" s="20">
        <f t="shared" si="112"/>
        <v>1.590873277977066E-12</v>
      </c>
      <c r="AM140" s="59">
        <f t="shared" si="113"/>
        <v>285.49690308439136</v>
      </c>
      <c r="AN140" s="59">
        <f ca="1">AVERAGE(OFFSET($AM$3,0,0,'Données projet'!$E$10+1,1))-AVERAGE(OFFSET($H$3,0,0,'Données projet'!$E$10+1,1))</f>
        <v>382.89338473200229</v>
      </c>
      <c r="AO140" s="59">
        <f t="shared" si="144"/>
        <v>360.46248248971744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97.765142459776257</v>
      </c>
      <c r="AV140" s="21">
        <f>EXP(-LN(2)/25)*AV139+(1-EXP(-LN(2)/25))/(LN(2)/25)*Calculateur!AQ140*Calculateur!AS140*VLOOKUP('Données projet'!$B$10,Paramètres!$A$1:$I$89,3,0)*0.475*44/12</f>
        <v>22.424766321306535</v>
      </c>
      <c r="AW140" s="21">
        <f>EXP(-LN(2)/2)*AW139+(1-EXP(-LN(2)/2))/(LN(2)/2)*AQ140*AT140*VLOOKUP('Données projet'!$B$10,Paramètres!$A$1:$I$89,3,0)*0.475*44/12</f>
        <v>5.9857293753719514E-4</v>
      </c>
      <c r="AX140" s="21">
        <f t="shared" si="114"/>
        <v>120.19050735402033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67.862791750288125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>
        <f>BD140*VLOOKUP('Données projet'!$B$11,Paramètres!$A$1:$I$89,3,0)*VLOOKUP('Données projet'!$B$11,Paramètres!$A$1:$I$89,5,0)</f>
        <v>0</v>
      </c>
      <c r="BF140" s="13" t="e">
        <f t="shared" si="145"/>
        <v>#NUM!</v>
      </c>
      <c r="BG140" s="20" t="e">
        <f t="shared" si="115"/>
        <v>#NUM!</v>
      </c>
      <c r="BH140" s="59" t="e">
        <f t="shared" si="116"/>
        <v>#NUM!</v>
      </c>
      <c r="BI140" s="59">
        <f ca="1">AVERAGE(OFFSET($BH$3,0,0,'Données projet'!$E$11+1,1))-AVERAGE(OFFSET($H$3,0,0,'Données projet'!$E$11+1,1))</f>
        <v>225.75484198243581</v>
      </c>
      <c r="BJ140" s="59">
        <f t="shared" si="146"/>
        <v>199.49566488421061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3.5633764657208973</v>
      </c>
      <c r="BQ140" s="21">
        <f>EXP(-LN(2)/25)*BQ139+(1-EXP(-LN(2)/25))/(LN(2)/25)*Calculateur!BL140*Calculateur!BN140*VLOOKUP('Données projet'!$B$11,Paramètres!$A$1:$I$89,3,0)*0.475*44/12</f>
        <v>14.501926687842003</v>
      </c>
      <c r="BR140" s="21">
        <f>EXP(-LN(2)/2)*BR139+(1-EXP(-LN(2)/2))/(LN(2)/2)*BL140*BO140*VLOOKUP('Données projet'!$B$11,Paramètres!$A$1:$I$89,3,0)*0.475*44/12</f>
        <v>0</v>
      </c>
      <c r="BS140" s="22">
        <f t="shared" si="117"/>
        <v>18.065303153562901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67.862791750288125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1.1368683772161603E-13</v>
      </c>
      <c r="BZ140" s="13">
        <f>BY140*VLOOKUP('Données projet'!$B$12,Paramètres!$A$1:$I$89,3,0)*VLOOKUP('Données projet'!$B$12,Paramètres!$A$1:$I$89,5,0)</f>
        <v>1.0818439477588981E-13</v>
      </c>
      <c r="CA140" s="13">
        <f t="shared" si="147"/>
        <v>1.6104228458716316E-12</v>
      </c>
      <c r="CB140" s="20">
        <f t="shared" si="118"/>
        <v>2.9932409441277661E-12</v>
      </c>
      <c r="CC140" s="59">
        <f t="shared" si="119"/>
        <v>285.49690308439278</v>
      </c>
      <c r="CD140" s="59">
        <f ca="1">AVERAGE(OFFSET($CC$3,0,0,'Données projet'!$E$12+1,1))-AVERAGE(OFFSET($H$3,0,0,'Données projet'!$E$12+1,1))</f>
        <v>413.9352601863377</v>
      </c>
      <c r="CE140" s="59">
        <f t="shared" si="148"/>
        <v>255.13997349799286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32.844942547471234</v>
      </c>
      <c r="CL140" s="21">
        <f>EXP(-LN(2)/25)*CL139+(1-EXP(-LN(2)/25))/(LN(2)/25)*Calculateur!CG140*Calculateur!CI140*VLOOKUP('Données projet'!$B$12,Paramètres!$A$1:$I$89,3,0)*0.475*44/12</f>
        <v>28.851446484633705</v>
      </c>
      <c r="CM140" s="21">
        <f>EXP(-LN(2)/2)*CM139+(1-EXP(-LN(2)/2))/(LN(2)/2)*CG140*CJ140*VLOOKUP('Données projet'!$B$12,Paramètres!$A$1:$I$89,3,0)*0.475*44/12</f>
        <v>0.17912575803483249</v>
      </c>
      <c r="CN140" s="22">
        <f t="shared" si="120"/>
        <v>61.875514790139775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67.862791750288125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2.8421709430404007E-14</v>
      </c>
      <c r="CU140" s="17">
        <f>CT140*VLOOKUP('Données projet'!$B$13,Paramètres!$A$1:$I$89,3,0)*VLOOKUP('Données projet'!$B$13,Paramètres!$A$1:$I$89,5,0)</f>
        <v>2.4829205358400945E-14</v>
      </c>
      <c r="CV140" s="13">
        <f t="shared" si="149"/>
        <v>4.3867331143352915E-13</v>
      </c>
      <c r="CW140" s="20">
        <f t="shared" si="121"/>
        <v>8.0726688341261168E-13</v>
      </c>
      <c r="CX140" s="59">
        <f t="shared" si="122"/>
        <v>285.49690308439057</v>
      </c>
      <c r="CY140" s="59">
        <f ca="1">AVERAGE(OFFSET($CX$3,0,0,'Données projet'!$E$13+1,1))-AVERAGE(OFFSET($H$3,0,0,'Données projet'!$E$13+1,1))</f>
        <v>280.59827778697775</v>
      </c>
      <c r="CZ140" s="59">
        <f t="shared" si="150"/>
        <v>270.86588231964726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>
        <f>EXP(-LN(2)/35)*DF139+(1-EXP(-LN(2)/35))/(LN(2)/35)*DB140*DC140*VLOOKUP('Données projet'!$B$13,Paramètres!$A$1:$I$89,3,0)*0.475*44/12</f>
        <v>10.668010942674417</v>
      </c>
      <c r="DG140" s="21">
        <f>EXP(-LN(2)/25)*DG139+(1-EXP(-LN(2)/25))/(LN(2)/25)*Calculateur!DB140*Calculateur!DD140*VLOOKUP('Données projet'!$B$13,Paramètres!$A$1:$I$89,3,0)*0.475*44/12</f>
        <v>7.5144384929829249</v>
      </c>
      <c r="DH140" s="21">
        <f>EXP(-LN(2)/2)*DH139+(1-EXP(-LN(2)/2))/(LN(2)/2)*DB140*DE140*VLOOKUP('Données projet'!$B$13,Paramètres!$A$1:$I$89,3,0)*0.475*44/12</f>
        <v>1.1971401819917124E-7</v>
      </c>
      <c r="DI140" s="22">
        <f t="shared" si="123"/>
        <v>18.18244955537136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67.862791750288125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>
        <f>DO140*VLOOKUP('Données projet'!$B$14,Paramètres!$A$1:$I$89,3,0)*VLOOKUP('Données projet'!$B$14,Paramètres!$A$1:$I$89,5,0)</f>
        <v>0</v>
      </c>
      <c r="DQ140" s="13" t="e">
        <f t="shared" si="151"/>
        <v>#NUM!</v>
      </c>
      <c r="DR140" s="20" t="e">
        <f t="shared" si="124"/>
        <v>#NUM!</v>
      </c>
      <c r="DS140" s="59" t="e">
        <f t="shared" si="125"/>
        <v>#NUM!</v>
      </c>
      <c r="DT140" s="59">
        <f ca="1">AVERAGE(OFFSET($DS$3,0,0,'Données projet'!$E$14+1,1))-AVERAGE(OFFSET($H$3,0,0,'Données projet'!$E$14+1,1))</f>
        <v>211.42385430331873</v>
      </c>
      <c r="DU140" s="59">
        <f t="shared" si="152"/>
        <v>146.84623106782686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>
        <f>EXP(-LN(2)/35)*EA139+(1-EXP(-LN(2)/35))/(LN(2)/35)*DW140*DX140*VLOOKUP('Données projet'!$B$14,Paramètres!$A$1:$I$89,3,0)*0.475*44/12</f>
        <v>15.692620823360226</v>
      </c>
      <c r="EB140" s="21">
        <f>EXP(-LN(2)/25)*EB139+(1-EXP(-LN(2)/25))/(LN(2)/25)*Calculateur!DW140*Calculateur!DY140*VLOOKUP('Données projet'!$B$14,Paramètres!$A$1:$I$89,3,0)*0.475*44/12</f>
        <v>13.840539925666745</v>
      </c>
      <c r="EC140" s="21">
        <f>EXP(-LN(2)/2)*EC139+(1-EXP(-LN(2)/2))/(LN(2)/2)*DW140*DZ140*VLOOKUP('Données projet'!$B$14,Paramètres!$A$1:$I$89,3,0)*0.475*44/12</f>
        <v>1.4345619355682316E-2</v>
      </c>
      <c r="ED140" s="22">
        <f t="shared" si="126"/>
        <v>29.547506368382653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67.862791750288125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-9.9475983006414026E-14</v>
      </c>
      <c r="EK140" s="17">
        <f>EJ140*VLOOKUP('Données projet'!$B$15,Paramètres!$A$1:$I$89,3,0)*VLOOKUP('Données projet'!$B$15,Paramètres!$A$1:$I$89,5,0)</f>
        <v>-1.0707594810810407E-13</v>
      </c>
      <c r="EL140" s="13" t="e">
        <f t="shared" si="153"/>
        <v>#NUM!</v>
      </c>
      <c r="EM140" s="20" t="e">
        <f t="shared" si="127"/>
        <v>#NUM!</v>
      </c>
      <c r="EN140" s="59" t="e">
        <f t="shared" si="128"/>
        <v>#NUM!</v>
      </c>
      <c r="EO140" s="59">
        <f ca="1">AVERAGE(OFFSET($EN$3,0,0,'Données projet'!$E$15+1,1))-AVERAGE(OFFSET($H$3,0,0,'Données projet'!$E$15+1,1))</f>
        <v>212.00478362779876</v>
      </c>
      <c r="EP140" s="59">
        <f t="shared" si="154"/>
        <v>133.62262474506707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>
        <f>EXP(-LN(2)/35)*EV139+(1-EXP(-LN(2)/35))/(LN(2)/35)*ER140*ES140*VLOOKUP('Données projet'!$B$15,Paramètres!$A$1:$I$89,3,0)*0.475*44/12</f>
        <v>11.184677427310625</v>
      </c>
      <c r="EW140" s="21">
        <f>EXP(-LN(2)/25)*EW139+(1-EXP(-LN(2)/25))/(LN(2)/25)*Calculateur!ER140*Calculateur!ET140*VLOOKUP('Données projet'!$B$15,Paramètres!$A$1:$I$89,3,0)*0.475*44/12</f>
        <v>12.777282443786401</v>
      </c>
      <c r="EX140" s="21">
        <f>EXP(-LN(2)/2)*EX139+(1-EXP(-LN(2)/2))/(LN(2)/2)*ER140*EU140*VLOOKUP('Données projet'!$B$15,Paramètres!$A$1:$I$89,3,0)*0.475*44/12</f>
        <v>8.6830952829063529E-2</v>
      </c>
      <c r="EY140" s="22">
        <f t="shared" si="129"/>
        <v>24.04879082392609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67.862791750288125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-9.9475983006414026E-14</v>
      </c>
      <c r="FF140" s="17">
        <f>FE140*VLOOKUP('Données projet'!$B$16,Paramètres!$A$1:$I$89,3,0)*VLOOKUP('Données projet'!$B$16,Paramètres!$A$1:$I$89,5,0)</f>
        <v>-9.6213170763803652E-14</v>
      </c>
      <c r="FG140" s="13" t="e">
        <f t="shared" si="155"/>
        <v>#NUM!</v>
      </c>
      <c r="FH140" s="20" t="e">
        <f t="shared" si="130"/>
        <v>#NUM!</v>
      </c>
      <c r="FI140" s="59" t="e">
        <f t="shared" si="131"/>
        <v>#NUM!</v>
      </c>
      <c r="FJ140" s="59">
        <f ca="1">AVERAGE(OFFSET($FI$3,0,0,'Données projet'!$E$16+1,1))-AVERAGE(OFFSET($H$3,0,0,'Données projet'!$E$16+1,1))</f>
        <v>196.65742339093146</v>
      </c>
      <c r="FK140" s="59">
        <f t="shared" si="156"/>
        <v>125.41980634506001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>
        <f>EXP(-LN(2)/35)*FQ139+(1-EXP(-LN(2)/35))/(LN(2)/35)*FM140*FN140*VLOOKUP('Données projet'!$B$16,Paramètres!$A$1:$I$89,3,0)*0.475*44/12</f>
        <v>10.050000007148679</v>
      </c>
      <c r="FR140" s="21">
        <f>EXP(-LN(2)/25)*FR139+(1-EXP(-LN(2)/25))/(LN(2)/25)*Calculateur!FM140*Calculateur!FO140*VLOOKUP('Données projet'!$B$16,Paramètres!$A$1:$I$89,3,0)*0.475*44/12</f>
        <v>11.481036398764594</v>
      </c>
      <c r="FS140" s="21">
        <f>EXP(-LN(2)/2)*FS139+(1-EXP(-LN(2)/2))/(LN(2)/2)*FM140*FP140*VLOOKUP('Données projet'!$B$16,Paramètres!$A$1:$I$89,3,0)*0.475*44/12</f>
        <v>7.8022015585535329E-2</v>
      </c>
      <c r="FT140" s="22">
        <f t="shared" si="132"/>
        <v>21.609058421498808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67.862791750288125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67.862791750288125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>
      <c r="A141" s="10">
        <f t="shared" si="139"/>
        <v>138</v>
      </c>
      <c r="B141" s="73">
        <f>'Scénario référence'!$B$16*5+'Scénario référence'!$B$17*0+'Scénario référence'!$B$18*5</f>
        <v>4.6999999999999993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7.3625760000000131</v>
      </c>
      <c r="D141" s="11">
        <f t="shared" si="140"/>
        <v>2.6894259314657205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20.854997385801671</v>
      </c>
      <c r="H141" s="67">
        <f t="shared" si="110"/>
        <v>205.24057003063618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67.899867535338799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-2.2737367544323206E-13</v>
      </c>
      <c r="O141" s="13">
        <f>N141*VLOOKUP('Données projet'!$B$9,Paramètres!$A$1:$I$89,3,0)*VLOOKUP('Données projet'!$B$9,Paramètres!$A$1:$I$89,5,0)</f>
        <v>-1.3596945791505279E-13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366.93249569585623</v>
      </c>
      <c r="T141" s="59">
        <f t="shared" si="142"/>
        <v>272.47262353368501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48.595973031825551</v>
      </c>
      <c r="AA141" s="21">
        <f>EXP(-LN(2)/25)*AA140+(1-EXP(-LN(2)/25))/(LN(2)/25)*Calculateur!V141*Calculateur!X141*VLOOKUP('Données projet'!$B$9,Paramètres!$A$1:$I$89,3,0)*0.475*44/12</f>
        <v>10.362714591865725</v>
      </c>
      <c r="AB141" s="21">
        <f>EXP(-LN(2)/2)*AB140+(1-EXP(-LN(2)/2))/(LN(2)/2)*V141*Y141*VLOOKUP('Données projet'!$B$9,Paramètres!$A$1:$I$89,3,0)*0.475*44/12</f>
        <v>1.3172001168356967E-7</v>
      </c>
      <c r="AC141" s="22">
        <f t="shared" si="111"/>
        <v>58.95868775541129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67.899867535338799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1.1368683772161603E-13</v>
      </c>
      <c r="AJ141" s="13">
        <f>AI141*VLOOKUP('Données projet'!$B$10,Paramètres!$A$1:$I$89,3,0)*VLOOKUP('Données projet'!$B$10,Paramètres!$A$1:$I$89,5,0)</f>
        <v>5.3205440053716299E-14</v>
      </c>
      <c r="AK141" s="13">
        <f t="shared" si="143"/>
        <v>8.602146238565607E-13</v>
      </c>
      <c r="AL141" s="20">
        <f t="shared" si="112"/>
        <v>1.590873277977066E-12</v>
      </c>
      <c r="AM141" s="59">
        <f t="shared" si="113"/>
        <v>285.63284762957716</v>
      </c>
      <c r="AN141" s="59">
        <f ca="1">AVERAGE(OFFSET($AM$3,0,0,'Données projet'!$E$10+1,1))-AVERAGE(OFFSET($H$3,0,0,'Données projet'!$E$10+1,1))</f>
        <v>382.89338473200229</v>
      </c>
      <c r="AO141" s="59">
        <f t="shared" si="144"/>
        <v>360.46248248971744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95.848027646988882</v>
      </c>
      <c r="AV141" s="21">
        <f>EXP(-LN(2)/25)*AV140+(1-EXP(-LN(2)/25))/(LN(2)/25)*Calculateur!AQ141*Calculateur!AS141*VLOOKUP('Données projet'!$B$10,Paramètres!$A$1:$I$89,3,0)*0.475*44/12</f>
        <v>21.811559906983199</v>
      </c>
      <c r="AW141" s="21">
        <f>EXP(-LN(2)/2)*AW140+(1-EXP(-LN(2)/2))/(LN(2)/2)*AQ141*AT141*VLOOKUP('Données projet'!$B$10,Paramètres!$A$1:$I$89,3,0)*0.475*44/12</f>
        <v>4.2325498316730242E-4</v>
      </c>
      <c r="AX141" s="21">
        <f t="shared" si="114"/>
        <v>117.66001080895524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67.899867535338799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>
        <f>BD141*VLOOKUP('Données projet'!$B$11,Paramètres!$A$1:$I$89,3,0)*VLOOKUP('Données projet'!$B$11,Paramètres!$A$1:$I$89,5,0)</f>
        <v>0</v>
      </c>
      <c r="BF141" s="13" t="e">
        <f t="shared" si="145"/>
        <v>#NUM!</v>
      </c>
      <c r="BG141" s="20" t="e">
        <f t="shared" si="115"/>
        <v>#NUM!</v>
      </c>
      <c r="BH141" s="59" t="e">
        <f t="shared" si="116"/>
        <v>#NUM!</v>
      </c>
      <c r="BI141" s="59">
        <f ca="1">AVERAGE(OFFSET($BH$3,0,0,'Données projet'!$E$11+1,1))-AVERAGE(OFFSET($H$3,0,0,'Données projet'!$E$11+1,1))</f>
        <v>225.75484198243581</v>
      </c>
      <c r="BJ141" s="59">
        <f t="shared" si="146"/>
        <v>199.49566488421061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3.4935008266731447</v>
      </c>
      <c r="BQ141" s="21">
        <f>EXP(-LN(2)/25)*BQ140+(1-EXP(-LN(2)/25))/(LN(2)/25)*Calculateur!BL141*Calculateur!BN141*VLOOKUP('Données projet'!$B$11,Paramètres!$A$1:$I$89,3,0)*0.475*44/12</f>
        <v>14.105370739939783</v>
      </c>
      <c r="BR141" s="21">
        <f>EXP(-LN(2)/2)*BR140+(1-EXP(-LN(2)/2))/(LN(2)/2)*BL141*BO141*VLOOKUP('Données projet'!$B$11,Paramètres!$A$1:$I$89,3,0)*0.475*44/12</f>
        <v>0</v>
      </c>
      <c r="BS141" s="22">
        <f t="shared" si="117"/>
        <v>17.598871566612928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67.899867535338799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1.1368683772161603E-13</v>
      </c>
      <c r="BZ141" s="13">
        <f>BY141*VLOOKUP('Données projet'!$B$12,Paramètres!$A$1:$I$89,3,0)*VLOOKUP('Données projet'!$B$12,Paramètres!$A$1:$I$89,5,0)</f>
        <v>1.0818439477588981E-13</v>
      </c>
      <c r="CA141" s="13">
        <f t="shared" si="147"/>
        <v>1.6104228458716316E-12</v>
      </c>
      <c r="CB141" s="20">
        <f t="shared" si="118"/>
        <v>2.9932409441277661E-12</v>
      </c>
      <c r="CC141" s="59">
        <f t="shared" si="119"/>
        <v>285.63284762957858</v>
      </c>
      <c r="CD141" s="59">
        <f ca="1">AVERAGE(OFFSET($CC$3,0,0,'Données projet'!$E$12+1,1))-AVERAGE(OFFSET($H$3,0,0,'Données projet'!$E$12+1,1))</f>
        <v>413.9352601863377</v>
      </c>
      <c r="CE141" s="59">
        <f t="shared" si="148"/>
        <v>255.13997349799286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32.200873257552139</v>
      </c>
      <c r="CL141" s="21">
        <f>EXP(-LN(2)/25)*CL140+(1-EXP(-LN(2)/25))/(LN(2)/25)*Calculateur!CG141*Calculateur!CI141*VLOOKUP('Données projet'!$B$12,Paramètres!$A$1:$I$89,3,0)*0.475*44/12</f>
        <v>28.062502163279767</v>
      </c>
      <c r="CM141" s="21">
        <f>EXP(-LN(2)/2)*CM140+(1-EXP(-LN(2)/2))/(LN(2)/2)*CG141*CJ141*VLOOKUP('Données projet'!$B$12,Paramètres!$A$1:$I$89,3,0)*0.475*44/12</f>
        <v>0.12666103819161076</v>
      </c>
      <c r="CN141" s="22">
        <f t="shared" si="120"/>
        <v>60.39003645902352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67.899867535338799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2.8421709430404007E-14</v>
      </c>
      <c r="CU141" s="17">
        <f>CT141*VLOOKUP('Données projet'!$B$13,Paramètres!$A$1:$I$89,3,0)*VLOOKUP('Données projet'!$B$13,Paramètres!$A$1:$I$89,5,0)</f>
        <v>2.4829205358400945E-14</v>
      </c>
      <c r="CV141" s="13">
        <f t="shared" si="149"/>
        <v>4.3867331143352915E-13</v>
      </c>
      <c r="CW141" s="20">
        <f t="shared" si="121"/>
        <v>8.0726688341261168E-13</v>
      </c>
      <c r="CX141" s="59">
        <f t="shared" si="122"/>
        <v>285.63284762957636</v>
      </c>
      <c r="CY141" s="59">
        <f ca="1">AVERAGE(OFFSET($CX$3,0,0,'Données projet'!$E$13+1,1))-AVERAGE(OFFSET($H$3,0,0,'Données projet'!$E$13+1,1))</f>
        <v>280.59827778697775</v>
      </c>
      <c r="CZ141" s="59">
        <f t="shared" si="150"/>
        <v>270.86588231964726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>
        <f>EXP(-LN(2)/35)*DF140+(1-EXP(-LN(2)/35))/(LN(2)/35)*DB141*DC141*VLOOKUP('Données projet'!$B$13,Paramètres!$A$1:$I$89,3,0)*0.475*44/12</f>
        <v>10.458817754932749</v>
      </c>
      <c r="DG141" s="21">
        <f>EXP(-LN(2)/25)*DG140+(1-EXP(-LN(2)/25))/(LN(2)/25)*Calculateur!DB141*Calculateur!DD141*VLOOKUP('Données projet'!$B$13,Paramètres!$A$1:$I$89,3,0)*0.475*44/12</f>
        <v>7.3089557772251608</v>
      </c>
      <c r="DH141" s="21">
        <f>EXP(-LN(2)/2)*DH140+(1-EXP(-LN(2)/2))/(LN(2)/2)*DB141*DE141*VLOOKUP('Données projet'!$B$13,Paramètres!$A$1:$I$89,3,0)*0.475*44/12</f>
        <v>8.465059407172375E-8</v>
      </c>
      <c r="DI141" s="22">
        <f t="shared" si="123"/>
        <v>17.767773616808505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67.899867535338799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>
        <f>DO141*VLOOKUP('Données projet'!$B$14,Paramètres!$A$1:$I$89,3,0)*VLOOKUP('Données projet'!$B$14,Paramètres!$A$1:$I$89,5,0)</f>
        <v>0</v>
      </c>
      <c r="DQ141" s="13" t="e">
        <f t="shared" si="151"/>
        <v>#NUM!</v>
      </c>
      <c r="DR141" s="20" t="e">
        <f t="shared" si="124"/>
        <v>#NUM!</v>
      </c>
      <c r="DS141" s="59" t="e">
        <f t="shared" si="125"/>
        <v>#NUM!</v>
      </c>
      <c r="DT141" s="59">
        <f ca="1">AVERAGE(OFFSET($DS$3,0,0,'Données projet'!$E$14+1,1))-AVERAGE(OFFSET($H$3,0,0,'Données projet'!$E$14+1,1))</f>
        <v>211.42385430331873</v>
      </c>
      <c r="DU141" s="59">
        <f t="shared" si="152"/>
        <v>146.84623106782686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>
        <f>EXP(-LN(2)/35)*EA140+(1-EXP(-LN(2)/35))/(LN(2)/35)*DW141*DX141*VLOOKUP('Données projet'!$B$14,Paramètres!$A$1:$I$89,3,0)*0.475*44/12</f>
        <v>15.384898100567721</v>
      </c>
      <c r="EB141" s="21">
        <f>EXP(-LN(2)/25)*EB140+(1-EXP(-LN(2)/25))/(LN(2)/25)*Calculateur!DW141*Calculateur!DY141*VLOOKUP('Données projet'!$B$14,Paramètres!$A$1:$I$89,3,0)*0.475*44/12</f>
        <v>13.462069633557025</v>
      </c>
      <c r="EC141" s="21">
        <f>EXP(-LN(2)/2)*EC140+(1-EXP(-LN(2)/2))/(LN(2)/2)*DW141*DZ141*VLOOKUP('Données projet'!$B$14,Paramètres!$A$1:$I$89,3,0)*0.475*44/12</f>
        <v>1.0143884726723956E-2</v>
      </c>
      <c r="ED141" s="22">
        <f t="shared" si="126"/>
        <v>28.857111618851469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67.899867535338799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-9.9475983006414026E-14</v>
      </c>
      <c r="EK141" s="17">
        <f>EJ141*VLOOKUP('Données projet'!$B$15,Paramètres!$A$1:$I$89,3,0)*VLOOKUP('Données projet'!$B$15,Paramètres!$A$1:$I$89,5,0)</f>
        <v>-1.0707594810810407E-13</v>
      </c>
      <c r="EL141" s="13" t="e">
        <f t="shared" si="153"/>
        <v>#NUM!</v>
      </c>
      <c r="EM141" s="20" t="e">
        <f t="shared" si="127"/>
        <v>#NUM!</v>
      </c>
      <c r="EN141" s="59" t="e">
        <f t="shared" si="128"/>
        <v>#NUM!</v>
      </c>
      <c r="EO141" s="59">
        <f ca="1">AVERAGE(OFFSET($EN$3,0,0,'Données projet'!$E$15+1,1))-AVERAGE(OFFSET($H$3,0,0,'Données projet'!$E$15+1,1))</f>
        <v>212.00478362779876</v>
      </c>
      <c r="EP141" s="59">
        <f t="shared" si="154"/>
        <v>133.62262474506707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>
        <f>EXP(-LN(2)/35)*EV140+(1-EXP(-LN(2)/35))/(LN(2)/35)*ER141*ES141*VLOOKUP('Données projet'!$B$15,Paramètres!$A$1:$I$89,3,0)*0.475*44/12</f>
        <v>10.965352724940679</v>
      </c>
      <c r="EW141" s="21">
        <f>EXP(-LN(2)/25)*EW140+(1-EXP(-LN(2)/25))/(LN(2)/25)*Calculateur!ER141*Calculateur!ET141*VLOOKUP('Données projet'!$B$15,Paramètres!$A$1:$I$89,3,0)*0.475*44/12</f>
        <v>12.42788698343298</v>
      </c>
      <c r="EX141" s="21">
        <f>EXP(-LN(2)/2)*EX140+(1-EXP(-LN(2)/2))/(LN(2)/2)*ER141*EU141*VLOOKUP('Données projet'!$B$15,Paramètres!$A$1:$I$89,3,0)*0.475*44/12</f>
        <v>6.1398755562320058E-2</v>
      </c>
      <c r="EY141" s="22">
        <f t="shared" si="129"/>
        <v>23.454638463935979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67.899867535338799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-9.9475983006414026E-14</v>
      </c>
      <c r="FF141" s="17">
        <f>FE141*VLOOKUP('Données projet'!$B$16,Paramètres!$A$1:$I$89,3,0)*VLOOKUP('Données projet'!$B$16,Paramètres!$A$1:$I$89,5,0)</f>
        <v>-9.6213170763803652E-14</v>
      </c>
      <c r="FG141" s="13" t="e">
        <f t="shared" si="155"/>
        <v>#NUM!</v>
      </c>
      <c r="FH141" s="20" t="e">
        <f t="shared" si="130"/>
        <v>#NUM!</v>
      </c>
      <c r="FI141" s="59" t="e">
        <f t="shared" si="131"/>
        <v>#NUM!</v>
      </c>
      <c r="FJ141" s="59">
        <f ca="1">AVERAGE(OFFSET($FI$3,0,0,'Données projet'!$E$16+1,1))-AVERAGE(OFFSET($H$3,0,0,'Données projet'!$E$16+1,1))</f>
        <v>196.65742339093146</v>
      </c>
      <c r="FK141" s="59">
        <f t="shared" si="156"/>
        <v>125.41980634506001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>
        <f>EXP(-LN(2)/35)*FQ140+(1-EXP(-LN(2)/35))/(LN(2)/35)*FM141*FN141*VLOOKUP('Données projet'!$B$16,Paramètres!$A$1:$I$89,3,0)*0.475*44/12</f>
        <v>9.8529256369032208</v>
      </c>
      <c r="FR141" s="21">
        <f>EXP(-LN(2)/25)*FR140+(1-EXP(-LN(2)/25))/(LN(2)/25)*Calculateur!FM141*Calculateur!FO141*VLOOKUP('Données projet'!$B$16,Paramètres!$A$1:$I$89,3,0)*0.475*44/12</f>
        <v>11.167086854678912</v>
      </c>
      <c r="FS141" s="21">
        <f>EXP(-LN(2)/2)*FS140+(1-EXP(-LN(2)/2))/(LN(2)/2)*FM141*FP141*VLOOKUP('Données projet'!$B$16,Paramètres!$A$1:$I$89,3,0)*0.475*44/12</f>
        <v>5.5169896302374531E-2</v>
      </c>
      <c r="FT141" s="22">
        <f t="shared" si="132"/>
        <v>21.075182387884507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67.899867535338799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67.899867535338799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>
      <c r="A142" s="10">
        <f t="shared" si="139"/>
        <v>139</v>
      </c>
      <c r="B142" s="73">
        <f>'Scénario référence'!$B$16*5+'Scénario référence'!$B$17*0+'Scénario référence'!$B$18*5</f>
        <v>4.6999999999999993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7.4159280000000134</v>
      </c>
      <c r="D142" s="11">
        <f t="shared" si="140"/>
        <v>2.7066388099747281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20.887680066374266</v>
      </c>
      <c r="H142" s="67">
        <f t="shared" si="110"/>
        <v>205.3634705273727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67.936300138407873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-2.2737367544323206E-13</v>
      </c>
      <c r="O142" s="13">
        <f>N142*VLOOKUP('Données projet'!$B$9,Paramètres!$A$1:$I$89,3,0)*VLOOKUP('Données projet'!$B$9,Paramètres!$A$1:$I$89,5,0)</f>
        <v>-1.3596945791505279E-13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366.93249569585623</v>
      </c>
      <c r="T142" s="59">
        <f t="shared" si="142"/>
        <v>272.47262353368501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47.643035641288236</v>
      </c>
      <c r="AA142" s="21">
        <f>EXP(-LN(2)/25)*AA141+(1-EXP(-LN(2)/25))/(LN(2)/25)*Calculateur!V142*Calculateur!X142*VLOOKUP('Données projet'!$B$9,Paramètres!$A$1:$I$89,3,0)*0.475*44/12</f>
        <v>10.07934561639968</v>
      </c>
      <c r="AB142" s="21">
        <f>EXP(-LN(2)/2)*AB141+(1-EXP(-LN(2)/2))/(LN(2)/2)*V142*Y142*VLOOKUP('Données projet'!$B$9,Paramètres!$A$1:$I$89,3,0)*0.475*44/12</f>
        <v>9.3140113479423386E-8</v>
      </c>
      <c r="AC142" s="22">
        <f t="shared" si="111"/>
        <v>57.72238135082803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67.936300138407873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1.1368683772161603E-13</v>
      </c>
      <c r="AJ142" s="13">
        <f>AI142*VLOOKUP('Données projet'!$B$10,Paramètres!$A$1:$I$89,3,0)*VLOOKUP('Données projet'!$B$10,Paramètres!$A$1:$I$89,5,0)</f>
        <v>5.3205440053716299E-14</v>
      </c>
      <c r="AK142" s="13">
        <f t="shared" si="143"/>
        <v>8.602146238565607E-13</v>
      </c>
      <c r="AL142" s="20">
        <f t="shared" si="112"/>
        <v>1.590873277977066E-12</v>
      </c>
      <c r="AM142" s="59">
        <f t="shared" si="113"/>
        <v>285.76643384083047</v>
      </c>
      <c r="AN142" s="59">
        <f ca="1">AVERAGE(OFFSET($AM$3,0,0,'Données projet'!$E$10+1,1))-AVERAGE(OFFSET($H$3,0,0,'Données projet'!$E$10+1,1))</f>
        <v>382.89338473200229</v>
      </c>
      <c r="AO142" s="59">
        <f t="shared" si="144"/>
        <v>360.46248248971744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93.968506286355705</v>
      </c>
      <c r="AV142" s="21">
        <f>EXP(-LN(2)/25)*AV141+(1-EXP(-LN(2)/25))/(LN(2)/25)*Calculateur!AQ142*Calculateur!AS142*VLOOKUP('Données projet'!$B$10,Paramètres!$A$1:$I$89,3,0)*0.475*44/12</f>
        <v>21.21512165430666</v>
      </c>
      <c r="AW142" s="21">
        <f>EXP(-LN(2)/2)*AW141+(1-EXP(-LN(2)/2))/(LN(2)/2)*AQ142*AT142*VLOOKUP('Données projet'!$B$10,Paramètres!$A$1:$I$89,3,0)*0.475*44/12</f>
        <v>2.9928646876859757E-4</v>
      </c>
      <c r="AX142" s="21">
        <f t="shared" si="114"/>
        <v>115.18392722713114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67.936300138407873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>
        <f>BD142*VLOOKUP('Données projet'!$B$11,Paramètres!$A$1:$I$89,3,0)*VLOOKUP('Données projet'!$B$11,Paramètres!$A$1:$I$89,5,0)</f>
        <v>0</v>
      </c>
      <c r="BF142" s="13" t="e">
        <f t="shared" si="145"/>
        <v>#NUM!</v>
      </c>
      <c r="BG142" s="20" t="e">
        <f t="shared" si="115"/>
        <v>#NUM!</v>
      </c>
      <c r="BH142" s="59" t="e">
        <f t="shared" si="116"/>
        <v>#NUM!</v>
      </c>
      <c r="BI142" s="59">
        <f ca="1">AVERAGE(OFFSET($BH$3,0,0,'Données projet'!$E$11+1,1))-AVERAGE(OFFSET($H$3,0,0,'Données projet'!$E$11+1,1))</f>
        <v>225.75484198243581</v>
      </c>
      <c r="BJ142" s="59">
        <f t="shared" si="146"/>
        <v>199.49566488421061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3.424995406287187</v>
      </c>
      <c r="BQ142" s="21">
        <f>EXP(-LN(2)/25)*BQ141+(1-EXP(-LN(2)/25))/(LN(2)/25)*Calculateur!BL142*Calculateur!BN142*VLOOKUP('Données projet'!$B$11,Paramètres!$A$1:$I$89,3,0)*0.475*44/12</f>
        <v>13.719658635286921</v>
      </c>
      <c r="BR142" s="21">
        <f>EXP(-LN(2)/2)*BR141+(1-EXP(-LN(2)/2))/(LN(2)/2)*BL142*BO142*VLOOKUP('Données projet'!$B$11,Paramètres!$A$1:$I$89,3,0)*0.475*44/12</f>
        <v>0</v>
      </c>
      <c r="BS142" s="22">
        <f t="shared" si="117"/>
        <v>17.144654041574107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67.936300138407873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1.1368683772161603E-13</v>
      </c>
      <c r="BZ142" s="13">
        <f>BY142*VLOOKUP('Données projet'!$B$12,Paramètres!$A$1:$I$89,3,0)*VLOOKUP('Données projet'!$B$12,Paramètres!$A$1:$I$89,5,0)</f>
        <v>1.0818439477588981E-13</v>
      </c>
      <c r="CA142" s="13">
        <f t="shared" si="147"/>
        <v>1.6104228458716316E-12</v>
      </c>
      <c r="CB142" s="20">
        <f t="shared" si="118"/>
        <v>2.9932409441277661E-12</v>
      </c>
      <c r="CC142" s="59">
        <f t="shared" si="119"/>
        <v>285.76643384083189</v>
      </c>
      <c r="CD142" s="59">
        <f ca="1">AVERAGE(OFFSET($CC$3,0,0,'Données projet'!$E$12+1,1))-AVERAGE(OFFSET($H$3,0,0,'Données projet'!$E$12+1,1))</f>
        <v>413.9352601863377</v>
      </c>
      <c r="CE142" s="59">
        <f t="shared" si="148"/>
        <v>255.13997349799286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31.569433773564882</v>
      </c>
      <c r="CL142" s="21">
        <f>EXP(-LN(2)/25)*CL141+(1-EXP(-LN(2)/25))/(LN(2)/25)*Calculateur!CG142*Calculateur!CI142*VLOOKUP('Données projet'!$B$12,Paramètres!$A$1:$I$89,3,0)*0.475*44/12</f>
        <v>27.295131565882031</v>
      </c>
      <c r="CM142" s="21">
        <f>EXP(-LN(2)/2)*CM141+(1-EXP(-LN(2)/2))/(LN(2)/2)*CG142*CJ142*VLOOKUP('Données projet'!$B$12,Paramètres!$A$1:$I$89,3,0)*0.475*44/12</f>
        <v>8.9562879017416247E-2</v>
      </c>
      <c r="CN142" s="22">
        <f t="shared" si="120"/>
        <v>58.954128218464326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67.936300138407873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2.8421709430404007E-14</v>
      </c>
      <c r="CU142" s="17">
        <f>CT142*VLOOKUP('Données projet'!$B$13,Paramètres!$A$1:$I$89,3,0)*VLOOKUP('Données projet'!$B$13,Paramètres!$A$1:$I$89,5,0)</f>
        <v>2.4829205358400945E-14</v>
      </c>
      <c r="CV142" s="13">
        <f t="shared" si="149"/>
        <v>4.3867331143352915E-13</v>
      </c>
      <c r="CW142" s="20">
        <f t="shared" si="121"/>
        <v>8.0726688341261168E-13</v>
      </c>
      <c r="CX142" s="59">
        <f t="shared" si="122"/>
        <v>285.76643384082968</v>
      </c>
      <c r="CY142" s="59">
        <f ca="1">AVERAGE(OFFSET($CX$3,0,0,'Données projet'!$E$13+1,1))-AVERAGE(OFFSET($H$3,0,0,'Données projet'!$E$13+1,1))</f>
        <v>280.59827778697775</v>
      </c>
      <c r="CZ142" s="59">
        <f t="shared" si="150"/>
        <v>270.86588231964726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>
        <f>EXP(-LN(2)/35)*DF141+(1-EXP(-LN(2)/35))/(LN(2)/35)*DB142*DC142*VLOOKUP('Données projet'!$B$13,Paramètres!$A$1:$I$89,3,0)*0.475*44/12</f>
        <v>10.253726718007449</v>
      </c>
      <c r="DG142" s="21">
        <f>EXP(-LN(2)/25)*DG141+(1-EXP(-LN(2)/25))/(LN(2)/25)*Calculateur!DB142*Calculateur!DD142*VLOOKUP('Données projet'!$B$13,Paramètres!$A$1:$I$89,3,0)*0.475*44/12</f>
        <v>7.1090919971356596</v>
      </c>
      <c r="DH142" s="21">
        <f>EXP(-LN(2)/2)*DH141+(1-EXP(-LN(2)/2))/(LN(2)/2)*DB142*DE142*VLOOKUP('Données projet'!$B$13,Paramètres!$A$1:$I$89,3,0)*0.475*44/12</f>
        <v>5.9857009099585621E-8</v>
      </c>
      <c r="DI142" s="22">
        <f t="shared" si="123"/>
        <v>17.362818775000118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67.936300138407873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>
        <f>DO142*VLOOKUP('Données projet'!$B$14,Paramètres!$A$1:$I$89,3,0)*VLOOKUP('Données projet'!$B$14,Paramètres!$A$1:$I$89,5,0)</f>
        <v>0</v>
      </c>
      <c r="DQ142" s="13" t="e">
        <f t="shared" si="151"/>
        <v>#NUM!</v>
      </c>
      <c r="DR142" s="20" t="e">
        <f t="shared" si="124"/>
        <v>#NUM!</v>
      </c>
      <c r="DS142" s="59" t="e">
        <f t="shared" si="125"/>
        <v>#NUM!</v>
      </c>
      <c r="DT142" s="59">
        <f ca="1">AVERAGE(OFFSET($DS$3,0,0,'Données projet'!$E$14+1,1))-AVERAGE(OFFSET($H$3,0,0,'Données projet'!$E$14+1,1))</f>
        <v>211.42385430331873</v>
      </c>
      <c r="DU142" s="59">
        <f t="shared" si="152"/>
        <v>146.84623106782686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>
        <f>EXP(-LN(2)/35)*EA141+(1-EXP(-LN(2)/35))/(LN(2)/35)*DW142*DX142*VLOOKUP('Données projet'!$B$14,Paramètres!$A$1:$I$89,3,0)*0.475*44/12</f>
        <v>15.08320963267685</v>
      </c>
      <c r="EB142" s="21">
        <f>EXP(-LN(2)/25)*EB141+(1-EXP(-LN(2)/25))/(LN(2)/25)*Calculateur!DW142*Calculateur!DY142*VLOOKUP('Données projet'!$B$14,Paramètres!$A$1:$I$89,3,0)*0.475*44/12</f>
        <v>13.093948631487935</v>
      </c>
      <c r="EC142" s="21">
        <f>EXP(-LN(2)/2)*EC141+(1-EXP(-LN(2)/2))/(LN(2)/2)*DW142*DZ142*VLOOKUP('Données projet'!$B$14,Paramètres!$A$1:$I$89,3,0)*0.475*44/12</f>
        <v>7.1728096778411578E-3</v>
      </c>
      <c r="ED142" s="22">
        <f t="shared" si="126"/>
        <v>28.184331073842625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67.936300138407873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-9.9475983006414026E-14</v>
      </c>
      <c r="EK142" s="17">
        <f>EJ142*VLOOKUP('Données projet'!$B$15,Paramètres!$A$1:$I$89,3,0)*VLOOKUP('Données projet'!$B$15,Paramètres!$A$1:$I$89,5,0)</f>
        <v>-1.0707594810810407E-13</v>
      </c>
      <c r="EL142" s="13" t="e">
        <f t="shared" si="153"/>
        <v>#NUM!</v>
      </c>
      <c r="EM142" s="20" t="e">
        <f t="shared" si="127"/>
        <v>#NUM!</v>
      </c>
      <c r="EN142" s="59" t="e">
        <f t="shared" si="128"/>
        <v>#NUM!</v>
      </c>
      <c r="EO142" s="59">
        <f ca="1">AVERAGE(OFFSET($EN$3,0,0,'Données projet'!$E$15+1,1))-AVERAGE(OFFSET($H$3,0,0,'Données projet'!$E$15+1,1))</f>
        <v>212.00478362779876</v>
      </c>
      <c r="EP142" s="59">
        <f t="shared" si="154"/>
        <v>133.62262474506707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>
        <f>EXP(-LN(2)/35)*EV141+(1-EXP(-LN(2)/35))/(LN(2)/35)*ER142*ES142*VLOOKUP('Données projet'!$B$15,Paramètres!$A$1:$I$89,3,0)*0.475*44/12</f>
        <v>10.750328846209349</v>
      </c>
      <c r="EW142" s="21">
        <f>EXP(-LN(2)/25)*EW141+(1-EXP(-LN(2)/25))/(LN(2)/25)*Calculateur!ER142*Calculateur!ET142*VLOOKUP('Données projet'!$B$15,Paramètres!$A$1:$I$89,3,0)*0.475*44/12</f>
        <v>12.088045760316833</v>
      </c>
      <c r="EX142" s="21">
        <f>EXP(-LN(2)/2)*EX141+(1-EXP(-LN(2)/2))/(LN(2)/2)*ER142*EU142*VLOOKUP('Données projet'!$B$15,Paramètres!$A$1:$I$89,3,0)*0.475*44/12</f>
        <v>4.3415476414531771E-2</v>
      </c>
      <c r="EY142" s="22">
        <f t="shared" si="129"/>
        <v>22.881790082940711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67.936300138407873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-9.9475983006414026E-14</v>
      </c>
      <c r="FF142" s="17">
        <f>FE142*VLOOKUP('Données projet'!$B$16,Paramètres!$A$1:$I$89,3,0)*VLOOKUP('Données projet'!$B$16,Paramètres!$A$1:$I$89,5,0)</f>
        <v>-9.6213170763803652E-14</v>
      </c>
      <c r="FG142" s="13" t="e">
        <f t="shared" si="155"/>
        <v>#NUM!</v>
      </c>
      <c r="FH142" s="20" t="e">
        <f t="shared" si="130"/>
        <v>#NUM!</v>
      </c>
      <c r="FI142" s="59" t="e">
        <f t="shared" si="131"/>
        <v>#NUM!</v>
      </c>
      <c r="FJ142" s="59">
        <f ca="1">AVERAGE(OFFSET($FI$3,0,0,'Données projet'!$E$16+1,1))-AVERAGE(OFFSET($H$3,0,0,'Données projet'!$E$16+1,1))</f>
        <v>196.65742339093146</v>
      </c>
      <c r="FK142" s="59">
        <f t="shared" si="156"/>
        <v>125.41980634506001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>
        <f>EXP(-LN(2)/35)*FQ141+(1-EXP(-LN(2)/35))/(LN(2)/35)*FM142*FN142*VLOOKUP('Données projet'!$B$16,Paramètres!$A$1:$I$89,3,0)*0.475*44/12</f>
        <v>9.6597157748547797</v>
      </c>
      <c r="FR142" s="21">
        <f>EXP(-LN(2)/25)*FR141+(1-EXP(-LN(2)/25))/(LN(2)/25)*Calculateur!FM142*Calculateur!FO142*VLOOKUP('Données projet'!$B$16,Paramètres!$A$1:$I$89,3,0)*0.475*44/12</f>
        <v>10.861722277386143</v>
      </c>
      <c r="FS142" s="21">
        <f>EXP(-LN(2)/2)*FS141+(1-EXP(-LN(2)/2))/(LN(2)/2)*FM142*FP142*VLOOKUP('Données projet'!$B$16,Paramètres!$A$1:$I$89,3,0)*0.475*44/12</f>
        <v>3.9011007792767664E-2</v>
      </c>
      <c r="FT142" s="22">
        <f t="shared" si="132"/>
        <v>20.56044906003369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67.936300138407873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67.936300138407873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>
      <c r="A143" s="10">
        <f t="shared" si="139"/>
        <v>140</v>
      </c>
      <c r="B143" s="73">
        <f>'Scénario référence'!$B$16*5+'Scénario référence'!$B$17*0+'Scénario référence'!$B$18*5</f>
        <v>4.6999999999999993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7.4692800000000137</v>
      </c>
      <c r="D143" s="11">
        <f t="shared" si="140"/>
        <v>2.723837280148067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20.920356073612442</v>
      </c>
      <c r="H143" s="67">
        <f t="shared" si="110"/>
        <v>205.48634592959127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67.972100717264794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-2.2737367544323206E-13</v>
      </c>
      <c r="O143" s="13">
        <f>N143*VLOOKUP('Données projet'!$B$9,Paramètres!$A$1:$I$89,3,0)*VLOOKUP('Données projet'!$B$9,Paramètres!$A$1:$I$89,5,0)</f>
        <v>-1.3596945791505279E-13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366.93249569585623</v>
      </c>
      <c r="T143" s="59">
        <f t="shared" si="142"/>
        <v>272.47262353368501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46.708784771744938</v>
      </c>
      <c r="AA143" s="21">
        <f>EXP(-LN(2)/25)*AA142+(1-EXP(-LN(2)/25))/(LN(2)/25)*Calculateur!V143*Calculateur!X143*VLOOKUP('Données projet'!$B$9,Paramètres!$A$1:$I$89,3,0)*0.475*44/12</f>
        <v>9.8037253804694817</v>
      </c>
      <c r="AB143" s="21">
        <f>EXP(-LN(2)/2)*AB142+(1-EXP(-LN(2)/2))/(LN(2)/2)*V143*Y143*VLOOKUP('Données projet'!$B$9,Paramètres!$A$1:$I$89,3,0)*0.475*44/12</f>
        <v>6.5860005841784837E-8</v>
      </c>
      <c r="AC143" s="22">
        <f t="shared" si="111"/>
        <v>56.512510218074425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67.972100717264794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1.1368683772161603E-13</v>
      </c>
      <c r="AJ143" s="13">
        <f>AI143*VLOOKUP('Données projet'!$B$10,Paramètres!$A$1:$I$89,3,0)*VLOOKUP('Données projet'!$B$10,Paramètres!$A$1:$I$89,5,0)</f>
        <v>5.3205440053716299E-14</v>
      </c>
      <c r="AK143" s="13">
        <f t="shared" si="143"/>
        <v>8.602146238565607E-13</v>
      </c>
      <c r="AL143" s="20">
        <f t="shared" si="112"/>
        <v>1.590873277977066E-12</v>
      </c>
      <c r="AM143" s="59">
        <f t="shared" si="113"/>
        <v>285.89770262997251</v>
      </c>
      <c r="AN143" s="59">
        <f ca="1">AVERAGE(OFFSET($AM$3,0,0,'Données projet'!$E$10+1,1))-AVERAGE(OFFSET($H$3,0,0,'Données projet'!$E$10+1,1))</f>
        <v>382.89338473200229</v>
      </c>
      <c r="AO143" s="59">
        <f t="shared" si="144"/>
        <v>360.46248248971744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92.125841193209709</v>
      </c>
      <c r="AV143" s="21">
        <f>EXP(-LN(2)/25)*AV142+(1-EXP(-LN(2)/25))/(LN(2)/25)*Calculateur!AQ143*Calculateur!AS143*VLOOKUP('Données projet'!$B$10,Paramètres!$A$1:$I$89,3,0)*0.475*44/12</f>
        <v>20.634993037014883</v>
      </c>
      <c r="AW143" s="21">
        <f>EXP(-LN(2)/2)*AW142+(1-EXP(-LN(2)/2))/(LN(2)/2)*AQ143*AT143*VLOOKUP('Données projet'!$B$10,Paramètres!$A$1:$I$89,3,0)*0.475*44/12</f>
        <v>2.1162749158365121E-4</v>
      </c>
      <c r="AX143" s="21">
        <f t="shared" si="114"/>
        <v>112.76104585771617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67.972100717264794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>
        <f>BD143*VLOOKUP('Données projet'!$B$11,Paramètres!$A$1:$I$89,3,0)*VLOOKUP('Données projet'!$B$11,Paramètres!$A$1:$I$89,5,0)</f>
        <v>0</v>
      </c>
      <c r="BF143" s="13" t="e">
        <f t="shared" si="145"/>
        <v>#NUM!</v>
      </c>
      <c r="BG143" s="20" t="e">
        <f t="shared" si="115"/>
        <v>#NUM!</v>
      </c>
      <c r="BH143" s="59" t="e">
        <f t="shared" si="116"/>
        <v>#NUM!</v>
      </c>
      <c r="BI143" s="59">
        <f ca="1">AVERAGE(OFFSET($BH$3,0,0,'Données projet'!$E$11+1,1))-AVERAGE(OFFSET($H$3,0,0,'Données projet'!$E$11+1,1))</f>
        <v>225.75484198243581</v>
      </c>
      <c r="BJ143" s="59">
        <f t="shared" si="146"/>
        <v>199.49566488421061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3.3578333354108176</v>
      </c>
      <c r="BQ143" s="21">
        <f>EXP(-LN(2)/25)*BQ142+(1-EXP(-LN(2)/25))/(LN(2)/25)*Calculateur!BL143*Calculateur!BN143*VLOOKUP('Données projet'!$B$11,Paramètres!$A$1:$I$89,3,0)*0.475*44/12</f>
        <v>13.344493848419509</v>
      </c>
      <c r="BR143" s="21">
        <f>EXP(-LN(2)/2)*BR142+(1-EXP(-LN(2)/2))/(LN(2)/2)*BL143*BO143*VLOOKUP('Données projet'!$B$11,Paramètres!$A$1:$I$89,3,0)*0.475*44/12</f>
        <v>0</v>
      </c>
      <c r="BS143" s="22">
        <f t="shared" si="117"/>
        <v>16.702327183830327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67.972100717264794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1.1368683772161603E-13</v>
      </c>
      <c r="BZ143" s="13">
        <f>BY143*VLOOKUP('Données projet'!$B$12,Paramètres!$A$1:$I$89,3,0)*VLOOKUP('Données projet'!$B$12,Paramètres!$A$1:$I$89,5,0)</f>
        <v>1.0818439477588981E-13</v>
      </c>
      <c r="CA143" s="13">
        <f t="shared" si="147"/>
        <v>1.6104228458716316E-12</v>
      </c>
      <c r="CB143" s="20">
        <f t="shared" si="118"/>
        <v>2.9932409441277661E-12</v>
      </c>
      <c r="CC143" s="59">
        <f t="shared" si="119"/>
        <v>285.89770262997394</v>
      </c>
      <c r="CD143" s="59">
        <f ca="1">AVERAGE(OFFSET($CC$3,0,0,'Données projet'!$E$12+1,1))-AVERAGE(OFFSET($H$3,0,0,'Données projet'!$E$12+1,1))</f>
        <v>413.9352601863377</v>
      </c>
      <c r="CE143" s="59">
        <f t="shared" si="148"/>
        <v>255.13997349799286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30.950376432718556</v>
      </c>
      <c r="CL143" s="21">
        <f>EXP(-LN(2)/25)*CL142+(1-EXP(-LN(2)/25))/(LN(2)/25)*Calculateur!CG143*Calculateur!CI143*VLOOKUP('Données projet'!$B$12,Paramètres!$A$1:$I$89,3,0)*0.475*44/12</f>
        <v>26.548744757824402</v>
      </c>
      <c r="CM143" s="21">
        <f>EXP(-LN(2)/2)*CM142+(1-EXP(-LN(2)/2))/(LN(2)/2)*CG143*CJ143*VLOOKUP('Données projet'!$B$12,Paramètres!$A$1:$I$89,3,0)*0.475*44/12</f>
        <v>6.3330519095805379E-2</v>
      </c>
      <c r="CN143" s="22">
        <f t="shared" si="120"/>
        <v>57.562451709638765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67.972100717264794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2.8421709430404007E-14</v>
      </c>
      <c r="CU143" s="17">
        <f>CT143*VLOOKUP('Données projet'!$B$13,Paramètres!$A$1:$I$89,3,0)*VLOOKUP('Données projet'!$B$13,Paramètres!$A$1:$I$89,5,0)</f>
        <v>2.4829205358400945E-14</v>
      </c>
      <c r="CV143" s="13">
        <f t="shared" si="149"/>
        <v>4.3867331143352915E-13</v>
      </c>
      <c r="CW143" s="20">
        <f t="shared" si="121"/>
        <v>8.0726688341261168E-13</v>
      </c>
      <c r="CX143" s="59">
        <f t="shared" si="122"/>
        <v>285.89770262997172</v>
      </c>
      <c r="CY143" s="59">
        <f ca="1">AVERAGE(OFFSET($CX$3,0,0,'Données projet'!$E$13+1,1))-AVERAGE(OFFSET($H$3,0,0,'Données projet'!$E$13+1,1))</f>
        <v>280.59827778697775</v>
      </c>
      <c r="CZ143" s="59">
        <f t="shared" si="150"/>
        <v>270.86588231964726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>
        <f>EXP(-LN(2)/35)*DF142+(1-EXP(-LN(2)/35))/(LN(2)/35)*DB143*DC143*VLOOKUP('Données projet'!$B$13,Paramètres!$A$1:$I$89,3,0)*0.475*44/12</f>
        <v>10.052657391223075</v>
      </c>
      <c r="DG143" s="21">
        <f>EXP(-LN(2)/25)*DG142+(1-EXP(-LN(2)/25))/(LN(2)/25)*Calculateur!DB143*Calculateur!DD143*VLOOKUP('Données projet'!$B$13,Paramètres!$A$1:$I$89,3,0)*0.475*44/12</f>
        <v>6.9146935026230851</v>
      </c>
      <c r="DH143" s="21">
        <f>EXP(-LN(2)/2)*DH142+(1-EXP(-LN(2)/2))/(LN(2)/2)*DB143*DE143*VLOOKUP('Données projet'!$B$13,Paramètres!$A$1:$I$89,3,0)*0.475*44/12</f>
        <v>4.2325297035861875E-8</v>
      </c>
      <c r="DI143" s="22">
        <f t="shared" si="123"/>
        <v>16.967350936171457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67.972100717264794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>
        <f>DO143*VLOOKUP('Données projet'!$B$14,Paramètres!$A$1:$I$89,3,0)*VLOOKUP('Données projet'!$B$14,Paramètres!$A$1:$I$89,5,0)</f>
        <v>0</v>
      </c>
      <c r="DQ143" s="13" t="e">
        <f t="shared" si="151"/>
        <v>#NUM!</v>
      </c>
      <c r="DR143" s="20" t="e">
        <f t="shared" si="124"/>
        <v>#NUM!</v>
      </c>
      <c r="DS143" s="59" t="e">
        <f t="shared" si="125"/>
        <v>#NUM!</v>
      </c>
      <c r="DT143" s="59">
        <f ca="1">AVERAGE(OFFSET($DS$3,0,0,'Données projet'!$E$14+1,1))-AVERAGE(OFFSET($H$3,0,0,'Données projet'!$E$14+1,1))</f>
        <v>211.42385430331873</v>
      </c>
      <c r="DU143" s="59">
        <f t="shared" si="152"/>
        <v>146.84623106782686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>
        <f>EXP(-LN(2)/35)*EA142+(1-EXP(-LN(2)/35))/(LN(2)/35)*DW143*DX143*VLOOKUP('Données projet'!$B$14,Paramètres!$A$1:$I$89,3,0)*0.475*44/12</f>
        <v>14.787437091629522</v>
      </c>
      <c r="EB143" s="21">
        <f>EXP(-LN(2)/25)*EB142+(1-EXP(-LN(2)/25))/(LN(2)/25)*Calculateur!DW143*Calculateur!DY143*VLOOKUP('Données projet'!$B$14,Paramètres!$A$1:$I$89,3,0)*0.475*44/12</f>
        <v>12.735893917579066</v>
      </c>
      <c r="EC143" s="21">
        <f>EXP(-LN(2)/2)*EC142+(1-EXP(-LN(2)/2))/(LN(2)/2)*DW143*DZ143*VLOOKUP('Données projet'!$B$14,Paramètres!$A$1:$I$89,3,0)*0.475*44/12</f>
        <v>5.0719423633619779E-3</v>
      </c>
      <c r="ED143" s="22">
        <f t="shared" si="126"/>
        <v>27.528402951571952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67.972100717264794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-9.9475983006414026E-14</v>
      </c>
      <c r="EK143" s="17">
        <f>EJ143*VLOOKUP('Données projet'!$B$15,Paramètres!$A$1:$I$89,3,0)*VLOOKUP('Données projet'!$B$15,Paramètres!$A$1:$I$89,5,0)</f>
        <v>-1.0707594810810407E-13</v>
      </c>
      <c r="EL143" s="13" t="e">
        <f t="shared" si="153"/>
        <v>#NUM!</v>
      </c>
      <c r="EM143" s="20" t="e">
        <f t="shared" si="127"/>
        <v>#NUM!</v>
      </c>
      <c r="EN143" s="59" t="e">
        <f t="shared" si="128"/>
        <v>#NUM!</v>
      </c>
      <c r="EO143" s="59">
        <f ca="1">AVERAGE(OFFSET($EN$3,0,0,'Données projet'!$E$15+1,1))-AVERAGE(OFFSET($H$3,0,0,'Données projet'!$E$15+1,1))</f>
        <v>212.00478362779876</v>
      </c>
      <c r="EP143" s="59">
        <f t="shared" si="154"/>
        <v>133.62262474506707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>
        <f>EXP(-LN(2)/35)*EV142+(1-EXP(-LN(2)/35))/(LN(2)/35)*ER143*ES143*VLOOKUP('Données projet'!$B$15,Paramètres!$A$1:$I$89,3,0)*0.475*44/12</f>
        <v>10.539521454588325</v>
      </c>
      <c r="EW143" s="21">
        <f>EXP(-LN(2)/25)*EW142+(1-EXP(-LN(2)/25))/(LN(2)/25)*Calculateur!ER143*Calculateur!ET143*VLOOKUP('Données projet'!$B$15,Paramètres!$A$1:$I$89,3,0)*0.475*44/12</f>
        <v>11.75749751331827</v>
      </c>
      <c r="EX143" s="21">
        <f>EXP(-LN(2)/2)*EX142+(1-EXP(-LN(2)/2))/(LN(2)/2)*ER143*EU143*VLOOKUP('Données projet'!$B$15,Paramètres!$A$1:$I$89,3,0)*0.475*44/12</f>
        <v>3.0699377781160036E-2</v>
      </c>
      <c r="EY143" s="22">
        <f t="shared" si="129"/>
        <v>22.327718345687757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67.972100717264794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-9.9475983006414026E-14</v>
      </c>
      <c r="FF143" s="17">
        <f>FE143*VLOOKUP('Données projet'!$B$16,Paramètres!$A$1:$I$89,3,0)*VLOOKUP('Données projet'!$B$16,Paramètres!$A$1:$I$89,5,0)</f>
        <v>-9.6213170763803652E-14</v>
      </c>
      <c r="FG143" s="13" t="e">
        <f t="shared" si="155"/>
        <v>#NUM!</v>
      </c>
      <c r="FH143" s="20" t="e">
        <f t="shared" si="130"/>
        <v>#NUM!</v>
      </c>
      <c r="FI143" s="59" t="e">
        <f t="shared" si="131"/>
        <v>#NUM!</v>
      </c>
      <c r="FJ143" s="59">
        <f ca="1">AVERAGE(OFFSET($FI$3,0,0,'Données projet'!$E$16+1,1))-AVERAGE(OFFSET($H$3,0,0,'Données projet'!$E$16+1,1))</f>
        <v>196.65742339093146</v>
      </c>
      <c r="FK143" s="59">
        <f t="shared" si="156"/>
        <v>125.41980634506001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>
        <f>EXP(-LN(2)/35)*FQ142+(1-EXP(-LN(2)/35))/(LN(2)/35)*FM143*FN143*VLOOKUP('Données projet'!$B$16,Paramètres!$A$1:$I$89,3,0)*0.475*44/12</f>
        <v>9.4702946403547283</v>
      </c>
      <c r="FR143" s="21">
        <f>EXP(-LN(2)/25)*FR142+(1-EXP(-LN(2)/25))/(LN(2)/25)*Calculateur!FM143*Calculateur!FO143*VLOOKUP('Données projet'!$B$16,Paramètres!$A$1:$I$89,3,0)*0.475*44/12</f>
        <v>10.564707910517869</v>
      </c>
      <c r="FS143" s="21">
        <f>EXP(-LN(2)/2)*FS142+(1-EXP(-LN(2)/2))/(LN(2)/2)*FM143*FP143*VLOOKUP('Données projet'!$B$16,Paramètres!$A$1:$I$89,3,0)*0.475*44/12</f>
        <v>2.7584948151187266E-2</v>
      </c>
      <c r="FT143" s="22">
        <f t="shared" si="132"/>
        <v>20.062587499023785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67.972100717264794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67.972100717264794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>
      <c r="A144" s="10">
        <f t="shared" si="139"/>
        <v>141</v>
      </c>
      <c r="B144" s="73">
        <f>'Scénario référence'!$B$16*5+'Scénario référence'!$B$17*0+'Scénario référence'!$B$18*5</f>
        <v>4.6999999999999993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7.522632000000014</v>
      </c>
      <c r="D144" s="11">
        <f t="shared" si="140"/>
        <v>2.7410214568361284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20.953025460710073</v>
      </c>
      <c r="H144" s="67">
        <f t="shared" si="110"/>
        <v>205.60919643732296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68.007280236116642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-2.2737367544323206E-13</v>
      </c>
      <c r="O144" s="13">
        <f>N144*VLOOKUP('Données projet'!$B$9,Paramètres!$A$1:$I$89,3,0)*VLOOKUP('Données projet'!$B$9,Paramètres!$A$1:$I$89,5,0)</f>
        <v>-1.3596945791505279E-13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366.93249569585623</v>
      </c>
      <c r="T144" s="59">
        <f t="shared" si="142"/>
        <v>272.47262353368501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45.792853991916623</v>
      </c>
      <c r="AA144" s="21">
        <f>EXP(-LN(2)/25)*AA143+(1-EXP(-LN(2)/25))/(LN(2)/25)*Calculateur!V144*Calculateur!X144*VLOOKUP('Données projet'!$B$9,Paramètres!$A$1:$I$89,3,0)*0.475*44/12</f>
        <v>9.535641994385033</v>
      </c>
      <c r="AB144" s="21">
        <f>EXP(-LN(2)/2)*AB143+(1-EXP(-LN(2)/2))/(LN(2)/2)*V144*Y144*VLOOKUP('Données projet'!$B$9,Paramètres!$A$1:$I$89,3,0)*0.475*44/12</f>
        <v>4.6570056739711693E-8</v>
      </c>
      <c r="AC144" s="22">
        <f t="shared" si="111"/>
        <v>55.328496032871712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68.007280236116642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1.1368683772161603E-13</v>
      </c>
      <c r="AJ144" s="13">
        <f>AI144*VLOOKUP('Données projet'!$B$10,Paramètres!$A$1:$I$89,3,0)*VLOOKUP('Données projet'!$B$10,Paramètres!$A$1:$I$89,5,0)</f>
        <v>5.3205440053716299E-14</v>
      </c>
      <c r="AK144" s="13">
        <f t="shared" si="143"/>
        <v>8.602146238565607E-13</v>
      </c>
      <c r="AL144" s="20">
        <f t="shared" si="112"/>
        <v>1.590873277977066E-12</v>
      </c>
      <c r="AM144" s="59">
        <f t="shared" si="113"/>
        <v>286.02669419909597</v>
      </c>
      <c r="AN144" s="59">
        <f ca="1">AVERAGE(OFFSET($AM$3,0,0,'Données projet'!$E$10+1,1))-AVERAGE(OFFSET($H$3,0,0,'Données projet'!$E$10+1,1))</f>
        <v>382.89338473200229</v>
      </c>
      <c r="AO144" s="59">
        <f t="shared" si="144"/>
        <v>360.46248248971744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90.319309638625569</v>
      </c>
      <c r="AV144" s="21">
        <f>EXP(-LN(2)/25)*AV143+(1-EXP(-LN(2)/25))/(LN(2)/25)*Calculateur!AQ144*Calculateur!AS144*VLOOKUP('Données projet'!$B$10,Paramètres!$A$1:$I$89,3,0)*0.475*44/12</f>
        <v>20.07072806727059</v>
      </c>
      <c r="AW144" s="21">
        <f>EXP(-LN(2)/2)*AW143+(1-EXP(-LN(2)/2))/(LN(2)/2)*AQ144*AT144*VLOOKUP('Données projet'!$B$10,Paramètres!$A$1:$I$89,3,0)*0.475*44/12</f>
        <v>1.4964323438429878E-4</v>
      </c>
      <c r="AX144" s="21">
        <f t="shared" si="114"/>
        <v>110.39018734913054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68.007280236116642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>
        <f>BD144*VLOOKUP('Données projet'!$B$11,Paramètres!$A$1:$I$89,3,0)*VLOOKUP('Données projet'!$B$11,Paramètres!$A$1:$I$89,5,0)</f>
        <v>0</v>
      </c>
      <c r="BF144" s="13" t="e">
        <f t="shared" si="145"/>
        <v>#NUM!</v>
      </c>
      <c r="BG144" s="20" t="e">
        <f t="shared" si="115"/>
        <v>#NUM!</v>
      </c>
      <c r="BH144" s="59" t="e">
        <f t="shared" si="116"/>
        <v>#NUM!</v>
      </c>
      <c r="BI144" s="59">
        <f ca="1">AVERAGE(OFFSET($BH$3,0,0,'Données projet'!$E$11+1,1))-AVERAGE(OFFSET($H$3,0,0,'Données projet'!$E$11+1,1))</f>
        <v>225.75484198243581</v>
      </c>
      <c r="BJ144" s="59">
        <f t="shared" si="146"/>
        <v>199.49566488421061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3.2919882717795153</v>
      </c>
      <c r="BQ144" s="21">
        <f>EXP(-LN(2)/25)*BQ143+(1-EXP(-LN(2)/25))/(LN(2)/25)*Calculateur!BL144*Calculateur!BN144*VLOOKUP('Données projet'!$B$11,Paramètres!$A$1:$I$89,3,0)*0.475*44/12</f>
        <v>12.979587962378044</v>
      </c>
      <c r="BR144" s="21">
        <f>EXP(-LN(2)/2)*BR143+(1-EXP(-LN(2)/2))/(LN(2)/2)*BL144*BO144*VLOOKUP('Données projet'!$B$11,Paramètres!$A$1:$I$89,3,0)*0.475*44/12</f>
        <v>0</v>
      </c>
      <c r="BS144" s="22">
        <f t="shared" si="117"/>
        <v>16.27157623415756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68.007280236116642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1.1368683772161603E-13</v>
      </c>
      <c r="BZ144" s="13">
        <f>BY144*VLOOKUP('Données projet'!$B$12,Paramètres!$A$1:$I$89,3,0)*VLOOKUP('Données projet'!$B$12,Paramètres!$A$1:$I$89,5,0)</f>
        <v>1.0818439477588981E-13</v>
      </c>
      <c r="CA144" s="13">
        <f t="shared" si="147"/>
        <v>1.6104228458716316E-12</v>
      </c>
      <c r="CB144" s="20">
        <f t="shared" si="118"/>
        <v>2.9932409441277661E-12</v>
      </c>
      <c r="CC144" s="59">
        <f t="shared" si="119"/>
        <v>286.02669419909739</v>
      </c>
      <c r="CD144" s="59">
        <f ca="1">AVERAGE(OFFSET($CC$3,0,0,'Données projet'!$E$12+1,1))-AVERAGE(OFFSET($H$3,0,0,'Données projet'!$E$12+1,1))</f>
        <v>413.9352601863377</v>
      </c>
      <c r="CE144" s="59">
        <f t="shared" si="148"/>
        <v>255.13997349799286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30.343458428738536</v>
      </c>
      <c r="CL144" s="21">
        <f>EXP(-LN(2)/25)*CL143+(1-EXP(-LN(2)/25))/(LN(2)/25)*Calculateur!CG144*Calculateur!CI144*VLOOKUP('Données projet'!$B$12,Paramètres!$A$1:$I$89,3,0)*0.475*44/12</f>
        <v>25.822767936283885</v>
      </c>
      <c r="CM144" s="21">
        <f>EXP(-LN(2)/2)*CM143+(1-EXP(-LN(2)/2))/(LN(2)/2)*CG144*CJ144*VLOOKUP('Données projet'!$B$12,Paramètres!$A$1:$I$89,3,0)*0.475*44/12</f>
        <v>4.4781439508708124E-2</v>
      </c>
      <c r="CN144" s="22">
        <f t="shared" si="120"/>
        <v>56.211007804531135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68.007280236116642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2.8421709430404007E-14</v>
      </c>
      <c r="CU144" s="17">
        <f>CT144*VLOOKUP('Données projet'!$B$13,Paramètres!$A$1:$I$89,3,0)*VLOOKUP('Données projet'!$B$13,Paramètres!$A$1:$I$89,5,0)</f>
        <v>2.4829205358400945E-14</v>
      </c>
      <c r="CV144" s="13">
        <f t="shared" si="149"/>
        <v>4.3867331143352915E-13</v>
      </c>
      <c r="CW144" s="20">
        <f t="shared" si="121"/>
        <v>8.0726688341261168E-13</v>
      </c>
      <c r="CX144" s="59">
        <f t="shared" si="122"/>
        <v>286.02669419909518</v>
      </c>
      <c r="CY144" s="59">
        <f ca="1">AVERAGE(OFFSET($CX$3,0,0,'Données projet'!$E$13+1,1))-AVERAGE(OFFSET($H$3,0,0,'Données projet'!$E$13+1,1))</f>
        <v>280.59827778697775</v>
      </c>
      <c r="CZ144" s="59">
        <f t="shared" si="150"/>
        <v>270.86588231964726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>
        <f>EXP(-LN(2)/35)*DF143+(1-EXP(-LN(2)/35))/(LN(2)/35)*DB144*DC144*VLOOKUP('Données projet'!$B$13,Paramètres!$A$1:$I$89,3,0)*0.475*44/12</f>
        <v>9.8555309112967624</v>
      </c>
      <c r="DG144" s="21">
        <f>EXP(-LN(2)/25)*DG143+(1-EXP(-LN(2)/25))/(LN(2)/25)*Calculateur!DB144*Calculateur!DD144*VLOOKUP('Données projet'!$B$13,Paramètres!$A$1:$I$89,3,0)*0.475*44/12</f>
        <v>6.7256108451659289</v>
      </c>
      <c r="DH144" s="21">
        <f>EXP(-LN(2)/2)*DH143+(1-EXP(-LN(2)/2))/(LN(2)/2)*DB144*DE144*VLOOKUP('Données projet'!$B$13,Paramètres!$A$1:$I$89,3,0)*0.475*44/12</f>
        <v>2.9928504549792811E-8</v>
      </c>
      <c r="DI144" s="22">
        <f t="shared" si="123"/>
        <v>16.581141786391196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68.007280236116642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>
        <f>DO144*VLOOKUP('Données projet'!$B$14,Paramètres!$A$1:$I$89,3,0)*VLOOKUP('Données projet'!$B$14,Paramètres!$A$1:$I$89,5,0)</f>
        <v>0</v>
      </c>
      <c r="DQ144" s="13" t="e">
        <f t="shared" si="151"/>
        <v>#NUM!</v>
      </c>
      <c r="DR144" s="20" t="e">
        <f t="shared" si="124"/>
        <v>#NUM!</v>
      </c>
      <c r="DS144" s="59" t="e">
        <f t="shared" si="125"/>
        <v>#NUM!</v>
      </c>
      <c r="DT144" s="59">
        <f ca="1">AVERAGE(OFFSET($DS$3,0,0,'Données projet'!$E$14+1,1))-AVERAGE(OFFSET($H$3,0,0,'Données projet'!$E$14+1,1))</f>
        <v>211.42385430331873</v>
      </c>
      <c r="DU144" s="59">
        <f t="shared" si="152"/>
        <v>146.84623106782686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>
        <f>EXP(-LN(2)/35)*EA143+(1-EXP(-LN(2)/35))/(LN(2)/35)*DW144*DX144*VLOOKUP('Données projet'!$B$14,Paramètres!$A$1:$I$89,3,0)*0.475*44/12</f>
        <v>14.497464469708698</v>
      </c>
      <c r="EB144" s="21">
        <f>EXP(-LN(2)/25)*EB143+(1-EXP(-LN(2)/25))/(LN(2)/25)*Calculateur!DW144*Calculateur!DY144*VLOOKUP('Données projet'!$B$14,Paramètres!$A$1:$I$89,3,0)*0.475*44/12</f>
        <v>12.387630228651313</v>
      </c>
      <c r="EC144" s="21">
        <f>EXP(-LN(2)/2)*EC143+(1-EXP(-LN(2)/2))/(LN(2)/2)*DW144*DZ144*VLOOKUP('Données projet'!$B$14,Paramètres!$A$1:$I$89,3,0)*0.475*44/12</f>
        <v>3.5864048389205789E-3</v>
      </c>
      <c r="ED144" s="22">
        <f t="shared" si="126"/>
        <v>26.88868110319893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68.007280236116642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-9.9475983006414026E-14</v>
      </c>
      <c r="EK144" s="17">
        <f>EJ144*VLOOKUP('Données projet'!$B$15,Paramètres!$A$1:$I$89,3,0)*VLOOKUP('Données projet'!$B$15,Paramètres!$A$1:$I$89,5,0)</f>
        <v>-1.0707594810810407E-13</v>
      </c>
      <c r="EL144" s="13" t="e">
        <f t="shared" si="153"/>
        <v>#NUM!</v>
      </c>
      <c r="EM144" s="20" t="e">
        <f t="shared" si="127"/>
        <v>#NUM!</v>
      </c>
      <c r="EN144" s="59" t="e">
        <f t="shared" si="128"/>
        <v>#NUM!</v>
      </c>
      <c r="EO144" s="59">
        <f ca="1">AVERAGE(OFFSET($EN$3,0,0,'Données projet'!$E$15+1,1))-AVERAGE(OFFSET($H$3,0,0,'Données projet'!$E$15+1,1))</f>
        <v>212.00478362779876</v>
      </c>
      <c r="EP144" s="59">
        <f t="shared" si="154"/>
        <v>133.62262474506707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>
        <f>EXP(-LN(2)/35)*EV143+(1-EXP(-LN(2)/35))/(LN(2)/35)*ER144*ES144*VLOOKUP('Données projet'!$B$15,Paramètres!$A$1:$I$89,3,0)*0.475*44/12</f>
        <v>10.332847867337176</v>
      </c>
      <c r="EW144" s="21">
        <f>EXP(-LN(2)/25)*EW143+(1-EXP(-LN(2)/25))/(LN(2)/25)*Calculateur!ER144*Calculateur!ET144*VLOOKUP('Données projet'!$B$15,Paramètres!$A$1:$I$89,3,0)*0.475*44/12</f>
        <v>11.43598812551666</v>
      </c>
      <c r="EX144" s="21">
        <f>EXP(-LN(2)/2)*EX143+(1-EXP(-LN(2)/2))/(LN(2)/2)*ER144*EU144*VLOOKUP('Données projet'!$B$15,Paramètres!$A$1:$I$89,3,0)*0.475*44/12</f>
        <v>2.1707738207265889E-2</v>
      </c>
      <c r="EY144" s="22">
        <f t="shared" si="129"/>
        <v>21.790543731061103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68.007280236116642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-9.9475983006414026E-14</v>
      </c>
      <c r="FF144" s="17">
        <f>FE144*VLOOKUP('Données projet'!$B$16,Paramètres!$A$1:$I$89,3,0)*VLOOKUP('Données projet'!$B$16,Paramètres!$A$1:$I$89,5,0)</f>
        <v>-9.6213170763803652E-14</v>
      </c>
      <c r="FG144" s="13" t="e">
        <f t="shared" si="155"/>
        <v>#NUM!</v>
      </c>
      <c r="FH144" s="20" t="e">
        <f t="shared" si="130"/>
        <v>#NUM!</v>
      </c>
      <c r="FI144" s="59" t="e">
        <f t="shared" si="131"/>
        <v>#NUM!</v>
      </c>
      <c r="FJ144" s="59">
        <f ca="1">AVERAGE(OFFSET($FI$3,0,0,'Données projet'!$E$16+1,1))-AVERAGE(OFFSET($H$3,0,0,'Données projet'!$E$16+1,1))</f>
        <v>196.65742339093146</v>
      </c>
      <c r="FK144" s="59">
        <f t="shared" si="156"/>
        <v>125.41980634506001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>
        <f>EXP(-LN(2)/35)*FQ143+(1-EXP(-LN(2)/35))/(LN(2)/35)*FM144*FN144*VLOOKUP('Données projet'!$B$16,Paramètres!$A$1:$I$89,3,0)*0.475*44/12</f>
        <v>9.2845879387667392</v>
      </c>
      <c r="FR144" s="21">
        <f>EXP(-LN(2)/25)*FR143+(1-EXP(-LN(2)/25))/(LN(2)/25)*Calculateur!FM144*Calculateur!FO144*VLOOKUP('Données projet'!$B$16,Paramètres!$A$1:$I$89,3,0)*0.475*44/12</f>
        <v>10.275815417130914</v>
      </c>
      <c r="FS144" s="21">
        <f>EXP(-LN(2)/2)*FS143+(1-EXP(-LN(2)/2))/(LN(2)/2)*FM144*FP144*VLOOKUP('Données projet'!$B$16,Paramètres!$A$1:$I$89,3,0)*0.475*44/12</f>
        <v>1.9505503896383832E-2</v>
      </c>
      <c r="FT144" s="22">
        <f t="shared" si="132"/>
        <v>19.579908859794038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68.007280236116642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68.007280236116642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>
      <c r="A145" s="10">
        <f t="shared" si="139"/>
        <v>142</v>
      </c>
      <c r="B145" s="73">
        <f>'Scénario référence'!$B$16*5+'Scénario référence'!$B$17*0+'Scénario référence'!$B$18*5</f>
        <v>4.6999999999999993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7.5759840000000143</v>
      </c>
      <c r="D145" s="11">
        <f t="shared" si="140"/>
        <v>2.7581914531660821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20.985688280062892</v>
      </c>
      <c r="H145" s="67">
        <f t="shared" si="110"/>
        <v>205.73202224759763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68.041849468966049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-2.2737367544323206E-13</v>
      </c>
      <c r="O145" s="13">
        <f>N145*VLOOKUP('Données projet'!$B$9,Paramètres!$A$1:$I$89,3,0)*VLOOKUP('Données projet'!$B$9,Paramètres!$A$1:$I$89,5,0)</f>
        <v>-1.3596945791505279E-13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366.93249569585623</v>
      </c>
      <c r="T145" s="59">
        <f t="shared" si="142"/>
        <v>272.47262353368501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44.894884056018128</v>
      </c>
      <c r="AA145" s="21">
        <f>EXP(-LN(2)/25)*AA144+(1-EXP(-LN(2)/25))/(LN(2)/25)*Calculateur!V145*Calculateur!X145*VLOOKUP('Données projet'!$B$9,Paramètres!$A$1:$I$89,3,0)*0.475*44/12</f>
        <v>9.2748893625909563</v>
      </c>
      <c r="AB145" s="21">
        <f>EXP(-LN(2)/2)*AB144+(1-EXP(-LN(2)/2))/(LN(2)/2)*V145*Y145*VLOOKUP('Données projet'!$B$9,Paramètres!$A$1:$I$89,3,0)*0.475*44/12</f>
        <v>3.2930002920892419E-8</v>
      </c>
      <c r="AC145" s="22">
        <f t="shared" si="111"/>
        <v>54.169773451539086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68.041849468966049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1.1368683772161603E-13</v>
      </c>
      <c r="AJ145" s="13">
        <f>AI145*VLOOKUP('Données projet'!$B$10,Paramètres!$A$1:$I$89,3,0)*VLOOKUP('Données projet'!$B$10,Paramètres!$A$1:$I$89,5,0)</f>
        <v>5.3205440053716299E-14</v>
      </c>
      <c r="AK145" s="13">
        <f t="shared" si="143"/>
        <v>8.602146238565607E-13</v>
      </c>
      <c r="AL145" s="20">
        <f t="shared" si="112"/>
        <v>1.590873277977066E-12</v>
      </c>
      <c r="AM145" s="59">
        <f t="shared" si="113"/>
        <v>286.15344805287708</v>
      </c>
      <c r="AN145" s="59">
        <f ca="1">AVERAGE(OFFSET($AM$3,0,0,'Données projet'!$E$10+1,1))-AVERAGE(OFFSET($H$3,0,0,'Données projet'!$E$10+1,1))</f>
        <v>382.89338473200229</v>
      </c>
      <c r="AO145" s="59">
        <f t="shared" si="144"/>
        <v>360.46248248971744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88.548203065951384</v>
      </c>
      <c r="AV145" s="21">
        <f>EXP(-LN(2)/25)*AV144+(1-EXP(-LN(2)/25))/(LN(2)/25)*Calculateur!AQ145*Calculateur!AS145*VLOOKUP('Données projet'!$B$10,Paramètres!$A$1:$I$89,3,0)*0.475*44/12</f>
        <v>19.521892952797359</v>
      </c>
      <c r="AW145" s="21">
        <f>EXP(-LN(2)/2)*AW144+(1-EXP(-LN(2)/2))/(LN(2)/2)*AQ145*AT145*VLOOKUP('Données projet'!$B$10,Paramètres!$A$1:$I$89,3,0)*0.475*44/12</f>
        <v>1.0581374579182561E-4</v>
      </c>
      <c r="AX145" s="21">
        <f t="shared" si="114"/>
        <v>108.07020183249453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68.041849468966049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>
        <f>BD145*VLOOKUP('Données projet'!$B$11,Paramètres!$A$1:$I$89,3,0)*VLOOKUP('Données projet'!$B$11,Paramètres!$A$1:$I$89,5,0)</f>
        <v>0</v>
      </c>
      <c r="BF145" s="13" t="e">
        <f t="shared" si="145"/>
        <v>#NUM!</v>
      </c>
      <c r="BG145" s="20" t="e">
        <f t="shared" si="115"/>
        <v>#NUM!</v>
      </c>
      <c r="BH145" s="59" t="e">
        <f t="shared" si="116"/>
        <v>#NUM!</v>
      </c>
      <c r="BI145" s="59">
        <f ca="1">AVERAGE(OFFSET($BH$3,0,0,'Données projet'!$E$11+1,1))-AVERAGE(OFFSET($H$3,0,0,'Données projet'!$E$11+1,1))</f>
        <v>225.75484198243581</v>
      </c>
      <c r="BJ145" s="59">
        <f t="shared" si="146"/>
        <v>199.49566488421061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3.2274343896844995</v>
      </c>
      <c r="BQ145" s="21">
        <f>EXP(-LN(2)/25)*BQ144+(1-EXP(-LN(2)/25))/(LN(2)/25)*Calculateur!BL145*Calculateur!BN145*VLOOKUP('Données projet'!$B$11,Paramètres!$A$1:$I$89,3,0)*0.475*44/12</f>
        <v>12.62466044697995</v>
      </c>
      <c r="BR145" s="21">
        <f>EXP(-LN(2)/2)*BR144+(1-EXP(-LN(2)/2))/(LN(2)/2)*BL145*BO145*VLOOKUP('Données projet'!$B$11,Paramètres!$A$1:$I$89,3,0)*0.475*44/12</f>
        <v>0</v>
      </c>
      <c r="BS145" s="22">
        <f t="shared" si="117"/>
        <v>15.852094836664449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68.041849468966049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1.1368683772161603E-13</v>
      </c>
      <c r="BZ145" s="13">
        <f>BY145*VLOOKUP('Données projet'!$B$12,Paramètres!$A$1:$I$89,3,0)*VLOOKUP('Données projet'!$B$12,Paramètres!$A$1:$I$89,5,0)</f>
        <v>1.0818439477588981E-13</v>
      </c>
      <c r="CA145" s="13">
        <f t="shared" si="147"/>
        <v>1.6104228458716316E-12</v>
      </c>
      <c r="CB145" s="20">
        <f t="shared" si="118"/>
        <v>2.9932409441277661E-12</v>
      </c>
      <c r="CC145" s="59">
        <f t="shared" si="119"/>
        <v>286.1534480528785</v>
      </c>
      <c r="CD145" s="59">
        <f ca="1">AVERAGE(OFFSET($CC$3,0,0,'Données projet'!$E$12+1,1))-AVERAGE(OFFSET($H$3,0,0,'Données projet'!$E$12+1,1))</f>
        <v>413.9352601863377</v>
      </c>
      <c r="CE145" s="59">
        <f t="shared" si="148"/>
        <v>255.13997349799286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29.748441716633135</v>
      </c>
      <c r="CL145" s="21">
        <f>EXP(-LN(2)/25)*CL144+(1-EXP(-LN(2)/25))/(LN(2)/25)*Calculateur!CG145*Calculateur!CI145*VLOOKUP('Données projet'!$B$12,Paramètres!$A$1:$I$89,3,0)*0.475*44/12</f>
        <v>25.116642989105856</v>
      </c>
      <c r="CM145" s="21">
        <f>EXP(-LN(2)/2)*CM144+(1-EXP(-LN(2)/2))/(LN(2)/2)*CG145*CJ145*VLOOKUP('Données projet'!$B$12,Paramètres!$A$1:$I$89,3,0)*0.475*44/12</f>
        <v>3.166525954790269E-2</v>
      </c>
      <c r="CN145" s="22">
        <f t="shared" si="120"/>
        <v>54.896749965286894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68.041849468966049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2.8421709430404007E-14</v>
      </c>
      <c r="CU145" s="17">
        <f>CT145*VLOOKUP('Données projet'!$B$13,Paramètres!$A$1:$I$89,3,0)*VLOOKUP('Données projet'!$B$13,Paramètres!$A$1:$I$89,5,0)</f>
        <v>2.4829205358400945E-14</v>
      </c>
      <c r="CV145" s="13">
        <f t="shared" si="149"/>
        <v>4.3867331143352915E-13</v>
      </c>
      <c r="CW145" s="20">
        <f t="shared" si="121"/>
        <v>8.0726688341261168E-13</v>
      </c>
      <c r="CX145" s="59">
        <f t="shared" si="122"/>
        <v>286.15344805287629</v>
      </c>
      <c r="CY145" s="59">
        <f ca="1">AVERAGE(OFFSET($CX$3,0,0,'Données projet'!$E$13+1,1))-AVERAGE(OFFSET($H$3,0,0,'Données projet'!$E$13+1,1))</f>
        <v>280.59827778697775</v>
      </c>
      <c r="CZ145" s="59">
        <f t="shared" si="150"/>
        <v>270.86588231964726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>
        <f>EXP(-LN(2)/35)*DF144+(1-EXP(-LN(2)/35))/(LN(2)/35)*DB145*DC145*VLOOKUP('Données projet'!$B$13,Paramètres!$A$1:$I$89,3,0)*0.475*44/12</f>
        <v>9.6622699614065244</v>
      </c>
      <c r="DG145" s="21">
        <f>EXP(-LN(2)/25)*DG144+(1-EXP(-LN(2)/25))/(LN(2)/25)*Calculateur!DB145*Calculateur!DD145*VLOOKUP('Données projet'!$B$13,Paramètres!$A$1:$I$89,3,0)*0.475*44/12</f>
        <v>6.5416986629203642</v>
      </c>
      <c r="DH145" s="21">
        <f>EXP(-LN(2)/2)*DH144+(1-EXP(-LN(2)/2))/(LN(2)/2)*DB145*DE145*VLOOKUP('Données projet'!$B$13,Paramètres!$A$1:$I$89,3,0)*0.475*44/12</f>
        <v>2.1162648517930938E-8</v>
      </c>
      <c r="DI145" s="22">
        <f t="shared" si="123"/>
        <v>16.203968645489539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68.041849468966049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>
        <f>DO145*VLOOKUP('Données projet'!$B$14,Paramètres!$A$1:$I$89,3,0)*VLOOKUP('Données projet'!$B$14,Paramètres!$A$1:$I$89,5,0)</f>
        <v>0</v>
      </c>
      <c r="DQ145" s="13" t="e">
        <f t="shared" si="151"/>
        <v>#NUM!</v>
      </c>
      <c r="DR145" s="20" t="e">
        <f t="shared" si="124"/>
        <v>#NUM!</v>
      </c>
      <c r="DS145" s="59" t="e">
        <f t="shared" si="125"/>
        <v>#NUM!</v>
      </c>
      <c r="DT145" s="59">
        <f ca="1">AVERAGE(OFFSET($DS$3,0,0,'Données projet'!$E$14+1,1))-AVERAGE(OFFSET($H$3,0,0,'Données projet'!$E$14+1,1))</f>
        <v>211.42385430331873</v>
      </c>
      <c r="DU145" s="59">
        <f t="shared" si="152"/>
        <v>146.84623106782686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>
        <f>EXP(-LN(2)/35)*EA144+(1-EXP(-LN(2)/35))/(LN(2)/35)*DW145*DX145*VLOOKUP('Données projet'!$B$14,Paramètres!$A$1:$I$89,3,0)*0.475*44/12</f>
        <v>14.213178034037904</v>
      </c>
      <c r="EB145" s="21">
        <f>EXP(-LN(2)/25)*EB144+(1-EXP(-LN(2)/25))/(LN(2)/25)*Calculateur!DW145*Calculateur!DY145*VLOOKUP('Données projet'!$B$14,Paramètres!$A$1:$I$89,3,0)*0.475*44/12</f>
        <v>12.048889828611681</v>
      </c>
      <c r="EC145" s="21">
        <f>EXP(-LN(2)/2)*EC144+(1-EXP(-LN(2)/2))/(LN(2)/2)*DW145*DZ145*VLOOKUP('Données projet'!$B$14,Paramètres!$A$1:$I$89,3,0)*0.475*44/12</f>
        <v>2.535971181680989E-3</v>
      </c>
      <c r="ED145" s="22">
        <f t="shared" si="126"/>
        <v>26.26460383383127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68.041849468966049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-9.9475983006414026E-14</v>
      </c>
      <c r="EK145" s="17">
        <f>EJ145*VLOOKUP('Données projet'!$B$15,Paramètres!$A$1:$I$89,3,0)*VLOOKUP('Données projet'!$B$15,Paramètres!$A$1:$I$89,5,0)</f>
        <v>-1.0707594810810407E-13</v>
      </c>
      <c r="EL145" s="13" t="e">
        <f t="shared" si="153"/>
        <v>#NUM!</v>
      </c>
      <c r="EM145" s="20" t="e">
        <f t="shared" si="127"/>
        <v>#NUM!</v>
      </c>
      <c r="EN145" s="59" t="e">
        <f t="shared" si="128"/>
        <v>#NUM!</v>
      </c>
      <c r="EO145" s="59">
        <f ca="1">AVERAGE(OFFSET($EN$3,0,0,'Données projet'!$E$15+1,1))-AVERAGE(OFFSET($H$3,0,0,'Données projet'!$E$15+1,1))</f>
        <v>212.00478362779876</v>
      </c>
      <c r="EP145" s="59">
        <f t="shared" si="154"/>
        <v>133.62262474506707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>
        <f>EXP(-LN(2)/35)*EV144+(1-EXP(-LN(2)/35))/(LN(2)/35)*ER145*ES145*VLOOKUP('Données projet'!$B$15,Paramètres!$A$1:$I$89,3,0)*0.475*44/12</f>
        <v>10.13022702307358</v>
      </c>
      <c r="EW145" s="21">
        <f>EXP(-LN(2)/25)*EW144+(1-EXP(-LN(2)/25))/(LN(2)/25)*Calculateur!ER145*Calculateur!ET145*VLOOKUP('Données projet'!$B$15,Paramètres!$A$1:$I$89,3,0)*0.475*44/12</f>
        <v>11.12327042883193</v>
      </c>
      <c r="EX145" s="21">
        <f>EXP(-LN(2)/2)*EX144+(1-EXP(-LN(2)/2))/(LN(2)/2)*ER145*EU145*VLOOKUP('Données projet'!$B$15,Paramètres!$A$1:$I$89,3,0)*0.475*44/12</f>
        <v>1.534968889058002E-2</v>
      </c>
      <c r="EY145" s="22">
        <f t="shared" si="129"/>
        <v>21.26884714079609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68.041849468966049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-9.9475983006414026E-14</v>
      </c>
      <c r="FF145" s="17">
        <f>FE145*VLOOKUP('Données projet'!$B$16,Paramètres!$A$1:$I$89,3,0)*VLOOKUP('Données projet'!$B$16,Paramètres!$A$1:$I$89,5,0)</f>
        <v>-9.6213170763803652E-14</v>
      </c>
      <c r="FG145" s="13" t="e">
        <f t="shared" si="155"/>
        <v>#NUM!</v>
      </c>
      <c r="FH145" s="20" t="e">
        <f t="shared" si="130"/>
        <v>#NUM!</v>
      </c>
      <c r="FI145" s="59" t="e">
        <f t="shared" si="131"/>
        <v>#NUM!</v>
      </c>
      <c r="FJ145" s="59">
        <f ca="1">AVERAGE(OFFSET($FI$3,0,0,'Données projet'!$E$16+1,1))-AVERAGE(OFFSET($H$3,0,0,'Données projet'!$E$16+1,1))</f>
        <v>196.65742339093146</v>
      </c>
      <c r="FK145" s="59">
        <f t="shared" si="156"/>
        <v>125.41980634506001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>
        <f>EXP(-LN(2)/35)*FQ144+(1-EXP(-LN(2)/35))/(LN(2)/35)*FM145*FN145*VLOOKUP('Données projet'!$B$16,Paramètres!$A$1:$I$89,3,0)*0.475*44/12</f>
        <v>9.1025228323269882</v>
      </c>
      <c r="FR145" s="21">
        <f>EXP(-LN(2)/25)*FR144+(1-EXP(-LN(2)/25))/(LN(2)/25)*Calculateur!FM145*Calculateur!FO145*VLOOKUP('Données projet'!$B$16,Paramètres!$A$1:$I$89,3,0)*0.475*44/12</f>
        <v>9.9948227041678219</v>
      </c>
      <c r="FS145" s="21">
        <f>EXP(-LN(2)/2)*FS144+(1-EXP(-LN(2)/2))/(LN(2)/2)*FM145*FP145*VLOOKUP('Données projet'!$B$16,Paramètres!$A$1:$I$89,3,0)*0.475*44/12</f>
        <v>1.3792474075593633E-2</v>
      </c>
      <c r="FT145" s="22">
        <f t="shared" si="132"/>
        <v>19.111138010570404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68.041849468966049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68.041849468966049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>
      <c r="A146" s="10">
        <f t="shared" si="139"/>
        <v>143</v>
      </c>
      <c r="B146" s="73">
        <f>'Scénario référence'!$B$16*5+'Scénario référence'!$B$17*0+'Scénario référence'!$B$18*5</f>
        <v>4.6999999999999993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7.6293360000000146</v>
      </c>
      <c r="D146" s="11">
        <f t="shared" si="140"/>
        <v>2.7753473805796673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21.018344583286027</v>
      </c>
      <c r="H146" s="67">
        <f t="shared" si="110"/>
        <v>205.85482355450964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68.075819002910734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-2.2737367544323206E-13</v>
      </c>
      <c r="O146" s="13">
        <f>N146*VLOOKUP('Données projet'!$B$9,Paramètres!$A$1:$I$89,3,0)*VLOOKUP('Données projet'!$B$9,Paramètres!$A$1:$I$89,5,0)</f>
        <v>-1.3596945791505279E-13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366.93249569585623</v>
      </c>
      <c r="T146" s="59">
        <f t="shared" si="142"/>
        <v>272.47262353368501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44.014522762855023</v>
      </c>
      <c r="AA146" s="21">
        <f>EXP(-LN(2)/25)*AA145+(1-EXP(-LN(2)/25))/(LN(2)/25)*Calculateur!V146*Calculateur!X146*VLOOKUP('Données projet'!$B$9,Paramètres!$A$1:$I$89,3,0)*0.475*44/12</f>
        <v>9.0212670252256739</v>
      </c>
      <c r="AB146" s="21">
        <f>EXP(-LN(2)/2)*AB145+(1-EXP(-LN(2)/2))/(LN(2)/2)*V146*Y146*VLOOKUP('Données projet'!$B$9,Paramètres!$A$1:$I$89,3,0)*0.475*44/12</f>
        <v>2.3285028369855847E-8</v>
      </c>
      <c r="AC146" s="22">
        <f t="shared" si="111"/>
        <v>53.035789811365724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68.075819002910734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1.1368683772161603E-13</v>
      </c>
      <c r="AJ146" s="13">
        <f>AI146*VLOOKUP('Données projet'!$B$10,Paramètres!$A$1:$I$89,3,0)*VLOOKUP('Données projet'!$B$10,Paramètres!$A$1:$I$89,5,0)</f>
        <v>5.3205440053716299E-14</v>
      </c>
      <c r="AK146" s="13">
        <f t="shared" si="143"/>
        <v>8.602146238565607E-13</v>
      </c>
      <c r="AL146" s="20">
        <f t="shared" si="112"/>
        <v>1.590873277977066E-12</v>
      </c>
      <c r="AM146" s="59">
        <f t="shared" si="113"/>
        <v>286.2780030106743</v>
      </c>
      <c r="AN146" s="59">
        <f ca="1">AVERAGE(OFFSET($AM$3,0,0,'Données projet'!$E$10+1,1))-AVERAGE(OFFSET($H$3,0,0,'Données projet'!$E$10+1,1))</f>
        <v>382.89338473200229</v>
      </c>
      <c r="AO146" s="59">
        <f t="shared" si="144"/>
        <v>360.46248248971744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86.811826812899</v>
      </c>
      <c r="AV146" s="21">
        <f>EXP(-LN(2)/25)*AV145+(1-EXP(-LN(2)/25))/(LN(2)/25)*Calculateur!AQ146*Calculateur!AS146*VLOOKUP('Données projet'!$B$10,Paramètres!$A$1:$I$89,3,0)*0.475*44/12</f>
        <v>18.988065763391383</v>
      </c>
      <c r="AW146" s="21">
        <f>EXP(-LN(2)/2)*AW145+(1-EXP(-LN(2)/2))/(LN(2)/2)*AQ146*AT146*VLOOKUP('Données projet'!$B$10,Paramètres!$A$1:$I$89,3,0)*0.475*44/12</f>
        <v>7.4821617192149392E-5</v>
      </c>
      <c r="AX146" s="21">
        <f t="shared" si="114"/>
        <v>105.79996739790757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68.075819002910734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>
        <f>BD146*VLOOKUP('Données projet'!$B$11,Paramètres!$A$1:$I$89,3,0)*VLOOKUP('Données projet'!$B$11,Paramètres!$A$1:$I$89,5,0)</f>
        <v>0</v>
      </c>
      <c r="BF146" s="13" t="e">
        <f t="shared" si="145"/>
        <v>#NUM!</v>
      </c>
      <c r="BG146" s="20" t="e">
        <f t="shared" si="115"/>
        <v>#NUM!</v>
      </c>
      <c r="BH146" s="59" t="e">
        <f t="shared" si="116"/>
        <v>#NUM!</v>
      </c>
      <c r="BI146" s="59">
        <f ca="1">AVERAGE(OFFSET($BH$3,0,0,'Données projet'!$E$11+1,1))-AVERAGE(OFFSET($H$3,0,0,'Données projet'!$E$11+1,1))</f>
        <v>225.75484198243581</v>
      </c>
      <c r="BJ146" s="59">
        <f t="shared" si="146"/>
        <v>199.49566488421061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3.1641463698433867</v>
      </c>
      <c r="BQ146" s="21">
        <f>EXP(-LN(2)/25)*BQ145+(1-EXP(-LN(2)/25))/(LN(2)/25)*Calculateur!BL146*Calculateur!BN146*VLOOKUP('Données projet'!$B$11,Paramètres!$A$1:$I$89,3,0)*0.475*44/12</f>
        <v>12.279438443155245</v>
      </c>
      <c r="BR146" s="21">
        <f>EXP(-LN(2)/2)*BR145+(1-EXP(-LN(2)/2))/(LN(2)/2)*BL146*BO146*VLOOKUP('Données projet'!$B$11,Paramètres!$A$1:$I$89,3,0)*0.475*44/12</f>
        <v>0</v>
      </c>
      <c r="BS146" s="22">
        <f t="shared" si="117"/>
        <v>15.443584812998632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68.075819002910734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1.1368683772161603E-13</v>
      </c>
      <c r="BZ146" s="13">
        <f>BY146*VLOOKUP('Données projet'!$B$12,Paramètres!$A$1:$I$89,3,0)*VLOOKUP('Données projet'!$B$12,Paramètres!$A$1:$I$89,5,0)</f>
        <v>1.0818439477588981E-13</v>
      </c>
      <c r="CA146" s="13">
        <f t="shared" si="147"/>
        <v>1.6104228458716316E-12</v>
      </c>
      <c r="CB146" s="20">
        <f t="shared" si="118"/>
        <v>2.9932409441277661E-12</v>
      </c>
      <c r="CC146" s="59">
        <f t="shared" si="119"/>
        <v>286.27800301067572</v>
      </c>
      <c r="CD146" s="59">
        <f ca="1">AVERAGE(OFFSET($CC$3,0,0,'Données projet'!$E$12+1,1))-AVERAGE(OFFSET($H$3,0,0,'Données projet'!$E$12+1,1))</f>
        <v>413.9352601863377</v>
      </c>
      <c r="CE146" s="59">
        <f t="shared" si="148"/>
        <v>255.13997349799286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29.165092919327758</v>
      </c>
      <c r="CL146" s="21">
        <f>EXP(-LN(2)/25)*CL145+(1-EXP(-LN(2)/25))/(LN(2)/25)*Calculateur!CG146*Calculateur!CI146*VLOOKUP('Données projet'!$B$12,Paramètres!$A$1:$I$89,3,0)*0.475*44/12</f>
        <v>24.429827065741907</v>
      </c>
      <c r="CM146" s="21">
        <f>EXP(-LN(2)/2)*CM145+(1-EXP(-LN(2)/2))/(LN(2)/2)*CG146*CJ146*VLOOKUP('Données projet'!$B$12,Paramètres!$A$1:$I$89,3,0)*0.475*44/12</f>
        <v>2.2390719754354062E-2</v>
      </c>
      <c r="CN146" s="22">
        <f t="shared" si="120"/>
        <v>53.617310704824021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68.075819002910734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2.8421709430404007E-14</v>
      </c>
      <c r="CU146" s="17">
        <f>CT146*VLOOKUP('Données projet'!$B$13,Paramètres!$A$1:$I$89,3,0)*VLOOKUP('Données projet'!$B$13,Paramètres!$A$1:$I$89,5,0)</f>
        <v>2.4829205358400945E-14</v>
      </c>
      <c r="CV146" s="13">
        <f t="shared" si="149"/>
        <v>4.3867331143352915E-13</v>
      </c>
      <c r="CW146" s="20">
        <f t="shared" si="121"/>
        <v>8.0726688341261168E-13</v>
      </c>
      <c r="CX146" s="59">
        <f t="shared" si="122"/>
        <v>286.2780030106735</v>
      </c>
      <c r="CY146" s="59">
        <f ca="1">AVERAGE(OFFSET($CX$3,0,0,'Données projet'!$E$13+1,1))-AVERAGE(OFFSET($H$3,0,0,'Données projet'!$E$13+1,1))</f>
        <v>280.59827778697775</v>
      </c>
      <c r="CZ146" s="59">
        <f t="shared" si="150"/>
        <v>270.86588231964726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>
        <f>EXP(-LN(2)/35)*DF145+(1-EXP(-LN(2)/35))/(LN(2)/35)*DB146*DC146*VLOOKUP('Données projet'!$B$13,Paramètres!$A$1:$I$89,3,0)*0.475*44/12</f>
        <v>9.472798740866093</v>
      </c>
      <c r="DG146" s="21">
        <f>EXP(-LN(2)/25)*DG145+(1-EXP(-LN(2)/25))/(LN(2)/25)*Calculateur!DB146*Calculateur!DD146*VLOOKUP('Données projet'!$B$13,Paramètres!$A$1:$I$89,3,0)*0.475*44/12</f>
        <v>6.3628155689698254</v>
      </c>
      <c r="DH146" s="21">
        <f>EXP(-LN(2)/2)*DH145+(1-EXP(-LN(2)/2))/(LN(2)/2)*DB146*DE146*VLOOKUP('Données projet'!$B$13,Paramètres!$A$1:$I$89,3,0)*0.475*44/12</f>
        <v>1.4964252274896405E-8</v>
      </c>
      <c r="DI146" s="22">
        <f t="shared" si="123"/>
        <v>15.83561432480017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68.075819002910734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>
        <f>DO146*VLOOKUP('Données projet'!$B$14,Paramètres!$A$1:$I$89,3,0)*VLOOKUP('Données projet'!$B$14,Paramètres!$A$1:$I$89,5,0)</f>
        <v>0</v>
      </c>
      <c r="DQ146" s="13" t="e">
        <f t="shared" si="151"/>
        <v>#NUM!</v>
      </c>
      <c r="DR146" s="20" t="e">
        <f t="shared" si="124"/>
        <v>#NUM!</v>
      </c>
      <c r="DS146" s="59" t="e">
        <f t="shared" si="125"/>
        <v>#NUM!</v>
      </c>
      <c r="DT146" s="59">
        <f ca="1">AVERAGE(OFFSET($DS$3,0,0,'Données projet'!$E$14+1,1))-AVERAGE(OFFSET($H$3,0,0,'Données projet'!$E$14+1,1))</f>
        <v>211.42385430331873</v>
      </c>
      <c r="DU146" s="59">
        <f t="shared" si="152"/>
        <v>146.84623106782686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>
        <f>EXP(-LN(2)/35)*EA145+(1-EXP(-LN(2)/35))/(LN(2)/35)*DW146*DX146*VLOOKUP('Données projet'!$B$14,Paramètres!$A$1:$I$89,3,0)*0.475*44/12</f>
        <v>13.934466281973011</v>
      </c>
      <c r="EB146" s="21">
        <f>EXP(-LN(2)/25)*EB145+(1-EXP(-LN(2)/25))/(LN(2)/25)*Calculateur!DW146*Calculateur!DY146*VLOOKUP('Données projet'!$B$14,Paramètres!$A$1:$I$89,3,0)*0.475*44/12</f>
        <v>11.719412302624717</v>
      </c>
      <c r="EC146" s="21">
        <f>EXP(-LN(2)/2)*EC145+(1-EXP(-LN(2)/2))/(LN(2)/2)*DW146*DZ146*VLOOKUP('Données projet'!$B$14,Paramètres!$A$1:$I$89,3,0)*0.475*44/12</f>
        <v>1.7932024194602895E-3</v>
      </c>
      <c r="ED146" s="22">
        <f t="shared" si="126"/>
        <v>25.655671787017187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68.075819002910734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-9.9475983006414026E-14</v>
      </c>
      <c r="EK146" s="17">
        <f>EJ146*VLOOKUP('Données projet'!$B$15,Paramètres!$A$1:$I$89,3,0)*VLOOKUP('Données projet'!$B$15,Paramètres!$A$1:$I$89,5,0)</f>
        <v>-1.0707594810810407E-13</v>
      </c>
      <c r="EL146" s="13" t="e">
        <f t="shared" si="153"/>
        <v>#NUM!</v>
      </c>
      <c r="EM146" s="20" t="e">
        <f t="shared" si="127"/>
        <v>#NUM!</v>
      </c>
      <c r="EN146" s="59" t="e">
        <f t="shared" si="128"/>
        <v>#NUM!</v>
      </c>
      <c r="EO146" s="59">
        <f ca="1">AVERAGE(OFFSET($EN$3,0,0,'Données projet'!$E$15+1,1))-AVERAGE(OFFSET($H$3,0,0,'Données projet'!$E$15+1,1))</f>
        <v>212.00478362779876</v>
      </c>
      <c r="EP146" s="59">
        <f t="shared" si="154"/>
        <v>133.62262474506707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>
        <f>EXP(-LN(2)/35)*EV145+(1-EXP(-LN(2)/35))/(LN(2)/35)*ER146*ES146*VLOOKUP('Données projet'!$B$15,Paramètres!$A$1:$I$89,3,0)*0.475*44/12</f>
        <v>9.9315794499794823</v>
      </c>
      <c r="EW146" s="21">
        <f>EXP(-LN(2)/25)*EW145+(1-EXP(-LN(2)/25))/(LN(2)/25)*Calculateur!ER146*Calculateur!ET146*VLOOKUP('Données projet'!$B$15,Paramètres!$A$1:$I$89,3,0)*0.475*44/12</f>
        <v>10.81910401400815</v>
      </c>
      <c r="EX146" s="21">
        <f>EXP(-LN(2)/2)*EX145+(1-EXP(-LN(2)/2))/(LN(2)/2)*ER146*EU146*VLOOKUP('Données projet'!$B$15,Paramètres!$A$1:$I$89,3,0)*0.475*44/12</f>
        <v>1.0853869103632946E-2</v>
      </c>
      <c r="EY146" s="22">
        <f t="shared" si="129"/>
        <v>20.761537333091269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68.075819002910734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-9.9475983006414026E-14</v>
      </c>
      <c r="FF146" s="17">
        <f>FE146*VLOOKUP('Données projet'!$B$16,Paramètres!$A$1:$I$89,3,0)*VLOOKUP('Données projet'!$B$16,Paramètres!$A$1:$I$89,5,0)</f>
        <v>-9.6213170763803652E-14</v>
      </c>
      <c r="FG146" s="13" t="e">
        <f t="shared" si="155"/>
        <v>#NUM!</v>
      </c>
      <c r="FH146" s="20" t="e">
        <f t="shared" si="130"/>
        <v>#NUM!</v>
      </c>
      <c r="FI146" s="59" t="e">
        <f t="shared" si="131"/>
        <v>#NUM!</v>
      </c>
      <c r="FJ146" s="59">
        <f ca="1">AVERAGE(OFFSET($FI$3,0,0,'Données projet'!$E$16+1,1))-AVERAGE(OFFSET($H$3,0,0,'Données projet'!$E$16+1,1))</f>
        <v>196.65742339093146</v>
      </c>
      <c r="FK146" s="59">
        <f t="shared" si="156"/>
        <v>125.41980634506001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>
        <f>EXP(-LN(2)/35)*FQ145+(1-EXP(-LN(2)/35))/(LN(2)/35)*FM146*FN146*VLOOKUP('Données projet'!$B$16,Paramètres!$A$1:$I$89,3,0)*0.475*44/12</f>
        <v>8.9240279115757701</v>
      </c>
      <c r="FR146" s="21">
        <f>EXP(-LN(2)/25)*FR145+(1-EXP(-LN(2)/25))/(LN(2)/25)*Calculateur!FM146*Calculateur!FO146*VLOOKUP('Données projet'!$B$16,Paramètres!$A$1:$I$89,3,0)*0.475*44/12</f>
        <v>9.7215137517174703</v>
      </c>
      <c r="FS146" s="21">
        <f>EXP(-LN(2)/2)*FS145+(1-EXP(-LN(2)/2))/(LN(2)/2)*FM146*FP146*VLOOKUP('Données projet'!$B$16,Paramètres!$A$1:$I$89,3,0)*0.475*44/12</f>
        <v>9.7527519481919161E-3</v>
      </c>
      <c r="FT146" s="22">
        <f t="shared" si="132"/>
        <v>18.655294415241432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68.075819002910734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68.075819002910734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>
      <c r="A147" s="10">
        <f t="shared" si="139"/>
        <v>144</v>
      </c>
      <c r="B147" s="73">
        <f>'Scénario référence'!$B$16*5+'Scénario référence'!$B$17*0+'Scénario référence'!$B$18*5</f>
        <v>4.6999999999999993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7.6826880000000148</v>
      </c>
      <c r="D147" s="11">
        <f t="shared" si="140"/>
        <v>2.7924893488699225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21.050994421230985</v>
      </c>
      <c r="H147" s="67">
        <f t="shared" si="110"/>
        <v>205.97760054928182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68.109199241385994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-2.2737367544323206E-13</v>
      </c>
      <c r="O147" s="13">
        <f>N147*VLOOKUP('Données projet'!$B$9,Paramètres!$A$1:$I$89,3,0)*VLOOKUP('Données projet'!$B$9,Paramètres!$A$1:$I$89,5,0)</f>
        <v>-1.3596945791505279E-13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366.93249569585623</v>
      </c>
      <c r="T147" s="59">
        <f t="shared" si="142"/>
        <v>272.47262353368501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43.151424817683477</v>
      </c>
      <c r="AA147" s="21">
        <f>EXP(-LN(2)/25)*AA146+(1-EXP(-LN(2)/25))/(LN(2)/25)*Calculateur!V147*Calculateur!X147*VLOOKUP('Données projet'!$B$9,Paramètres!$A$1:$I$89,3,0)*0.475*44/12</f>
        <v>8.7745800040130639</v>
      </c>
      <c r="AB147" s="21">
        <f>EXP(-LN(2)/2)*AB146+(1-EXP(-LN(2)/2))/(LN(2)/2)*V147*Y147*VLOOKUP('Données projet'!$B$9,Paramètres!$A$1:$I$89,3,0)*0.475*44/12</f>
        <v>1.6465001460446209E-8</v>
      </c>
      <c r="AC147" s="22">
        <f t="shared" si="111"/>
        <v>51.926004838161539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68.109199241385994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1.1368683772161603E-13</v>
      </c>
      <c r="AJ147" s="13">
        <f>AI147*VLOOKUP('Données projet'!$B$10,Paramètres!$A$1:$I$89,3,0)*VLOOKUP('Données projet'!$B$10,Paramètres!$A$1:$I$89,5,0)</f>
        <v>5.3205440053716299E-14</v>
      </c>
      <c r="AK147" s="13">
        <f t="shared" si="143"/>
        <v>8.602146238565607E-13</v>
      </c>
      <c r="AL147" s="20">
        <f t="shared" si="112"/>
        <v>1.590873277977066E-12</v>
      </c>
      <c r="AM147" s="59">
        <f t="shared" si="113"/>
        <v>286.40039721841691</v>
      </c>
      <c r="AN147" s="59">
        <f ca="1">AVERAGE(OFFSET($AM$3,0,0,'Données projet'!$E$10+1,1))-AVERAGE(OFFSET($H$3,0,0,'Données projet'!$E$10+1,1))</f>
        <v>382.89338473200229</v>
      </c>
      <c r="AO147" s="59">
        <f t="shared" si="144"/>
        <v>360.46248248971744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85.109499839084023</v>
      </c>
      <c r="AV147" s="21">
        <f>EXP(-LN(2)/25)*AV146+(1-EXP(-LN(2)/25))/(LN(2)/25)*Calculateur!AQ147*Calculateur!AS147*VLOOKUP('Données projet'!$B$10,Paramètres!$A$1:$I$89,3,0)*0.475*44/12</f>
        <v>18.468836106552466</v>
      </c>
      <c r="AW147" s="21">
        <f>EXP(-LN(2)/2)*AW146+(1-EXP(-LN(2)/2))/(LN(2)/2)*AQ147*AT147*VLOOKUP('Données projet'!$B$10,Paramètres!$A$1:$I$89,3,0)*0.475*44/12</f>
        <v>5.2906872895912803E-5</v>
      </c>
      <c r="AX147" s="21">
        <f t="shared" si="114"/>
        <v>103.57838885250939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68.109199241385994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>
        <f>BD147*VLOOKUP('Données projet'!$B$11,Paramètres!$A$1:$I$89,3,0)*VLOOKUP('Données projet'!$B$11,Paramètres!$A$1:$I$89,5,0)</f>
        <v>0</v>
      </c>
      <c r="BF147" s="13" t="e">
        <f t="shared" si="145"/>
        <v>#NUM!</v>
      </c>
      <c r="BG147" s="20" t="e">
        <f t="shared" si="115"/>
        <v>#NUM!</v>
      </c>
      <c r="BH147" s="59" t="e">
        <f t="shared" si="116"/>
        <v>#NUM!</v>
      </c>
      <c r="BI147" s="59">
        <f ca="1">AVERAGE(OFFSET($BH$3,0,0,'Données projet'!$E$11+1,1))-AVERAGE(OFFSET($H$3,0,0,'Données projet'!$E$11+1,1))</f>
        <v>225.75484198243581</v>
      </c>
      <c r="BJ147" s="59">
        <f t="shared" si="146"/>
        <v>199.49566488421061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3.1020993894694779</v>
      </c>
      <c r="BQ147" s="21">
        <f>EXP(-LN(2)/25)*BQ146+(1-EXP(-LN(2)/25))/(LN(2)/25)*Calculateur!BL147*Calculateur!BN147*VLOOKUP('Données projet'!$B$11,Paramètres!$A$1:$I$89,3,0)*0.475*44/12</f>
        <v>11.943656553179562</v>
      </c>
      <c r="BR147" s="21">
        <f>EXP(-LN(2)/2)*BR146+(1-EXP(-LN(2)/2))/(LN(2)/2)*BL147*BO147*VLOOKUP('Données projet'!$B$11,Paramètres!$A$1:$I$89,3,0)*0.475*44/12</f>
        <v>0</v>
      </c>
      <c r="BS147" s="22">
        <f t="shared" si="117"/>
        <v>15.045755942649039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68.109199241385994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1.1368683772161603E-13</v>
      </c>
      <c r="BZ147" s="13">
        <f>BY147*VLOOKUP('Données projet'!$B$12,Paramètres!$A$1:$I$89,3,0)*VLOOKUP('Données projet'!$B$12,Paramètres!$A$1:$I$89,5,0)</f>
        <v>1.0818439477588981E-13</v>
      </c>
      <c r="CA147" s="13">
        <f t="shared" si="147"/>
        <v>1.6104228458716316E-12</v>
      </c>
      <c r="CB147" s="20">
        <f t="shared" si="118"/>
        <v>2.9932409441277661E-12</v>
      </c>
      <c r="CC147" s="59">
        <f t="shared" si="119"/>
        <v>286.40039721841833</v>
      </c>
      <c r="CD147" s="59">
        <f ca="1">AVERAGE(OFFSET($CC$3,0,0,'Données projet'!$E$12+1,1))-AVERAGE(OFFSET($H$3,0,0,'Données projet'!$E$12+1,1))</f>
        <v>413.9352601863377</v>
      </c>
      <c r="CE147" s="59">
        <f t="shared" si="148"/>
        <v>255.13997349799286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28.59318323612991</v>
      </c>
      <c r="CL147" s="21">
        <f>EXP(-LN(2)/25)*CL146+(1-EXP(-LN(2)/25))/(LN(2)/25)*Calculateur!CG147*Calculateur!CI147*VLOOKUP('Données projet'!$B$12,Paramètres!$A$1:$I$89,3,0)*0.475*44/12</f>
        <v>23.761792159920425</v>
      </c>
      <c r="CM147" s="21">
        <f>EXP(-LN(2)/2)*CM146+(1-EXP(-LN(2)/2))/(LN(2)/2)*CG147*CJ147*VLOOKUP('Données projet'!$B$12,Paramètres!$A$1:$I$89,3,0)*0.475*44/12</f>
        <v>1.5832629773951345E-2</v>
      </c>
      <c r="CN147" s="22">
        <f t="shared" si="120"/>
        <v>52.370808025824289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68.109199241385994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2.8421709430404007E-14</v>
      </c>
      <c r="CU147" s="17">
        <f>CT147*VLOOKUP('Données projet'!$B$13,Paramètres!$A$1:$I$89,3,0)*VLOOKUP('Données projet'!$B$13,Paramètres!$A$1:$I$89,5,0)</f>
        <v>2.4829205358400945E-14</v>
      </c>
      <c r="CV147" s="13">
        <f t="shared" si="149"/>
        <v>4.3867331143352915E-13</v>
      </c>
      <c r="CW147" s="20">
        <f t="shared" si="121"/>
        <v>8.0726688341261168E-13</v>
      </c>
      <c r="CX147" s="59">
        <f t="shared" si="122"/>
        <v>286.40039721841612</v>
      </c>
      <c r="CY147" s="59">
        <f ca="1">AVERAGE(OFFSET($CX$3,0,0,'Données projet'!$E$13+1,1))-AVERAGE(OFFSET($H$3,0,0,'Données projet'!$E$13+1,1))</f>
        <v>280.59827778697775</v>
      </c>
      <c r="CZ147" s="59">
        <f t="shared" si="150"/>
        <v>270.86588231964726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>
        <f>EXP(-LN(2)/35)*DF146+(1-EXP(-LN(2)/35))/(LN(2)/35)*DB147*DC147*VLOOKUP('Données projet'!$B$13,Paramètres!$A$1:$I$89,3,0)*0.475*44/12</f>
        <v>9.2870429353944264</v>
      </c>
      <c r="DG147" s="21">
        <f>EXP(-LN(2)/25)*DG146+(1-EXP(-LN(2)/25))/(LN(2)/25)*Calculateur!DB147*Calculateur!DD147*VLOOKUP('Données projet'!$B$13,Paramètres!$A$1:$I$89,3,0)*0.475*44/12</f>
        <v>6.1888240426304169</v>
      </c>
      <c r="DH147" s="21">
        <f>EXP(-LN(2)/2)*DH146+(1-EXP(-LN(2)/2))/(LN(2)/2)*DB147*DE147*VLOOKUP('Données projet'!$B$13,Paramètres!$A$1:$I$89,3,0)*0.475*44/12</f>
        <v>1.0581324258965469E-8</v>
      </c>
      <c r="DI147" s="22">
        <f t="shared" si="123"/>
        <v>15.475866988606167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68.109199241385994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>
        <f>DO147*VLOOKUP('Données projet'!$B$14,Paramètres!$A$1:$I$89,3,0)*VLOOKUP('Données projet'!$B$14,Paramètres!$A$1:$I$89,5,0)</f>
        <v>0</v>
      </c>
      <c r="DQ147" s="13" t="e">
        <f t="shared" si="151"/>
        <v>#NUM!</v>
      </c>
      <c r="DR147" s="20" t="e">
        <f t="shared" si="124"/>
        <v>#NUM!</v>
      </c>
      <c r="DS147" s="59" t="e">
        <f t="shared" si="125"/>
        <v>#NUM!</v>
      </c>
      <c r="DT147" s="59">
        <f ca="1">AVERAGE(OFFSET($DS$3,0,0,'Données projet'!$E$14+1,1))-AVERAGE(OFFSET($H$3,0,0,'Données projet'!$E$14+1,1))</f>
        <v>211.42385430331873</v>
      </c>
      <c r="DU147" s="59">
        <f t="shared" si="152"/>
        <v>146.84623106782686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>
        <f>EXP(-LN(2)/35)*EA146+(1-EXP(-LN(2)/35))/(LN(2)/35)*DW147*DX147*VLOOKUP('Données projet'!$B$14,Paramètres!$A$1:$I$89,3,0)*0.475*44/12</f>
        <v>13.661219897368728</v>
      </c>
      <c r="EB147" s="21">
        <f>EXP(-LN(2)/25)*EB146+(1-EXP(-LN(2)/25))/(LN(2)/25)*Calculateur!DW147*Calculateur!DY147*VLOOKUP('Données projet'!$B$14,Paramètres!$A$1:$I$89,3,0)*0.475*44/12</f>
        <v>11.398944356912336</v>
      </c>
      <c r="EC147" s="21">
        <f>EXP(-LN(2)/2)*EC146+(1-EXP(-LN(2)/2))/(LN(2)/2)*DW147*DZ147*VLOOKUP('Données projet'!$B$14,Paramètres!$A$1:$I$89,3,0)*0.475*44/12</f>
        <v>1.2679855908404945E-3</v>
      </c>
      <c r="ED147" s="22">
        <f t="shared" si="126"/>
        <v>25.061432239871902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68.109199241385994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-9.9475983006414026E-14</v>
      </c>
      <c r="EK147" s="17">
        <f>EJ147*VLOOKUP('Données projet'!$B$15,Paramètres!$A$1:$I$89,3,0)*VLOOKUP('Données projet'!$B$15,Paramètres!$A$1:$I$89,5,0)</f>
        <v>-1.0707594810810407E-13</v>
      </c>
      <c r="EL147" s="13" t="e">
        <f t="shared" si="153"/>
        <v>#NUM!</v>
      </c>
      <c r="EM147" s="20" t="e">
        <f t="shared" si="127"/>
        <v>#NUM!</v>
      </c>
      <c r="EN147" s="59" t="e">
        <f t="shared" si="128"/>
        <v>#NUM!</v>
      </c>
      <c r="EO147" s="59">
        <f ca="1">AVERAGE(OFFSET($EN$3,0,0,'Données projet'!$E$15+1,1))-AVERAGE(OFFSET($H$3,0,0,'Données projet'!$E$15+1,1))</f>
        <v>212.00478362779876</v>
      </c>
      <c r="EP147" s="59">
        <f t="shared" si="154"/>
        <v>133.62262474506707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>
        <f>EXP(-LN(2)/35)*EV146+(1-EXP(-LN(2)/35))/(LN(2)/35)*ER147*ES147*VLOOKUP('Données projet'!$B$15,Paramètres!$A$1:$I$89,3,0)*0.475*44/12</f>
        <v>9.7368272346307041</v>
      </c>
      <c r="EW147" s="21">
        <f>EXP(-LN(2)/25)*EW146+(1-EXP(-LN(2)/25))/(LN(2)/25)*Calculateur!ER147*Calculateur!ET147*VLOOKUP('Données projet'!$B$15,Paramètres!$A$1:$I$89,3,0)*0.475*44/12</f>
        <v>10.523255045793144</v>
      </c>
      <c r="EX147" s="21">
        <f>EXP(-LN(2)/2)*EX146+(1-EXP(-LN(2)/2))/(LN(2)/2)*ER147*EU147*VLOOKUP('Données projet'!$B$15,Paramètres!$A$1:$I$89,3,0)*0.475*44/12</f>
        <v>7.6748444452900107E-3</v>
      </c>
      <c r="EY147" s="22">
        <f t="shared" si="129"/>
        <v>20.267757124869139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68.109199241385994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-9.9475983006414026E-14</v>
      </c>
      <c r="FF147" s="17">
        <f>FE147*VLOOKUP('Données projet'!$B$16,Paramètres!$A$1:$I$89,3,0)*VLOOKUP('Données projet'!$B$16,Paramètres!$A$1:$I$89,5,0)</f>
        <v>-9.6213170763803652E-14</v>
      </c>
      <c r="FG147" s="13" t="e">
        <f t="shared" si="155"/>
        <v>#NUM!</v>
      </c>
      <c r="FH147" s="20" t="e">
        <f t="shared" si="130"/>
        <v>#NUM!</v>
      </c>
      <c r="FI147" s="59" t="e">
        <f t="shared" si="131"/>
        <v>#NUM!</v>
      </c>
      <c r="FJ147" s="59">
        <f ca="1">AVERAGE(OFFSET($FI$3,0,0,'Données projet'!$E$16+1,1))-AVERAGE(OFFSET($H$3,0,0,'Données projet'!$E$16+1,1))</f>
        <v>196.65742339093146</v>
      </c>
      <c r="FK147" s="59">
        <f t="shared" si="156"/>
        <v>125.41980634506001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>
        <f>EXP(-LN(2)/35)*FQ146+(1-EXP(-LN(2)/35))/(LN(2)/35)*FM147*FN147*VLOOKUP('Données projet'!$B$16,Paramètres!$A$1:$I$89,3,0)*0.475*44/12</f>
        <v>8.7490331673493316</v>
      </c>
      <c r="FR147" s="21">
        <f>EXP(-LN(2)/25)*FR146+(1-EXP(-LN(2)/25))/(LN(2)/25)*Calculateur!FM147*Calculateur!FO147*VLOOKUP('Données projet'!$B$16,Paramètres!$A$1:$I$89,3,0)*0.475*44/12</f>
        <v>9.4556784469445674</v>
      </c>
      <c r="FS147" s="21">
        <f>EXP(-LN(2)/2)*FS146+(1-EXP(-LN(2)/2))/(LN(2)/2)*FM147*FP147*VLOOKUP('Données projet'!$B$16,Paramètres!$A$1:$I$89,3,0)*0.475*44/12</f>
        <v>6.8962370377968164E-3</v>
      </c>
      <c r="FT147" s="22">
        <f t="shared" si="132"/>
        <v>18.211607851331696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68.109199241385994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68.109199241385994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>
      <c r="A148" s="10">
        <f t="shared" si="139"/>
        <v>145</v>
      </c>
      <c r="B148" s="73">
        <f>'Scénario référence'!$B$16*5+'Scénario référence'!$B$17*0+'Scénario référence'!$B$18*5</f>
        <v>4.6999999999999993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7.7360400000000151</v>
      </c>
      <c r="D148" s="11">
        <f t="shared" si="140"/>
        <v>2.8096174662168458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21.083637844002194</v>
      </c>
      <c r="H148" s="67">
        <f t="shared" si="110"/>
        <v>206.10035342032771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68.142000407350722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-2.2737367544323206E-13</v>
      </c>
      <c r="O148" s="13">
        <f>N148*VLOOKUP('Données projet'!$B$9,Paramètres!$A$1:$I$89,3,0)*VLOOKUP('Données projet'!$B$9,Paramètres!$A$1:$I$89,5,0)</f>
        <v>-1.3596945791505279E-13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366.93249569585623</v>
      </c>
      <c r="T148" s="59">
        <f t="shared" si="142"/>
        <v>272.47262353368501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42.305251696778981</v>
      </c>
      <c r="AA148" s="21">
        <f>EXP(-LN(2)/25)*AA147+(1-EXP(-LN(2)/25))/(LN(2)/25)*Calculateur!V148*Calculateur!X148*VLOOKUP('Données projet'!$B$9,Paramètres!$A$1:$I$89,3,0)*0.475*44/12</f>
        <v>8.5346386523682192</v>
      </c>
      <c r="AB148" s="21">
        <f>EXP(-LN(2)/2)*AB147+(1-EXP(-LN(2)/2))/(LN(2)/2)*V148*Y148*VLOOKUP('Données projet'!$B$9,Paramètres!$A$1:$I$89,3,0)*0.475*44/12</f>
        <v>1.1642514184927923E-8</v>
      </c>
      <c r="AC148" s="22">
        <f t="shared" si="111"/>
        <v>50.83989036078971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68.142000407350722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1.1368683772161603E-13</v>
      </c>
      <c r="AJ148" s="13">
        <f>AI148*VLOOKUP('Données projet'!$B$10,Paramètres!$A$1:$I$89,3,0)*VLOOKUP('Données projet'!$B$10,Paramètres!$A$1:$I$89,5,0)</f>
        <v>5.3205440053716299E-14</v>
      </c>
      <c r="AK148" s="13">
        <f t="shared" si="143"/>
        <v>8.602146238565607E-13</v>
      </c>
      <c r="AL148" s="20">
        <f t="shared" si="112"/>
        <v>1.590873277977066E-12</v>
      </c>
      <c r="AM148" s="59">
        <f t="shared" si="113"/>
        <v>286.52066816028758</v>
      </c>
      <c r="AN148" s="59">
        <f ca="1">AVERAGE(OFFSET($AM$3,0,0,'Données projet'!$E$10+1,1))-AVERAGE(OFFSET($H$3,0,0,'Données projet'!$E$10+1,1))</f>
        <v>382.89338473200229</v>
      </c>
      <c r="AO148" s="59">
        <f t="shared" si="144"/>
        <v>360.46248248971744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83.440554458908636</v>
      </c>
      <c r="AV148" s="21">
        <f>EXP(-LN(2)/25)*AV147+(1-EXP(-LN(2)/25))/(LN(2)/25)*Calculateur!AQ148*Calculateur!AS148*VLOOKUP('Données projet'!$B$10,Paramètres!$A$1:$I$89,3,0)*0.475*44/12</f>
        <v>17.963804811984907</v>
      </c>
      <c r="AW148" s="21">
        <f>EXP(-LN(2)/2)*AW147+(1-EXP(-LN(2)/2))/(LN(2)/2)*AQ148*AT148*VLOOKUP('Données projet'!$B$10,Paramètres!$A$1:$I$89,3,0)*0.475*44/12</f>
        <v>3.7410808596074696E-5</v>
      </c>
      <c r="AX148" s="21">
        <f t="shared" si="114"/>
        <v>101.40439668170214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68.142000407350722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>
        <f>BD148*VLOOKUP('Données projet'!$B$11,Paramètres!$A$1:$I$89,3,0)*VLOOKUP('Données projet'!$B$11,Paramètres!$A$1:$I$89,5,0)</f>
        <v>0</v>
      </c>
      <c r="BF148" s="13" t="e">
        <f t="shared" si="145"/>
        <v>#NUM!</v>
      </c>
      <c r="BG148" s="20" t="e">
        <f t="shared" si="115"/>
        <v>#NUM!</v>
      </c>
      <c r="BH148" s="59" t="e">
        <f t="shared" si="116"/>
        <v>#NUM!</v>
      </c>
      <c r="BI148" s="59">
        <f ca="1">AVERAGE(OFFSET($BH$3,0,0,'Données projet'!$E$11+1,1))-AVERAGE(OFFSET($H$3,0,0,'Données projet'!$E$11+1,1))</f>
        <v>225.75484198243581</v>
      </c>
      <c r="BJ148" s="59">
        <f t="shared" si="146"/>
        <v>199.49566488421061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3.0412691125357805</v>
      </c>
      <c r="BQ148" s="21">
        <f>EXP(-LN(2)/25)*BQ147+(1-EXP(-LN(2)/25))/(LN(2)/25)*Calculateur!BL148*Calculateur!BN148*VLOOKUP('Données projet'!$B$11,Paramètres!$A$1:$I$89,3,0)*0.475*44/12</f>
        <v>11.617056636643266</v>
      </c>
      <c r="BR148" s="21">
        <f>EXP(-LN(2)/2)*BR147+(1-EXP(-LN(2)/2))/(LN(2)/2)*BL148*BO148*VLOOKUP('Données projet'!$B$11,Paramètres!$A$1:$I$89,3,0)*0.475*44/12</f>
        <v>0</v>
      </c>
      <c r="BS148" s="22">
        <f t="shared" si="117"/>
        <v>14.658325749179046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68.142000407350722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1.1368683772161603E-13</v>
      </c>
      <c r="BZ148" s="13">
        <f>BY148*VLOOKUP('Données projet'!$B$12,Paramètres!$A$1:$I$89,3,0)*VLOOKUP('Données projet'!$B$12,Paramètres!$A$1:$I$89,5,0)</f>
        <v>1.0818439477588981E-13</v>
      </c>
      <c r="CA148" s="13">
        <f t="shared" si="147"/>
        <v>1.6104228458716316E-12</v>
      </c>
      <c r="CB148" s="20">
        <f t="shared" si="118"/>
        <v>2.9932409441277661E-12</v>
      </c>
      <c r="CC148" s="59">
        <f t="shared" si="119"/>
        <v>286.52066816028901</v>
      </c>
      <c r="CD148" s="59">
        <f ca="1">AVERAGE(OFFSET($CC$3,0,0,'Données projet'!$E$12+1,1))-AVERAGE(OFFSET($H$3,0,0,'Données projet'!$E$12+1,1))</f>
        <v>413.9352601863377</v>
      </c>
      <c r="CE148" s="59">
        <f t="shared" si="148"/>
        <v>255.13997349799286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28.032488352989109</v>
      </c>
      <c r="CL148" s="21">
        <f>EXP(-LN(2)/25)*CL147+(1-EXP(-LN(2)/25))/(LN(2)/25)*Calculateur!CG148*Calculateur!CI148*VLOOKUP('Données projet'!$B$12,Paramètres!$A$1:$I$89,3,0)*0.475*44/12</f>
        <v>23.112024703729059</v>
      </c>
      <c r="CM148" s="21">
        <f>EXP(-LN(2)/2)*CM147+(1-EXP(-LN(2)/2))/(LN(2)/2)*CG148*CJ148*VLOOKUP('Données projet'!$B$12,Paramètres!$A$1:$I$89,3,0)*0.475*44/12</f>
        <v>1.1195359877177031E-2</v>
      </c>
      <c r="CN148" s="22">
        <f t="shared" si="120"/>
        <v>51.155708416595346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68.142000407350722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2.8421709430404007E-14</v>
      </c>
      <c r="CU148" s="17">
        <f>CT148*VLOOKUP('Données projet'!$B$13,Paramètres!$A$1:$I$89,3,0)*VLOOKUP('Données projet'!$B$13,Paramètres!$A$1:$I$89,5,0)</f>
        <v>2.4829205358400945E-14</v>
      </c>
      <c r="CV148" s="13">
        <f t="shared" si="149"/>
        <v>4.3867331143352915E-13</v>
      </c>
      <c r="CW148" s="20">
        <f t="shared" si="121"/>
        <v>8.0726688341261168E-13</v>
      </c>
      <c r="CX148" s="59">
        <f t="shared" si="122"/>
        <v>286.52066816028679</v>
      </c>
      <c r="CY148" s="59">
        <f ca="1">AVERAGE(OFFSET($CX$3,0,0,'Données projet'!$E$13+1,1))-AVERAGE(OFFSET($H$3,0,0,'Données projet'!$E$13+1,1))</f>
        <v>280.59827778697775</v>
      </c>
      <c r="CZ148" s="59">
        <f t="shared" si="150"/>
        <v>270.86588231964726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>
        <f>EXP(-LN(2)/35)*DF147+(1-EXP(-LN(2)/35))/(LN(2)/35)*DB148*DC148*VLOOKUP('Données projet'!$B$13,Paramètres!$A$1:$I$89,3,0)*0.475*44/12</f>
        <v>9.1049296879682053</v>
      </c>
      <c r="DG148" s="21">
        <f>EXP(-LN(2)/25)*DG147+(1-EXP(-LN(2)/25))/(LN(2)/25)*Calculateur!DB148*Calculateur!DD148*VLOOKUP('Données projet'!$B$13,Paramètres!$A$1:$I$89,3,0)*0.475*44/12</f>
        <v>6.0195903237285764</v>
      </c>
      <c r="DH148" s="21">
        <f>EXP(-LN(2)/2)*DH147+(1-EXP(-LN(2)/2))/(LN(2)/2)*DB148*DE148*VLOOKUP('Données projet'!$B$13,Paramètres!$A$1:$I$89,3,0)*0.475*44/12</f>
        <v>7.4821261374482027E-9</v>
      </c>
      <c r="DI148" s="22">
        <f t="shared" si="123"/>
        <v>15.124520019178908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68.142000407350722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>
        <f>DO148*VLOOKUP('Données projet'!$B$14,Paramètres!$A$1:$I$89,3,0)*VLOOKUP('Données projet'!$B$14,Paramètres!$A$1:$I$89,5,0)</f>
        <v>0</v>
      </c>
      <c r="DQ148" s="13" t="e">
        <f t="shared" si="151"/>
        <v>#NUM!</v>
      </c>
      <c r="DR148" s="20" t="e">
        <f t="shared" si="124"/>
        <v>#NUM!</v>
      </c>
      <c r="DS148" s="59" t="e">
        <f t="shared" si="125"/>
        <v>#NUM!</v>
      </c>
      <c r="DT148" s="59">
        <f ca="1">AVERAGE(OFFSET($DS$3,0,0,'Données projet'!$E$14+1,1))-AVERAGE(OFFSET($H$3,0,0,'Données projet'!$E$14+1,1))</f>
        <v>211.42385430331873</v>
      </c>
      <c r="DU148" s="59">
        <f t="shared" si="152"/>
        <v>146.84623106782686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>
        <f>EXP(-LN(2)/35)*EA147+(1-EXP(-LN(2)/35))/(LN(2)/35)*DW148*DX148*VLOOKUP('Données projet'!$B$14,Paramètres!$A$1:$I$89,3,0)*0.475*44/12</f>
        <v>13.393331707702696</v>
      </c>
      <c r="EB148" s="21">
        <f>EXP(-LN(2)/25)*EB147+(1-EXP(-LN(2)/25))/(LN(2)/25)*Calculateur!DW148*Calculateur!DY148*VLOOKUP('Données projet'!$B$14,Paramètres!$A$1:$I$89,3,0)*0.475*44/12</f>
        <v>11.087239624028138</v>
      </c>
      <c r="EC148" s="21">
        <f>EXP(-LN(2)/2)*EC147+(1-EXP(-LN(2)/2))/(LN(2)/2)*DW148*DZ148*VLOOKUP('Données projet'!$B$14,Paramètres!$A$1:$I$89,3,0)*0.475*44/12</f>
        <v>8.9660120973014473E-4</v>
      </c>
      <c r="ED148" s="22">
        <f t="shared" si="126"/>
        <v>24.481467932940568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68.142000407350722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-9.9475983006414026E-14</v>
      </c>
      <c r="EK148" s="17">
        <f>EJ148*VLOOKUP('Données projet'!$B$15,Paramètres!$A$1:$I$89,3,0)*VLOOKUP('Données projet'!$B$15,Paramètres!$A$1:$I$89,5,0)</f>
        <v>-1.0707594810810407E-13</v>
      </c>
      <c r="EL148" s="13" t="e">
        <f t="shared" si="153"/>
        <v>#NUM!</v>
      </c>
      <c r="EM148" s="20" t="e">
        <f t="shared" si="127"/>
        <v>#NUM!</v>
      </c>
      <c r="EN148" s="59" t="e">
        <f t="shared" si="128"/>
        <v>#NUM!</v>
      </c>
      <c r="EO148" s="59">
        <f ca="1">AVERAGE(OFFSET($EN$3,0,0,'Données projet'!$E$15+1,1))-AVERAGE(OFFSET($H$3,0,0,'Données projet'!$E$15+1,1))</f>
        <v>212.00478362779876</v>
      </c>
      <c r="EP148" s="59">
        <f t="shared" si="154"/>
        <v>133.62262474506707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>
        <f>EXP(-LN(2)/35)*EV147+(1-EXP(-LN(2)/35))/(LN(2)/35)*ER148*ES148*VLOOKUP('Données projet'!$B$15,Paramètres!$A$1:$I$89,3,0)*0.475*44/12</f>
        <v>9.5458939914377936</v>
      </c>
      <c r="EW148" s="21">
        <f>EXP(-LN(2)/25)*EW147+(1-EXP(-LN(2)/25))/(LN(2)/25)*Calculateur!ER148*Calculateur!ET148*VLOOKUP('Données projet'!$B$15,Paramètres!$A$1:$I$89,3,0)*0.475*44/12</f>
        <v>10.235496083171999</v>
      </c>
      <c r="EX148" s="21">
        <f>EXP(-LN(2)/2)*EX147+(1-EXP(-LN(2)/2))/(LN(2)/2)*ER148*EU148*VLOOKUP('Données projet'!$B$15,Paramètres!$A$1:$I$89,3,0)*0.475*44/12</f>
        <v>5.426934551816474E-3</v>
      </c>
      <c r="EY148" s="22">
        <f t="shared" si="129"/>
        <v>19.786817009161609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68.142000407350722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-9.9475983006414026E-14</v>
      </c>
      <c r="FF148" s="17">
        <f>FE148*VLOOKUP('Données projet'!$B$16,Paramètres!$A$1:$I$89,3,0)*VLOOKUP('Données projet'!$B$16,Paramètres!$A$1:$I$89,5,0)</f>
        <v>-9.6213170763803652E-14</v>
      </c>
      <c r="FG148" s="13" t="e">
        <f t="shared" si="155"/>
        <v>#NUM!</v>
      </c>
      <c r="FH148" s="20" t="e">
        <f t="shared" si="130"/>
        <v>#NUM!</v>
      </c>
      <c r="FI148" s="59" t="e">
        <f t="shared" si="131"/>
        <v>#NUM!</v>
      </c>
      <c r="FJ148" s="59">
        <f ca="1">AVERAGE(OFFSET($FI$3,0,0,'Données projet'!$E$16+1,1))-AVERAGE(OFFSET($H$3,0,0,'Données projet'!$E$16+1,1))</f>
        <v>196.65742339093146</v>
      </c>
      <c r="FK148" s="59">
        <f t="shared" si="156"/>
        <v>125.41980634506001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>
        <f>EXP(-LN(2)/35)*FQ147+(1-EXP(-LN(2)/35))/(LN(2)/35)*FM148*FN148*VLOOKUP('Données projet'!$B$16,Paramètres!$A$1:$I$89,3,0)*0.475*44/12</f>
        <v>8.5774699633209188</v>
      </c>
      <c r="FR148" s="21">
        <f>EXP(-LN(2)/25)*FR147+(1-EXP(-LN(2)/25))/(LN(2)/25)*Calculateur!FM148*Calculateur!FO148*VLOOKUP('Données projet'!$B$16,Paramètres!$A$1:$I$89,3,0)*0.475*44/12</f>
        <v>9.19711242256035</v>
      </c>
      <c r="FS148" s="21">
        <f>EXP(-LN(2)/2)*FS147+(1-EXP(-LN(2)/2))/(LN(2)/2)*FM148*FP148*VLOOKUP('Données projet'!$B$16,Paramètres!$A$1:$I$89,3,0)*0.475*44/12</f>
        <v>4.876375974095958E-3</v>
      </c>
      <c r="FT148" s="22">
        <f t="shared" si="132"/>
        <v>17.779458761855363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68.142000407350722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68.142000407350722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>
      <c r="A149" s="10">
        <f t="shared" si="139"/>
        <v>146</v>
      </c>
      <c r="B149" s="73">
        <f>'Scénario référence'!$B$16*5+'Scénario référence'!$B$17*0+'Scénario référence'!$B$18*5</f>
        <v>4.6999999999999993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7.7893920000000154</v>
      </c>
      <c r="D149" s="11">
        <f t="shared" si="140"/>
        <v>2.8267318392220493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21.116274900973025</v>
      </c>
      <c r="H149" s="67">
        <f t="shared" si="110"/>
        <v>206.22308235331178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68.174232546418395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-2.2737367544323206E-13</v>
      </c>
      <c r="O149" s="13">
        <f>N149*VLOOKUP('Données projet'!$B$9,Paramètres!$A$1:$I$89,3,0)*VLOOKUP('Données projet'!$B$9,Paramètres!$A$1:$I$89,5,0)</f>
        <v>-1.3596945791505279E-13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366.93249569585623</v>
      </c>
      <c r="T149" s="59">
        <f t="shared" si="142"/>
        <v>272.47262353368501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41.475671514660782</v>
      </c>
      <c r="AA149" s="21">
        <f>EXP(-LN(2)/25)*AA148+(1-EXP(-LN(2)/25))/(LN(2)/25)*Calculateur!V149*Calculateur!X149*VLOOKUP('Données projet'!$B$9,Paramètres!$A$1:$I$89,3,0)*0.475*44/12</f>
        <v>8.3012585096020697</v>
      </c>
      <c r="AB149" s="21">
        <f>EXP(-LN(2)/2)*AB148+(1-EXP(-LN(2)/2))/(LN(2)/2)*V149*Y149*VLOOKUP('Données projet'!$B$9,Paramètres!$A$1:$I$89,3,0)*0.475*44/12</f>
        <v>8.2325007302231047E-9</v>
      </c>
      <c r="AC149" s="22">
        <f t="shared" si="111"/>
        <v>49.776930032495351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68.174232546418395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1.1368683772161603E-13</v>
      </c>
      <c r="AJ149" s="13">
        <f>AI149*VLOOKUP('Données projet'!$B$10,Paramètres!$A$1:$I$89,3,0)*VLOOKUP('Données projet'!$B$10,Paramètres!$A$1:$I$89,5,0)</f>
        <v>5.3205440053716299E-14</v>
      </c>
      <c r="AK149" s="13">
        <f t="shared" si="143"/>
        <v>8.602146238565607E-13</v>
      </c>
      <c r="AL149" s="20">
        <f t="shared" si="112"/>
        <v>1.590873277977066E-12</v>
      </c>
      <c r="AM149" s="59">
        <f t="shared" si="113"/>
        <v>286.63885267020237</v>
      </c>
      <c r="AN149" s="59">
        <f ca="1">AVERAGE(OFFSET($AM$3,0,0,'Données projet'!$E$10+1,1))-AVERAGE(OFFSET($H$3,0,0,'Données projet'!$E$10+1,1))</f>
        <v>382.89338473200229</v>
      </c>
      <c r="AO149" s="59">
        <f t="shared" si="144"/>
        <v>360.46248248971744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81.804336079682315</v>
      </c>
      <c r="AV149" s="21">
        <f>EXP(-LN(2)/25)*AV148+(1-EXP(-LN(2)/25))/(LN(2)/25)*Calculateur!AQ149*Calculateur!AS149*VLOOKUP('Données projet'!$B$10,Paramètres!$A$1:$I$89,3,0)*0.475*44/12</f>
        <v>17.472583624725743</v>
      </c>
      <c r="AW149" s="21">
        <f>EXP(-LN(2)/2)*AW148+(1-EXP(-LN(2)/2))/(LN(2)/2)*AQ149*AT149*VLOOKUP('Données projet'!$B$10,Paramètres!$A$1:$I$89,3,0)*0.475*44/12</f>
        <v>2.6453436447956401E-5</v>
      </c>
      <c r="AX149" s="21">
        <f t="shared" si="114"/>
        <v>99.276946157844506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68.174232546418395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>
        <f>BD149*VLOOKUP('Données projet'!$B$11,Paramètres!$A$1:$I$89,3,0)*VLOOKUP('Données projet'!$B$11,Paramètres!$A$1:$I$89,5,0)</f>
        <v>0</v>
      </c>
      <c r="BF149" s="13" t="e">
        <f t="shared" si="145"/>
        <v>#NUM!</v>
      </c>
      <c r="BG149" s="20" t="e">
        <f t="shared" si="115"/>
        <v>#NUM!</v>
      </c>
      <c r="BH149" s="59" t="e">
        <f t="shared" si="116"/>
        <v>#NUM!</v>
      </c>
      <c r="BI149" s="59">
        <f ca="1">AVERAGE(OFFSET($BH$3,0,0,'Données projet'!$E$11+1,1))-AVERAGE(OFFSET($H$3,0,0,'Données projet'!$E$11+1,1))</f>
        <v>225.75484198243581</v>
      </c>
      <c r="BJ149" s="59">
        <f t="shared" si="146"/>
        <v>199.49566488421061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2.9816316802299472</v>
      </c>
      <c r="BQ149" s="21">
        <f>EXP(-LN(2)/25)*BQ148+(1-EXP(-LN(2)/25))/(LN(2)/25)*Calculateur!BL149*Calculateur!BN149*VLOOKUP('Données projet'!$B$11,Paramètres!$A$1:$I$89,3,0)*0.475*44/12</f>
        <v>11.299387611999798</v>
      </c>
      <c r="BR149" s="21">
        <f>EXP(-LN(2)/2)*BR148+(1-EXP(-LN(2)/2))/(LN(2)/2)*BL149*BO149*VLOOKUP('Données projet'!$B$11,Paramètres!$A$1:$I$89,3,0)*0.475*44/12</f>
        <v>0</v>
      </c>
      <c r="BS149" s="22">
        <f t="shared" si="117"/>
        <v>14.281019292229745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68.174232546418395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1.1368683772161603E-13</v>
      </c>
      <c r="BZ149" s="13">
        <f>BY149*VLOOKUP('Données projet'!$B$12,Paramètres!$A$1:$I$89,3,0)*VLOOKUP('Données projet'!$B$12,Paramètres!$A$1:$I$89,5,0)</f>
        <v>1.0818439477588981E-13</v>
      </c>
      <c r="CA149" s="13">
        <f t="shared" si="147"/>
        <v>1.6104228458716316E-12</v>
      </c>
      <c r="CB149" s="20">
        <f t="shared" si="118"/>
        <v>2.9932409441277661E-12</v>
      </c>
      <c r="CC149" s="59">
        <f t="shared" si="119"/>
        <v>286.63885267020379</v>
      </c>
      <c r="CD149" s="59">
        <f ca="1">AVERAGE(OFFSET($CC$3,0,0,'Données projet'!$E$12+1,1))-AVERAGE(OFFSET($H$3,0,0,'Données projet'!$E$12+1,1))</f>
        <v>413.9352601863377</v>
      </c>
      <c r="CE149" s="59">
        <f t="shared" si="148"/>
        <v>255.13997349799286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27.482788354516586</v>
      </c>
      <c r="CL149" s="21">
        <f>EXP(-LN(2)/25)*CL148+(1-EXP(-LN(2)/25))/(LN(2)/25)*Calculateur!CG149*Calculateur!CI149*VLOOKUP('Données projet'!$B$12,Paramètres!$A$1:$I$89,3,0)*0.475*44/12</f>
        <v>22.480025172797031</v>
      </c>
      <c r="CM149" s="21">
        <f>EXP(-LN(2)/2)*CM148+(1-EXP(-LN(2)/2))/(LN(2)/2)*CG149*CJ149*VLOOKUP('Données projet'!$B$12,Paramètres!$A$1:$I$89,3,0)*0.475*44/12</f>
        <v>7.9163148869756724E-3</v>
      </c>
      <c r="CN149" s="22">
        <f t="shared" si="120"/>
        <v>49.970729842200591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68.174232546418395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2.8421709430404007E-14</v>
      </c>
      <c r="CU149" s="17">
        <f>CT149*VLOOKUP('Données projet'!$B$13,Paramètres!$A$1:$I$89,3,0)*VLOOKUP('Données projet'!$B$13,Paramètres!$A$1:$I$89,5,0)</f>
        <v>2.4829205358400945E-14</v>
      </c>
      <c r="CV149" s="13">
        <f t="shared" si="149"/>
        <v>4.3867331143352915E-13</v>
      </c>
      <c r="CW149" s="20">
        <f t="shared" si="121"/>
        <v>8.0726688341261168E-13</v>
      </c>
      <c r="CX149" s="59">
        <f t="shared" si="122"/>
        <v>286.63885267020157</v>
      </c>
      <c r="CY149" s="59">
        <f ca="1">AVERAGE(OFFSET($CX$3,0,0,'Données projet'!$E$13+1,1))-AVERAGE(OFFSET($H$3,0,0,'Données projet'!$E$13+1,1))</f>
        <v>280.59827778697775</v>
      </c>
      <c r="CZ149" s="59">
        <f t="shared" si="150"/>
        <v>270.86588231964726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>
        <f>EXP(-LN(2)/35)*DF148+(1-EXP(-LN(2)/35))/(LN(2)/35)*DB149*DC149*VLOOKUP('Données projet'!$B$13,Paramètres!$A$1:$I$89,3,0)*0.475*44/12</f>
        <v>8.9263875702459003</v>
      </c>
      <c r="DG149" s="21">
        <f>EXP(-LN(2)/25)*DG148+(1-EXP(-LN(2)/25))/(LN(2)/25)*Calculateur!DB149*Calculateur!DD149*VLOOKUP('Données projet'!$B$13,Paramètres!$A$1:$I$89,3,0)*0.475*44/12</f>
        <v>5.854984309769721</v>
      </c>
      <c r="DH149" s="21">
        <f>EXP(-LN(2)/2)*DH148+(1-EXP(-LN(2)/2))/(LN(2)/2)*DB149*DE149*VLOOKUP('Données projet'!$B$13,Paramètres!$A$1:$I$89,3,0)*0.475*44/12</f>
        <v>5.2906621294827344E-9</v>
      </c>
      <c r="DI149" s="22">
        <f t="shared" si="123"/>
        <v>14.781371885306283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68.174232546418395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>
        <f>DO149*VLOOKUP('Données projet'!$B$14,Paramètres!$A$1:$I$89,3,0)*VLOOKUP('Données projet'!$B$14,Paramètres!$A$1:$I$89,5,0)</f>
        <v>0</v>
      </c>
      <c r="DQ149" s="13" t="e">
        <f t="shared" si="151"/>
        <v>#NUM!</v>
      </c>
      <c r="DR149" s="20" t="e">
        <f t="shared" si="124"/>
        <v>#NUM!</v>
      </c>
      <c r="DS149" s="59" t="e">
        <f t="shared" si="125"/>
        <v>#NUM!</v>
      </c>
      <c r="DT149" s="59">
        <f ca="1">AVERAGE(OFFSET($DS$3,0,0,'Données projet'!$E$14+1,1))-AVERAGE(OFFSET($H$3,0,0,'Données projet'!$E$14+1,1))</f>
        <v>211.42385430331873</v>
      </c>
      <c r="DU149" s="59">
        <f t="shared" si="152"/>
        <v>146.84623106782686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>
        <f>EXP(-LN(2)/35)*EA148+(1-EXP(-LN(2)/35))/(LN(2)/35)*DW149*DX149*VLOOKUP('Données projet'!$B$14,Paramètres!$A$1:$I$89,3,0)*0.475*44/12</f>
        <v>13.130696642040354</v>
      </c>
      <c r="EB149" s="21">
        <f>EXP(-LN(2)/25)*EB148+(1-EXP(-LN(2)/25))/(LN(2)/25)*Calculateur!DW149*Calculateur!DY149*VLOOKUP('Données projet'!$B$14,Paramètres!$A$1:$I$89,3,0)*0.475*44/12</f>
        <v>10.784058473456497</v>
      </c>
      <c r="EC149" s="21">
        <f>EXP(-LN(2)/2)*EC148+(1-EXP(-LN(2)/2))/(LN(2)/2)*DW149*DZ149*VLOOKUP('Données projet'!$B$14,Paramètres!$A$1:$I$89,3,0)*0.475*44/12</f>
        <v>6.3399279542024724E-4</v>
      </c>
      <c r="ED149" s="22">
        <f t="shared" si="126"/>
        <v>23.915389108292274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68.174232546418395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-9.9475983006414026E-14</v>
      </c>
      <c r="EK149" s="17">
        <f>EJ149*VLOOKUP('Données projet'!$B$15,Paramètres!$A$1:$I$89,3,0)*VLOOKUP('Données projet'!$B$15,Paramètres!$A$1:$I$89,5,0)</f>
        <v>-1.0707594810810407E-13</v>
      </c>
      <c r="EL149" s="13" t="e">
        <f t="shared" si="153"/>
        <v>#NUM!</v>
      </c>
      <c r="EM149" s="20" t="e">
        <f t="shared" si="127"/>
        <v>#NUM!</v>
      </c>
      <c r="EN149" s="59" t="e">
        <f t="shared" si="128"/>
        <v>#NUM!</v>
      </c>
      <c r="EO149" s="59">
        <f ca="1">AVERAGE(OFFSET($EN$3,0,0,'Données projet'!$E$15+1,1))-AVERAGE(OFFSET($H$3,0,0,'Données projet'!$E$15+1,1))</f>
        <v>212.00478362779876</v>
      </c>
      <c r="EP149" s="59">
        <f t="shared" si="154"/>
        <v>133.62262474506707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>
        <f>EXP(-LN(2)/35)*EV148+(1-EXP(-LN(2)/35))/(LN(2)/35)*ER149*ES149*VLOOKUP('Données projet'!$B$15,Paramètres!$A$1:$I$89,3,0)*0.475*44/12</f>
        <v>9.3587048326861169</v>
      </c>
      <c r="EW149" s="21">
        <f>EXP(-LN(2)/25)*EW148+(1-EXP(-LN(2)/25))/(LN(2)/25)*Calculateur!ER149*Calculateur!ET149*VLOOKUP('Données projet'!$B$15,Paramètres!$A$1:$I$89,3,0)*0.475*44/12</f>
        <v>9.9556059045163146</v>
      </c>
      <c r="EX149" s="21">
        <f>EXP(-LN(2)/2)*EX148+(1-EXP(-LN(2)/2))/(LN(2)/2)*ER149*EU149*VLOOKUP('Données projet'!$B$15,Paramètres!$A$1:$I$89,3,0)*0.475*44/12</f>
        <v>3.8374222226450062E-3</v>
      </c>
      <c r="EY149" s="22">
        <f t="shared" si="129"/>
        <v>19.318148159425078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68.174232546418395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-9.9475983006414026E-14</v>
      </c>
      <c r="FF149" s="17">
        <f>FE149*VLOOKUP('Données projet'!$B$16,Paramètres!$A$1:$I$89,3,0)*VLOOKUP('Données projet'!$B$16,Paramètres!$A$1:$I$89,5,0)</f>
        <v>-9.6213170763803652E-14</v>
      </c>
      <c r="FG149" s="13" t="e">
        <f t="shared" si="155"/>
        <v>#NUM!</v>
      </c>
      <c r="FH149" s="20" t="e">
        <f t="shared" si="130"/>
        <v>#NUM!</v>
      </c>
      <c r="FI149" s="59" t="e">
        <f t="shared" si="131"/>
        <v>#NUM!</v>
      </c>
      <c r="FJ149" s="59">
        <f ca="1">AVERAGE(OFFSET($FI$3,0,0,'Données projet'!$E$16+1,1))-AVERAGE(OFFSET($H$3,0,0,'Données projet'!$E$16+1,1))</f>
        <v>196.65742339093146</v>
      </c>
      <c r="FK149" s="59">
        <f t="shared" si="156"/>
        <v>125.41980634506001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>
        <f>EXP(-LN(2)/35)*FQ148+(1-EXP(-LN(2)/35))/(LN(2)/35)*FM149*FN149*VLOOKUP('Données projet'!$B$16,Paramètres!$A$1:$I$89,3,0)*0.475*44/12</f>
        <v>8.4092710090802818</v>
      </c>
      <c r="FR149" s="21">
        <f>EXP(-LN(2)/25)*FR148+(1-EXP(-LN(2)/25))/(LN(2)/25)*Calculateur!FM149*Calculateur!FO149*VLOOKUP('Données projet'!$B$16,Paramètres!$A$1:$I$89,3,0)*0.475*44/12</f>
        <v>8.9456168997103145</v>
      </c>
      <c r="FS149" s="21">
        <f>EXP(-LN(2)/2)*FS148+(1-EXP(-LN(2)/2))/(LN(2)/2)*FM149*FP149*VLOOKUP('Données projet'!$B$16,Paramètres!$A$1:$I$89,3,0)*0.475*44/12</f>
        <v>3.4481185188984082E-3</v>
      </c>
      <c r="FT149" s="22">
        <f t="shared" si="132"/>
        <v>17.358336027309495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68.174232546418395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68.174232546418395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>
      <c r="A150" s="10">
        <f t="shared" si="139"/>
        <v>147</v>
      </c>
      <c r="B150" s="73">
        <f>'Scénario référence'!$B$16*5+'Scénario référence'!$B$17*0+'Scénario référence'!$B$18*5</f>
        <v>4.6999999999999993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7.8427440000000157</v>
      </c>
      <c r="D150" s="11">
        <f t="shared" si="140"/>
        <v>2.8438325729424436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21.14890564080142</v>
      </c>
      <c r="H150" s="67">
        <f t="shared" si="110"/>
        <v>206.34578753120815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68.205905529933503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-2.2737367544323206E-13</v>
      </c>
      <c r="O150" s="13">
        <f>N150*VLOOKUP('Données projet'!$B$9,Paramètres!$A$1:$I$89,3,0)*VLOOKUP('Données projet'!$B$9,Paramètres!$A$1:$I$89,5,0)</f>
        <v>-1.3596945791505279E-13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366.93249569585623</v>
      </c>
      <c r="T150" s="59">
        <f t="shared" si="142"/>
        <v>272.47262353368501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40.662358893919972</v>
      </c>
      <c r="AA150" s="21">
        <f>EXP(-LN(2)/25)*AA149+(1-EXP(-LN(2)/25))/(LN(2)/25)*Calculateur!V150*Calculateur!X150*VLOOKUP('Données projet'!$B$9,Paramètres!$A$1:$I$89,3,0)*0.475*44/12</f>
        <v>8.0742601591127894</v>
      </c>
      <c r="AB150" s="21">
        <f>EXP(-LN(2)/2)*AB149+(1-EXP(-LN(2)/2))/(LN(2)/2)*V150*Y150*VLOOKUP('Données projet'!$B$9,Paramètres!$A$1:$I$89,3,0)*0.475*44/12</f>
        <v>5.8212570924639616E-9</v>
      </c>
      <c r="AC150" s="22">
        <f t="shared" si="111"/>
        <v>48.736619058854018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68.205905529933503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1.1368683772161603E-13</v>
      </c>
      <c r="AJ150" s="13">
        <f>AI150*VLOOKUP('Données projet'!$B$10,Paramètres!$A$1:$I$89,3,0)*VLOOKUP('Données projet'!$B$10,Paramètres!$A$1:$I$89,5,0)</f>
        <v>5.3205440053716299E-14</v>
      </c>
      <c r="AK150" s="13">
        <f t="shared" si="143"/>
        <v>8.602146238565607E-13</v>
      </c>
      <c r="AL150" s="20">
        <f t="shared" si="112"/>
        <v>1.590873277977066E-12</v>
      </c>
      <c r="AM150" s="59">
        <f t="shared" si="113"/>
        <v>286.75498694309107</v>
      </c>
      <c r="AN150" s="59">
        <f ca="1">AVERAGE(OFFSET($AM$3,0,0,'Données projet'!$E$10+1,1))-AVERAGE(OFFSET($H$3,0,0,'Données projet'!$E$10+1,1))</f>
        <v>382.89338473200229</v>
      </c>
      <c r="AO150" s="59">
        <f t="shared" si="144"/>
        <v>360.46248248971744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80.200202944877958</v>
      </c>
      <c r="AV150" s="21">
        <f>EXP(-LN(2)/25)*AV149+(1-EXP(-LN(2)/25))/(LN(2)/25)*Calculateur!AQ150*Calculateur!AS150*VLOOKUP('Données projet'!$B$10,Paramètres!$A$1:$I$89,3,0)*0.475*44/12</f>
        <v>16.994794906664378</v>
      </c>
      <c r="AW150" s="21">
        <f>EXP(-LN(2)/2)*AW149+(1-EXP(-LN(2)/2))/(LN(2)/2)*AQ150*AT150*VLOOKUP('Données projet'!$B$10,Paramètres!$A$1:$I$89,3,0)*0.475*44/12</f>
        <v>1.8705404298037348E-5</v>
      </c>
      <c r="AX150" s="21">
        <f t="shared" si="114"/>
        <v>97.195016556946641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68.205905529933503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>
        <f>BD150*VLOOKUP('Données projet'!$B$11,Paramètres!$A$1:$I$89,3,0)*VLOOKUP('Données projet'!$B$11,Paramètres!$A$1:$I$89,5,0)</f>
        <v>0</v>
      </c>
      <c r="BF150" s="13" t="e">
        <f t="shared" si="145"/>
        <v>#NUM!</v>
      </c>
      <c r="BG150" s="20" t="e">
        <f t="shared" si="115"/>
        <v>#NUM!</v>
      </c>
      <c r="BH150" s="59" t="e">
        <f t="shared" si="116"/>
        <v>#NUM!</v>
      </c>
      <c r="BI150" s="59">
        <f ca="1">AVERAGE(OFFSET($BH$3,0,0,'Données projet'!$E$11+1,1))-AVERAGE(OFFSET($H$3,0,0,'Données projet'!$E$11+1,1))</f>
        <v>225.75484198243581</v>
      </c>
      <c r="BJ150" s="59">
        <f t="shared" si="146"/>
        <v>199.49566488421061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2.9231637015963896</v>
      </c>
      <c r="BQ150" s="21">
        <f>EXP(-LN(2)/25)*BQ149+(1-EXP(-LN(2)/25))/(LN(2)/25)*Calculateur!BL150*Calculateur!BN150*VLOOKUP('Données projet'!$B$11,Paramètres!$A$1:$I$89,3,0)*0.475*44/12</f>
        <v>10.990405263540694</v>
      </c>
      <c r="BR150" s="21">
        <f>EXP(-LN(2)/2)*BR149+(1-EXP(-LN(2)/2))/(LN(2)/2)*BL150*BO150*VLOOKUP('Données projet'!$B$11,Paramètres!$A$1:$I$89,3,0)*0.475*44/12</f>
        <v>0</v>
      </c>
      <c r="BS150" s="22">
        <f t="shared" si="117"/>
        <v>13.913568965137085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68.205905529933503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1.1368683772161603E-13</v>
      </c>
      <c r="BZ150" s="13">
        <f>BY150*VLOOKUP('Données projet'!$B$12,Paramètres!$A$1:$I$89,3,0)*VLOOKUP('Données projet'!$B$12,Paramètres!$A$1:$I$89,5,0)</f>
        <v>1.0818439477588981E-13</v>
      </c>
      <c r="CA150" s="13">
        <f t="shared" si="147"/>
        <v>1.6104228458716316E-12</v>
      </c>
      <c r="CB150" s="20">
        <f t="shared" si="118"/>
        <v>2.9932409441277661E-12</v>
      </c>
      <c r="CC150" s="59">
        <f t="shared" si="119"/>
        <v>286.75498694309249</v>
      </c>
      <c r="CD150" s="59">
        <f ca="1">AVERAGE(OFFSET($CC$3,0,0,'Données projet'!$E$12+1,1))-AVERAGE(OFFSET($H$3,0,0,'Données projet'!$E$12+1,1))</f>
        <v>413.9352601863377</v>
      </c>
      <c r="CE150" s="59">
        <f t="shared" si="148"/>
        <v>255.13997349799286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26.943867637730218</v>
      </c>
      <c r="CL150" s="21">
        <f>EXP(-LN(2)/25)*CL149+(1-EXP(-LN(2)/25))/(LN(2)/25)*Calculateur!CG150*Calculateur!CI150*VLOOKUP('Données projet'!$B$12,Paramètres!$A$1:$I$89,3,0)*0.475*44/12</f>
        <v>21.86530770227375</v>
      </c>
      <c r="CM150" s="21">
        <f>EXP(-LN(2)/2)*CM149+(1-EXP(-LN(2)/2))/(LN(2)/2)*CG150*CJ150*VLOOKUP('Données projet'!$B$12,Paramètres!$A$1:$I$89,3,0)*0.475*44/12</f>
        <v>5.5976799385885154E-3</v>
      </c>
      <c r="CN150" s="22">
        <f t="shared" si="120"/>
        <v>48.814773019942557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68.205905529933503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2.8421709430404007E-14</v>
      </c>
      <c r="CU150" s="17">
        <f>CT150*VLOOKUP('Données projet'!$B$13,Paramètres!$A$1:$I$89,3,0)*VLOOKUP('Données projet'!$B$13,Paramètres!$A$1:$I$89,5,0)</f>
        <v>2.4829205358400945E-14</v>
      </c>
      <c r="CV150" s="13">
        <f t="shared" si="149"/>
        <v>4.3867331143352915E-13</v>
      </c>
      <c r="CW150" s="20">
        <f t="shared" si="121"/>
        <v>8.0726688341261168E-13</v>
      </c>
      <c r="CX150" s="59">
        <f t="shared" si="122"/>
        <v>286.75498694309027</v>
      </c>
      <c r="CY150" s="59">
        <f ca="1">AVERAGE(OFFSET($CX$3,0,0,'Données projet'!$E$13+1,1))-AVERAGE(OFFSET($H$3,0,0,'Données projet'!$E$13+1,1))</f>
        <v>280.59827778697775</v>
      </c>
      <c r="CZ150" s="59">
        <f t="shared" si="150"/>
        <v>270.86588231964726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>
        <f>EXP(-LN(2)/35)*DF149+(1-EXP(-LN(2)/35))/(LN(2)/35)*DB150*DC150*VLOOKUP('Données projet'!$B$13,Paramètres!$A$1:$I$89,3,0)*0.475*44/12</f>
        <v>8.7513465545521907</v>
      </c>
      <c r="DG150" s="21">
        <f>EXP(-LN(2)/25)*DG149+(1-EXP(-LN(2)/25))/(LN(2)/25)*Calculateur!DB150*Calculateur!DD150*VLOOKUP('Données projet'!$B$13,Paramètres!$A$1:$I$89,3,0)*0.475*44/12</f>
        <v>5.6948794559188247</v>
      </c>
      <c r="DH150" s="21">
        <f>EXP(-LN(2)/2)*DH149+(1-EXP(-LN(2)/2))/(LN(2)/2)*DB150*DE150*VLOOKUP('Données projet'!$B$13,Paramètres!$A$1:$I$89,3,0)*0.475*44/12</f>
        <v>3.7410630687241013E-9</v>
      </c>
      <c r="DI150" s="22">
        <f t="shared" si="123"/>
        <v>14.446226014212078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68.205905529933503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>
        <f>DO150*VLOOKUP('Données projet'!$B$14,Paramètres!$A$1:$I$89,3,0)*VLOOKUP('Données projet'!$B$14,Paramètres!$A$1:$I$89,5,0)</f>
        <v>0</v>
      </c>
      <c r="DQ150" s="13" t="e">
        <f t="shared" si="151"/>
        <v>#NUM!</v>
      </c>
      <c r="DR150" s="20" t="e">
        <f t="shared" si="124"/>
        <v>#NUM!</v>
      </c>
      <c r="DS150" s="59" t="e">
        <f t="shared" si="125"/>
        <v>#NUM!</v>
      </c>
      <c r="DT150" s="59">
        <f ca="1">AVERAGE(OFFSET($DS$3,0,0,'Données projet'!$E$14+1,1))-AVERAGE(OFFSET($H$3,0,0,'Données projet'!$E$14+1,1))</f>
        <v>211.42385430331873</v>
      </c>
      <c r="DU150" s="59">
        <f t="shared" si="152"/>
        <v>146.84623106782686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>
        <f>EXP(-LN(2)/35)*EA149+(1-EXP(-LN(2)/35))/(LN(2)/35)*DW150*DX150*VLOOKUP('Données projet'!$B$14,Paramètres!$A$1:$I$89,3,0)*0.475*44/12</f>
        <v>12.873211689824078</v>
      </c>
      <c r="EB150" s="21">
        <f>EXP(-LN(2)/25)*EB149+(1-EXP(-LN(2)/25))/(LN(2)/25)*Calculateur!DW150*Calculateur!DY150*VLOOKUP('Données projet'!$B$14,Paramètres!$A$1:$I$89,3,0)*0.475*44/12</f>
        <v>10.489167827390842</v>
      </c>
      <c r="EC150" s="21">
        <f>EXP(-LN(2)/2)*EC149+(1-EXP(-LN(2)/2))/(LN(2)/2)*DW150*DZ150*VLOOKUP('Données projet'!$B$14,Paramètres!$A$1:$I$89,3,0)*0.475*44/12</f>
        <v>4.4830060486507236E-4</v>
      </c>
      <c r="ED150" s="22">
        <f t="shared" si="126"/>
        <v>23.362827817819785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68.205905529933503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-9.9475983006414026E-14</v>
      </c>
      <c r="EK150" s="17">
        <f>EJ150*VLOOKUP('Données projet'!$B$15,Paramètres!$A$1:$I$89,3,0)*VLOOKUP('Données projet'!$B$15,Paramètres!$A$1:$I$89,5,0)</f>
        <v>-1.0707594810810407E-13</v>
      </c>
      <c r="EL150" s="13" t="e">
        <f t="shared" si="153"/>
        <v>#NUM!</v>
      </c>
      <c r="EM150" s="20" t="e">
        <f t="shared" si="127"/>
        <v>#NUM!</v>
      </c>
      <c r="EN150" s="59" t="e">
        <f t="shared" si="128"/>
        <v>#NUM!</v>
      </c>
      <c r="EO150" s="59">
        <f ca="1">AVERAGE(OFFSET($EN$3,0,0,'Données projet'!$E$15+1,1))-AVERAGE(OFFSET($H$3,0,0,'Données projet'!$E$15+1,1))</f>
        <v>212.00478362779876</v>
      </c>
      <c r="EP150" s="59">
        <f t="shared" si="154"/>
        <v>133.62262474506707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>
        <f>EXP(-LN(2)/35)*EV149+(1-EXP(-LN(2)/35))/(LN(2)/35)*ER150*ES150*VLOOKUP('Données projet'!$B$15,Paramètres!$A$1:$I$89,3,0)*0.475*44/12</f>
        <v>9.1751863391634476</v>
      </c>
      <c r="EW150" s="21">
        <f>EXP(-LN(2)/25)*EW149+(1-EXP(-LN(2)/25))/(LN(2)/25)*Calculateur!ER150*Calculateur!ET150*VLOOKUP('Données projet'!$B$15,Paramètres!$A$1:$I$89,3,0)*0.475*44/12</f>
        <v>9.6833693375147547</v>
      </c>
      <c r="EX150" s="21">
        <f>EXP(-LN(2)/2)*EX149+(1-EXP(-LN(2)/2))/(LN(2)/2)*ER150*EU150*VLOOKUP('Données projet'!$B$15,Paramètres!$A$1:$I$89,3,0)*0.475*44/12</f>
        <v>2.7134672759082375E-3</v>
      </c>
      <c r="EY150" s="22">
        <f t="shared" si="129"/>
        <v>18.861269143954107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68.205905529933503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-9.9475983006414026E-14</v>
      </c>
      <c r="FF150" s="17">
        <f>FE150*VLOOKUP('Données projet'!$B$16,Paramètres!$A$1:$I$89,3,0)*VLOOKUP('Données projet'!$B$16,Paramètres!$A$1:$I$89,5,0)</f>
        <v>-9.6213170763803652E-14</v>
      </c>
      <c r="FG150" s="13" t="e">
        <f t="shared" si="155"/>
        <v>#NUM!</v>
      </c>
      <c r="FH150" s="20" t="e">
        <f t="shared" si="130"/>
        <v>#NUM!</v>
      </c>
      <c r="FI150" s="59" t="e">
        <f t="shared" si="131"/>
        <v>#NUM!</v>
      </c>
      <c r="FJ150" s="59">
        <f ca="1">AVERAGE(OFFSET($FI$3,0,0,'Données projet'!$E$16+1,1))-AVERAGE(OFFSET($H$3,0,0,'Données projet'!$E$16+1,1))</f>
        <v>196.65742339093146</v>
      </c>
      <c r="FK150" s="59">
        <f t="shared" si="156"/>
        <v>125.41980634506001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>
        <f>EXP(-LN(2)/35)*FQ149+(1-EXP(-LN(2)/35))/(LN(2)/35)*FM150*FN150*VLOOKUP('Données projet'!$B$16,Paramètres!$A$1:$I$89,3,0)*0.475*44/12</f>
        <v>8.2443703337410721</v>
      </c>
      <c r="FR150" s="21">
        <f>EXP(-LN(2)/25)*FR149+(1-EXP(-LN(2)/25))/(LN(2)/25)*Calculateur!FM150*Calculateur!FO150*VLOOKUP('Données projet'!$B$16,Paramètres!$A$1:$I$89,3,0)*0.475*44/12</f>
        <v>8.7009985351581882</v>
      </c>
      <c r="FS150" s="21">
        <f>EXP(-LN(2)/2)*FS149+(1-EXP(-LN(2)/2))/(LN(2)/2)*FM150*FP150*VLOOKUP('Données projet'!$B$16,Paramètres!$A$1:$I$89,3,0)*0.475*44/12</f>
        <v>2.438187987047979E-3</v>
      </c>
      <c r="FT150" s="22">
        <f t="shared" si="132"/>
        <v>16.947807056886308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68.205905529933503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68.205905529933503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>
      <c r="A151" s="10">
        <f t="shared" si="139"/>
        <v>148</v>
      </c>
      <c r="B151" s="73">
        <f>'Scénario référence'!$B$16*5+'Scénario référence'!$B$17*0+'Scénario référence'!$B$18*5</f>
        <v>4.6999999999999993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7.896096000000016</v>
      </c>
      <c r="D151" s="11">
        <f t="shared" si="140"/>
        <v>2.8609197709229668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21.181530111445028</v>
      </c>
      <c r="H151" s="67">
        <f t="shared" si="110"/>
        <v>206.46846913435755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68.237029057994818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-2.2737367544323206E-13</v>
      </c>
      <c r="O151" s="13">
        <f>N151*VLOOKUP('Données projet'!$B$9,Paramètres!$A$1:$I$89,3,0)*VLOOKUP('Données projet'!$B$9,Paramètres!$A$1:$I$89,5,0)</f>
        <v>-1.3596945791505279E-13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366.93249569585623</v>
      </c>
      <c r="T151" s="59">
        <f t="shared" si="142"/>
        <v>272.47262353368501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39.864994837600172</v>
      </c>
      <c r="AA151" s="21">
        <f>EXP(-LN(2)/25)*AA150+(1-EXP(-LN(2)/25))/(LN(2)/25)*Calculateur!V151*Calculateur!X151*VLOOKUP('Données projet'!$B$9,Paramètres!$A$1:$I$89,3,0)*0.475*44/12</f>
        <v>7.8534690904549622</v>
      </c>
      <c r="AB151" s="21">
        <f>EXP(-LN(2)/2)*AB150+(1-EXP(-LN(2)/2))/(LN(2)/2)*V151*Y151*VLOOKUP('Données projet'!$B$9,Paramètres!$A$1:$I$89,3,0)*0.475*44/12</f>
        <v>4.1162503651115523E-9</v>
      </c>
      <c r="AC151" s="22">
        <f t="shared" si="111"/>
        <v>47.718463932171389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68.237029057994818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1.1368683772161603E-13</v>
      </c>
      <c r="AJ151" s="13">
        <f>AI151*VLOOKUP('Données projet'!$B$10,Paramètres!$A$1:$I$89,3,0)*VLOOKUP('Données projet'!$B$10,Paramètres!$A$1:$I$89,5,0)</f>
        <v>5.3205440053716299E-14</v>
      </c>
      <c r="AK151" s="13">
        <f t="shared" si="143"/>
        <v>8.602146238565607E-13</v>
      </c>
      <c r="AL151" s="20">
        <f t="shared" si="112"/>
        <v>1.590873277977066E-12</v>
      </c>
      <c r="AM151" s="59">
        <f t="shared" si="113"/>
        <v>286.86910654598256</v>
      </c>
      <c r="AN151" s="59">
        <f ca="1">AVERAGE(OFFSET($AM$3,0,0,'Données projet'!$E$10+1,1))-AVERAGE(OFFSET($H$3,0,0,'Données projet'!$E$10+1,1))</f>
        <v>382.89338473200229</v>
      </c>
      <c r="AO151" s="59">
        <f t="shared" si="144"/>
        <v>360.46248248971744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78.627525882422518</v>
      </c>
      <c r="AV151" s="21">
        <f>EXP(-LN(2)/25)*AV150+(1-EXP(-LN(2)/25))/(LN(2)/25)*Calculateur!AQ151*Calculateur!AS151*VLOOKUP('Données projet'!$B$10,Paramètres!$A$1:$I$89,3,0)*0.475*44/12</f>
        <v>16.530071346224219</v>
      </c>
      <c r="AW151" s="21">
        <f>EXP(-LN(2)/2)*AW150+(1-EXP(-LN(2)/2))/(LN(2)/2)*AQ151*AT151*VLOOKUP('Données projet'!$B$10,Paramètres!$A$1:$I$89,3,0)*0.475*44/12</f>
        <v>1.3226718223978201E-5</v>
      </c>
      <c r="AX151" s="21">
        <f t="shared" si="114"/>
        <v>95.15761045536496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68.237029057994818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>
        <f>BD151*VLOOKUP('Données projet'!$B$11,Paramètres!$A$1:$I$89,3,0)*VLOOKUP('Données projet'!$B$11,Paramètres!$A$1:$I$89,5,0)</f>
        <v>0</v>
      </c>
      <c r="BF151" s="13" t="e">
        <f t="shared" si="145"/>
        <v>#NUM!</v>
      </c>
      <c r="BG151" s="20" t="e">
        <f t="shared" si="115"/>
        <v>#NUM!</v>
      </c>
      <c r="BH151" s="59" t="e">
        <f t="shared" si="116"/>
        <v>#NUM!</v>
      </c>
      <c r="BI151" s="59">
        <f ca="1">AVERAGE(OFFSET($BH$3,0,0,'Données projet'!$E$11+1,1))-AVERAGE(OFFSET($H$3,0,0,'Données projet'!$E$11+1,1))</f>
        <v>225.75484198243581</v>
      </c>
      <c r="BJ151" s="59">
        <f t="shared" si="146"/>
        <v>199.49566488421061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2.8658422443618905</v>
      </c>
      <c r="BQ151" s="21">
        <f>EXP(-LN(2)/25)*BQ150+(1-EXP(-LN(2)/25))/(LN(2)/25)*Calculateur!BL151*Calculateur!BN151*VLOOKUP('Données projet'!$B$11,Paramètres!$A$1:$I$89,3,0)*0.475*44/12</f>
        <v>10.68987205364888</v>
      </c>
      <c r="BR151" s="21">
        <f>EXP(-LN(2)/2)*BR150+(1-EXP(-LN(2)/2))/(LN(2)/2)*BL151*BO151*VLOOKUP('Données projet'!$B$11,Paramètres!$A$1:$I$89,3,0)*0.475*44/12</f>
        <v>0</v>
      </c>
      <c r="BS151" s="22">
        <f t="shared" si="117"/>
        <v>13.55571429801077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68.237029057994818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1.1368683772161603E-13</v>
      </c>
      <c r="BZ151" s="13">
        <f>BY151*VLOOKUP('Données projet'!$B$12,Paramètres!$A$1:$I$89,3,0)*VLOOKUP('Données projet'!$B$12,Paramètres!$A$1:$I$89,5,0)</f>
        <v>1.0818439477588981E-13</v>
      </c>
      <c r="CA151" s="13">
        <f t="shared" si="147"/>
        <v>1.6104228458716316E-12</v>
      </c>
      <c r="CB151" s="20">
        <f t="shared" si="118"/>
        <v>2.9932409441277661E-12</v>
      </c>
      <c r="CC151" s="59">
        <f t="shared" si="119"/>
        <v>286.86910654598398</v>
      </c>
      <c r="CD151" s="59">
        <f ca="1">AVERAGE(OFFSET($CC$3,0,0,'Données projet'!$E$12+1,1))-AVERAGE(OFFSET($H$3,0,0,'Données projet'!$E$12+1,1))</f>
        <v>413.9352601863377</v>
      </c>
      <c r="CE151" s="59">
        <f t="shared" si="148"/>
        <v>255.13997349799286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26.415514827490853</v>
      </c>
      <c r="CL151" s="21">
        <f>EXP(-LN(2)/25)*CL150+(1-EXP(-LN(2)/25))/(LN(2)/25)*Calculateur!CG151*Calculateur!CI151*VLOOKUP('Données projet'!$B$12,Paramètres!$A$1:$I$89,3,0)*0.475*44/12</f>
        <v>21.267399713308517</v>
      </c>
      <c r="CM151" s="21">
        <f>EXP(-LN(2)/2)*CM150+(1-EXP(-LN(2)/2))/(LN(2)/2)*CG151*CJ151*VLOOKUP('Données projet'!$B$12,Paramètres!$A$1:$I$89,3,0)*0.475*44/12</f>
        <v>3.9581574434878362E-3</v>
      </c>
      <c r="CN151" s="22">
        <f t="shared" si="120"/>
        <v>47.686872698242858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68.237029057994818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2.8421709430404007E-14</v>
      </c>
      <c r="CU151" s="17">
        <f>CT151*VLOOKUP('Données projet'!$B$13,Paramètres!$A$1:$I$89,3,0)*VLOOKUP('Données projet'!$B$13,Paramètres!$A$1:$I$89,5,0)</f>
        <v>2.4829205358400945E-14</v>
      </c>
      <c r="CV151" s="13">
        <f t="shared" si="149"/>
        <v>4.3867331143352915E-13</v>
      </c>
      <c r="CW151" s="20">
        <f t="shared" si="121"/>
        <v>8.0726688341261168E-13</v>
      </c>
      <c r="CX151" s="59">
        <f t="shared" si="122"/>
        <v>286.86910654598177</v>
      </c>
      <c r="CY151" s="59">
        <f ca="1">AVERAGE(OFFSET($CX$3,0,0,'Données projet'!$E$13+1,1))-AVERAGE(OFFSET($H$3,0,0,'Données projet'!$E$13+1,1))</f>
        <v>280.59827778697775</v>
      </c>
      <c r="CZ151" s="59">
        <f t="shared" si="150"/>
        <v>270.86588231964726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>
        <f>EXP(-LN(2)/35)*DF150+(1-EXP(-LN(2)/35))/(LN(2)/35)*DB151*DC151*VLOOKUP('Données projet'!$B$13,Paramètres!$A$1:$I$89,3,0)*0.475*44/12</f>
        <v>8.5797379864117573</v>
      </c>
      <c r="DG151" s="21">
        <f>EXP(-LN(2)/25)*DG150+(1-EXP(-LN(2)/25))/(LN(2)/25)*Calculateur!DB151*Calculateur!DD151*VLOOKUP('Données projet'!$B$13,Paramètres!$A$1:$I$89,3,0)*0.475*44/12</f>
        <v>5.5391526777160296</v>
      </c>
      <c r="DH151" s="21">
        <f>EXP(-LN(2)/2)*DH150+(1-EXP(-LN(2)/2))/(LN(2)/2)*DB151*DE151*VLOOKUP('Données projet'!$B$13,Paramètres!$A$1:$I$89,3,0)*0.475*44/12</f>
        <v>2.6453310647413672E-9</v>
      </c>
      <c r="DI151" s="22">
        <f t="shared" si="123"/>
        <v>14.118890666773117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68.237029057994818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>
        <f>DO151*VLOOKUP('Données projet'!$B$14,Paramètres!$A$1:$I$89,3,0)*VLOOKUP('Données projet'!$B$14,Paramètres!$A$1:$I$89,5,0)</f>
        <v>0</v>
      </c>
      <c r="DQ151" s="13" t="e">
        <f t="shared" si="151"/>
        <v>#NUM!</v>
      </c>
      <c r="DR151" s="20" t="e">
        <f t="shared" si="124"/>
        <v>#NUM!</v>
      </c>
      <c r="DS151" s="59" t="e">
        <f t="shared" si="125"/>
        <v>#NUM!</v>
      </c>
      <c r="DT151" s="59">
        <f ca="1">AVERAGE(OFFSET($DS$3,0,0,'Données projet'!$E$14+1,1))-AVERAGE(OFFSET($H$3,0,0,'Données projet'!$E$14+1,1))</f>
        <v>211.42385430331873</v>
      </c>
      <c r="DU151" s="59">
        <f t="shared" si="152"/>
        <v>146.84623106782686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>
        <f>EXP(-LN(2)/35)*EA150+(1-EXP(-LN(2)/35))/(LN(2)/35)*DW151*DX151*VLOOKUP('Données projet'!$B$14,Paramètres!$A$1:$I$89,3,0)*0.475*44/12</f>
        <v>12.620775860470451</v>
      </c>
      <c r="EB151" s="21">
        <f>EXP(-LN(2)/25)*EB150+(1-EXP(-LN(2)/25))/(LN(2)/25)*Calculateur!DW151*Calculateur!DY151*VLOOKUP('Données projet'!$B$14,Paramètres!$A$1:$I$89,3,0)*0.475*44/12</f>
        <v>10.202340981549478</v>
      </c>
      <c r="EC151" s="21">
        <f>EXP(-LN(2)/2)*EC150+(1-EXP(-LN(2)/2))/(LN(2)/2)*DW151*DZ151*VLOOKUP('Données projet'!$B$14,Paramètres!$A$1:$I$89,3,0)*0.475*44/12</f>
        <v>3.1699639771012362E-4</v>
      </c>
      <c r="ED151" s="22">
        <f t="shared" si="126"/>
        <v>22.823433838417639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68.237029057994818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-9.9475983006414026E-14</v>
      </c>
      <c r="EK151" s="17">
        <f>EJ151*VLOOKUP('Données projet'!$B$15,Paramètres!$A$1:$I$89,3,0)*VLOOKUP('Données projet'!$B$15,Paramètres!$A$1:$I$89,5,0)</f>
        <v>-1.0707594810810407E-13</v>
      </c>
      <c r="EL151" s="13" t="e">
        <f t="shared" si="153"/>
        <v>#NUM!</v>
      </c>
      <c r="EM151" s="20" t="e">
        <f t="shared" si="127"/>
        <v>#NUM!</v>
      </c>
      <c r="EN151" s="59" t="e">
        <f t="shared" si="128"/>
        <v>#NUM!</v>
      </c>
      <c r="EO151" s="59">
        <f ca="1">AVERAGE(OFFSET($EN$3,0,0,'Données projet'!$E$15+1,1))-AVERAGE(OFFSET($H$3,0,0,'Données projet'!$E$15+1,1))</f>
        <v>212.00478362779876</v>
      </c>
      <c r="EP151" s="59">
        <f t="shared" si="154"/>
        <v>133.62262474506707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>
        <f>EXP(-LN(2)/35)*EV150+(1-EXP(-LN(2)/35))/(LN(2)/35)*ER151*ES151*VLOOKUP('Données projet'!$B$15,Paramètres!$A$1:$I$89,3,0)*0.475*44/12</f>
        <v>8.99526653136353</v>
      </c>
      <c r="EW151" s="21">
        <f>EXP(-LN(2)/25)*EW150+(1-EXP(-LN(2)/25))/(LN(2)/25)*Calculateur!ER151*Calculateur!ET151*VLOOKUP('Données projet'!$B$15,Paramètres!$A$1:$I$89,3,0)*0.475*44/12</f>
        <v>9.418577093754152</v>
      </c>
      <c r="EX151" s="21">
        <f>EXP(-LN(2)/2)*EX150+(1-EXP(-LN(2)/2))/(LN(2)/2)*ER151*EU151*VLOOKUP('Données projet'!$B$15,Paramètres!$A$1:$I$89,3,0)*0.475*44/12</f>
        <v>1.9187111113225033E-3</v>
      </c>
      <c r="EY151" s="22">
        <f t="shared" si="129"/>
        <v>18.415762336229005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68.237029057994818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-9.9475983006414026E-14</v>
      </c>
      <c r="FF151" s="17">
        <f>FE151*VLOOKUP('Données projet'!$B$16,Paramètres!$A$1:$I$89,3,0)*VLOOKUP('Données projet'!$B$16,Paramètres!$A$1:$I$89,5,0)</f>
        <v>-9.6213170763803652E-14</v>
      </c>
      <c r="FG151" s="13" t="e">
        <f t="shared" si="155"/>
        <v>#NUM!</v>
      </c>
      <c r="FH151" s="20" t="e">
        <f t="shared" si="130"/>
        <v>#NUM!</v>
      </c>
      <c r="FI151" s="59" t="e">
        <f t="shared" si="131"/>
        <v>#NUM!</v>
      </c>
      <c r="FJ151" s="59">
        <f ca="1">AVERAGE(OFFSET($FI$3,0,0,'Données projet'!$E$16+1,1))-AVERAGE(OFFSET($H$3,0,0,'Données projet'!$E$16+1,1))</f>
        <v>196.65742339093146</v>
      </c>
      <c r="FK151" s="59">
        <f t="shared" si="156"/>
        <v>125.41980634506001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>
        <f>EXP(-LN(2)/35)*FQ150+(1-EXP(-LN(2)/35))/(LN(2)/35)*FM151*FN151*VLOOKUP('Données projet'!$B$16,Paramètres!$A$1:$I$89,3,0)*0.475*44/12</f>
        <v>8.0827032600657827</v>
      </c>
      <c r="FR151" s="21">
        <f>EXP(-LN(2)/25)*FR150+(1-EXP(-LN(2)/25))/(LN(2)/25)*Calculateur!FM151*Calculateur!FO151*VLOOKUP('Données projet'!$B$16,Paramètres!$A$1:$I$89,3,0)*0.475*44/12</f>
        <v>8.4630692726486618</v>
      </c>
      <c r="FS151" s="21">
        <f>EXP(-LN(2)/2)*FS150+(1-EXP(-LN(2)/2))/(LN(2)/2)*FM151*FP151*VLOOKUP('Données projet'!$B$16,Paramètres!$A$1:$I$89,3,0)*0.475*44/12</f>
        <v>1.7240592594492041E-3</v>
      </c>
      <c r="FT151" s="22">
        <f t="shared" si="132"/>
        <v>16.547496591973893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68.237029057994818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68.237029057994818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>
      <c r="A152" s="10">
        <f t="shared" si="139"/>
        <v>149</v>
      </c>
      <c r="B152" s="73">
        <f>'Scénario référence'!$B$16*5+'Scénario référence'!$B$17*0+'Scénario référence'!$B$18*5</f>
        <v>4.6999999999999993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7.9494480000000163</v>
      </c>
      <c r="D152" s="11">
        <f t="shared" si="140"/>
        <v>2.8779935352284149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21.214148360175972</v>
      </c>
      <c r="H152" s="67">
        <f t="shared" si="110"/>
        <v>206.59112734052286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68.267612662426046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-2.2737367544323206E-13</v>
      </c>
      <c r="O152" s="13">
        <f>N152*VLOOKUP('Données projet'!$B$9,Paramètres!$A$1:$I$89,3,0)*VLOOKUP('Données projet'!$B$9,Paramètres!$A$1:$I$89,5,0)</f>
        <v>-1.3596945791505279E-13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366.93249569585623</v>
      </c>
      <c r="T152" s="59">
        <f t="shared" si="142"/>
        <v>272.47262353368501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39.083266604080755</v>
      </c>
      <c r="AA152" s="21">
        <f>EXP(-LN(2)/25)*AA151+(1-EXP(-LN(2)/25))/(LN(2)/25)*Calculateur!V152*Calculateur!X152*VLOOKUP('Données projet'!$B$9,Paramètres!$A$1:$I$89,3,0)*0.475*44/12</f>
        <v>7.6387155651804814</v>
      </c>
      <c r="AB152" s="21">
        <f>EXP(-LN(2)/2)*AB151+(1-EXP(-LN(2)/2))/(LN(2)/2)*V152*Y152*VLOOKUP('Données projet'!$B$9,Paramètres!$A$1:$I$89,3,0)*0.475*44/12</f>
        <v>2.9106285462319808E-9</v>
      </c>
      <c r="AC152" s="22">
        <f t="shared" si="111"/>
        <v>46.72198217217187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68.267612662426046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1.1368683772161603E-13</v>
      </c>
      <c r="AJ152" s="13">
        <f>AI152*VLOOKUP('Données projet'!$B$10,Paramètres!$A$1:$I$89,3,0)*VLOOKUP('Données projet'!$B$10,Paramètres!$A$1:$I$89,5,0)</f>
        <v>5.3205440053716299E-14</v>
      </c>
      <c r="AK152" s="13">
        <f t="shared" si="143"/>
        <v>8.602146238565607E-13</v>
      </c>
      <c r="AL152" s="20">
        <f t="shared" si="112"/>
        <v>1.590873277977066E-12</v>
      </c>
      <c r="AM152" s="59">
        <f t="shared" si="113"/>
        <v>286.98124642889712</v>
      </c>
      <c r="AN152" s="59">
        <f ca="1">AVERAGE(OFFSET($AM$3,0,0,'Données projet'!$E$10+1,1))-AVERAGE(OFFSET($H$3,0,0,'Données projet'!$E$10+1,1))</f>
        <v>382.89338473200229</v>
      </c>
      <c r="AO152" s="59">
        <f t="shared" si="144"/>
        <v>360.46248248971744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77.085688057923534</v>
      </c>
      <c r="AV152" s="21">
        <f>EXP(-LN(2)/25)*AV151+(1-EXP(-LN(2)/25))/(LN(2)/25)*Calculateur!AQ152*Calculateur!AS152*VLOOKUP('Données projet'!$B$10,Paramètres!$A$1:$I$89,3,0)*0.475*44/12</f>
        <v>16.078055675983045</v>
      </c>
      <c r="AW152" s="21">
        <f>EXP(-LN(2)/2)*AW151+(1-EXP(-LN(2)/2))/(LN(2)/2)*AQ152*AT152*VLOOKUP('Données projet'!$B$10,Paramètres!$A$1:$I$89,3,0)*0.475*44/12</f>
        <v>9.352702149018674E-6</v>
      </c>
      <c r="AX152" s="21">
        <f t="shared" si="114"/>
        <v>93.163753086608736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68.267612662426046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>
        <f>BD152*VLOOKUP('Données projet'!$B$11,Paramètres!$A$1:$I$89,3,0)*VLOOKUP('Données projet'!$B$11,Paramètres!$A$1:$I$89,5,0)</f>
        <v>0</v>
      </c>
      <c r="BF152" s="13" t="e">
        <f t="shared" si="145"/>
        <v>#NUM!</v>
      </c>
      <c r="BG152" s="20" t="e">
        <f t="shared" si="115"/>
        <v>#NUM!</v>
      </c>
      <c r="BH152" s="59" t="e">
        <f t="shared" si="116"/>
        <v>#NUM!</v>
      </c>
      <c r="BI152" s="59">
        <f ca="1">AVERAGE(OFFSET($BH$3,0,0,'Données projet'!$E$11+1,1))-AVERAGE(OFFSET($H$3,0,0,'Données projet'!$E$11+1,1))</f>
        <v>225.75484198243581</v>
      </c>
      <c r="BJ152" s="59">
        <f t="shared" si="146"/>
        <v>199.49566488421061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2.8096448259411231</v>
      </c>
      <c r="BQ152" s="21">
        <f>EXP(-LN(2)/25)*BQ151+(1-EXP(-LN(2)/25))/(LN(2)/25)*Calculateur!BL152*Calculateur!BN152*VLOOKUP('Données projet'!$B$11,Paramètres!$A$1:$I$89,3,0)*0.475*44/12</f>
        <v>10.397556940185913</v>
      </c>
      <c r="BR152" s="21">
        <f>EXP(-LN(2)/2)*BR151+(1-EXP(-LN(2)/2))/(LN(2)/2)*BL152*BO152*VLOOKUP('Données projet'!$B$11,Paramètres!$A$1:$I$89,3,0)*0.475*44/12</f>
        <v>0</v>
      </c>
      <c r="BS152" s="22">
        <f t="shared" si="117"/>
        <v>13.207201766127035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68.267612662426046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1.1368683772161603E-13</v>
      </c>
      <c r="BZ152" s="13">
        <f>BY152*VLOOKUP('Données projet'!$B$12,Paramètres!$A$1:$I$89,3,0)*VLOOKUP('Données projet'!$B$12,Paramètres!$A$1:$I$89,5,0)</f>
        <v>1.0818439477588981E-13</v>
      </c>
      <c r="CA152" s="13">
        <f t="shared" si="147"/>
        <v>1.6104228458716316E-12</v>
      </c>
      <c r="CB152" s="20">
        <f t="shared" si="118"/>
        <v>2.9932409441277661E-12</v>
      </c>
      <c r="CC152" s="59">
        <f t="shared" si="119"/>
        <v>286.98124642889854</v>
      </c>
      <c r="CD152" s="59">
        <f ca="1">AVERAGE(OFFSET($CC$3,0,0,'Données projet'!$E$12+1,1))-AVERAGE(OFFSET($H$3,0,0,'Données projet'!$E$12+1,1))</f>
        <v>413.9352601863377</v>
      </c>
      <c r="CE152" s="59">
        <f t="shared" si="148"/>
        <v>255.13997349799286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25.897522693596887</v>
      </c>
      <c r="CL152" s="21">
        <f>EXP(-LN(2)/25)*CL151+(1-EXP(-LN(2)/25))/(LN(2)/25)*Calculateur!CG152*Calculateur!CI152*VLOOKUP('Données projet'!$B$12,Paramètres!$A$1:$I$89,3,0)*0.475*44/12</f>
        <v>20.685841549744151</v>
      </c>
      <c r="CM152" s="21">
        <f>EXP(-LN(2)/2)*CM151+(1-EXP(-LN(2)/2))/(LN(2)/2)*CG152*CJ152*VLOOKUP('Données projet'!$B$12,Paramètres!$A$1:$I$89,3,0)*0.475*44/12</f>
        <v>2.7988399692942577E-3</v>
      </c>
      <c r="CN152" s="22">
        <f t="shared" si="120"/>
        <v>46.586163083310332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68.267612662426046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2.8421709430404007E-14</v>
      </c>
      <c r="CU152" s="17">
        <f>CT152*VLOOKUP('Données projet'!$B$13,Paramètres!$A$1:$I$89,3,0)*VLOOKUP('Données projet'!$B$13,Paramètres!$A$1:$I$89,5,0)</f>
        <v>2.4829205358400945E-14</v>
      </c>
      <c r="CV152" s="13">
        <f t="shared" si="149"/>
        <v>4.3867331143352915E-13</v>
      </c>
      <c r="CW152" s="20">
        <f t="shared" si="121"/>
        <v>8.0726688341261168E-13</v>
      </c>
      <c r="CX152" s="59">
        <f t="shared" si="122"/>
        <v>286.98124642889633</v>
      </c>
      <c r="CY152" s="59">
        <f ca="1">AVERAGE(OFFSET($CX$3,0,0,'Données projet'!$E$13+1,1))-AVERAGE(OFFSET($H$3,0,0,'Données projet'!$E$13+1,1))</f>
        <v>280.59827778697775</v>
      </c>
      <c r="CZ152" s="59">
        <f t="shared" si="150"/>
        <v>270.86588231964726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>
        <f>EXP(-LN(2)/35)*DF151+(1-EXP(-LN(2)/35))/(LN(2)/35)*DB152*DC152*VLOOKUP('Données projet'!$B$13,Paramètres!$A$1:$I$89,3,0)*0.475*44/12</f>
        <v>8.4114945576216673</v>
      </c>
      <c r="DG152" s="21">
        <f>EXP(-LN(2)/25)*DG151+(1-EXP(-LN(2)/25))/(LN(2)/25)*Calculateur!DB152*Calculateur!DD152*VLOOKUP('Données projet'!$B$13,Paramètres!$A$1:$I$89,3,0)*0.475*44/12</f>
        <v>5.3876842564525056</v>
      </c>
      <c r="DH152" s="21">
        <f>EXP(-LN(2)/2)*DH151+(1-EXP(-LN(2)/2))/(LN(2)/2)*DB152*DE152*VLOOKUP('Données projet'!$B$13,Paramètres!$A$1:$I$89,3,0)*0.475*44/12</f>
        <v>1.8705315343620507E-9</v>
      </c>
      <c r="DI152" s="22">
        <f t="shared" si="123"/>
        <v>13.799178815944705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68.267612662426046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>
        <f>DO152*VLOOKUP('Données projet'!$B$14,Paramètres!$A$1:$I$89,3,0)*VLOOKUP('Données projet'!$B$14,Paramètres!$A$1:$I$89,5,0)</f>
        <v>0</v>
      </c>
      <c r="DQ152" s="13" t="e">
        <f t="shared" si="151"/>
        <v>#NUM!</v>
      </c>
      <c r="DR152" s="20" t="e">
        <f t="shared" si="124"/>
        <v>#NUM!</v>
      </c>
      <c r="DS152" s="59" t="e">
        <f t="shared" si="125"/>
        <v>#NUM!</v>
      </c>
      <c r="DT152" s="59">
        <f ca="1">AVERAGE(OFFSET($DS$3,0,0,'Données projet'!$E$14+1,1))-AVERAGE(OFFSET($H$3,0,0,'Données projet'!$E$14+1,1))</f>
        <v>211.42385430331873</v>
      </c>
      <c r="DU152" s="59">
        <f t="shared" si="152"/>
        <v>146.84623106782686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>
        <f>EXP(-LN(2)/35)*EA151+(1-EXP(-LN(2)/35))/(LN(2)/35)*DW152*DX152*VLOOKUP('Données projet'!$B$14,Paramètres!$A$1:$I$89,3,0)*0.475*44/12</f>
        <v>12.373290143759794</v>
      </c>
      <c r="EB152" s="21">
        <f>EXP(-LN(2)/25)*EB151+(1-EXP(-LN(2)/25))/(LN(2)/25)*Calculateur!DW152*Calculateur!DY152*VLOOKUP('Données projet'!$B$14,Paramètres!$A$1:$I$89,3,0)*0.475*44/12</f>
        <v>9.9233574308912136</v>
      </c>
      <c r="EC152" s="21">
        <f>EXP(-LN(2)/2)*EC151+(1-EXP(-LN(2)/2))/(LN(2)/2)*DW152*DZ152*VLOOKUP('Données projet'!$B$14,Paramètres!$A$1:$I$89,3,0)*0.475*44/12</f>
        <v>2.2415030243253618E-4</v>
      </c>
      <c r="ED152" s="22">
        <f t="shared" si="126"/>
        <v>22.296871724953441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68.267612662426046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-9.9475983006414026E-14</v>
      </c>
      <c r="EK152" s="17">
        <f>EJ152*VLOOKUP('Données projet'!$B$15,Paramètres!$A$1:$I$89,3,0)*VLOOKUP('Données projet'!$B$15,Paramètres!$A$1:$I$89,5,0)</f>
        <v>-1.0707594810810407E-13</v>
      </c>
      <c r="EL152" s="13" t="e">
        <f t="shared" si="153"/>
        <v>#NUM!</v>
      </c>
      <c r="EM152" s="20" t="e">
        <f t="shared" si="127"/>
        <v>#NUM!</v>
      </c>
      <c r="EN152" s="59" t="e">
        <f t="shared" si="128"/>
        <v>#NUM!</v>
      </c>
      <c r="EO152" s="59">
        <f ca="1">AVERAGE(OFFSET($EN$3,0,0,'Données projet'!$E$15+1,1))-AVERAGE(OFFSET($H$3,0,0,'Données projet'!$E$15+1,1))</f>
        <v>212.00478362779876</v>
      </c>
      <c r="EP152" s="59">
        <f t="shared" si="154"/>
        <v>133.62262474506707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>
        <f>EXP(-LN(2)/35)*EV151+(1-EXP(-LN(2)/35))/(LN(2)/35)*ER152*ES152*VLOOKUP('Données projet'!$B$15,Paramètres!$A$1:$I$89,3,0)*0.475*44/12</f>
        <v>8.8188748412543223</v>
      </c>
      <c r="EW152" s="21">
        <f>EXP(-LN(2)/25)*EW151+(1-EXP(-LN(2)/25))/(LN(2)/25)*Calculateur!ER152*Calculateur!ET152*VLOOKUP('Données projet'!$B$15,Paramètres!$A$1:$I$89,3,0)*0.475*44/12</f>
        <v>9.1610256078240013</v>
      </c>
      <c r="EX152" s="21">
        <f>EXP(-LN(2)/2)*EX151+(1-EXP(-LN(2)/2))/(LN(2)/2)*ER152*EU152*VLOOKUP('Données projet'!$B$15,Paramètres!$A$1:$I$89,3,0)*0.475*44/12</f>
        <v>1.3567336379541189E-3</v>
      </c>
      <c r="EY152" s="22">
        <f t="shared" si="129"/>
        <v>17.981257182716277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68.267612662426046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-9.9475983006414026E-14</v>
      </c>
      <c r="FF152" s="17">
        <f>FE152*VLOOKUP('Données projet'!$B$16,Paramètres!$A$1:$I$89,3,0)*VLOOKUP('Données projet'!$B$16,Paramètres!$A$1:$I$89,5,0)</f>
        <v>-9.6213170763803652E-14</v>
      </c>
      <c r="FG152" s="13" t="e">
        <f t="shared" si="155"/>
        <v>#NUM!</v>
      </c>
      <c r="FH152" s="20" t="e">
        <f t="shared" si="130"/>
        <v>#NUM!</v>
      </c>
      <c r="FI152" s="59" t="e">
        <f t="shared" si="131"/>
        <v>#NUM!</v>
      </c>
      <c r="FJ152" s="59">
        <f ca="1">AVERAGE(OFFSET($FI$3,0,0,'Données projet'!$E$16+1,1))-AVERAGE(OFFSET($H$3,0,0,'Données projet'!$E$16+1,1))</f>
        <v>196.65742339093146</v>
      </c>
      <c r="FK152" s="59">
        <f t="shared" si="156"/>
        <v>125.41980634506001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>
        <f>EXP(-LN(2)/35)*FQ151+(1-EXP(-LN(2)/35))/(LN(2)/35)*FM152*FN152*VLOOKUP('Données projet'!$B$16,Paramètres!$A$1:$I$89,3,0)*0.475*44/12</f>
        <v>7.9242063790980879</v>
      </c>
      <c r="FR152" s="21">
        <f>EXP(-LN(2)/25)*FR151+(1-EXP(-LN(2)/25))/(LN(2)/25)*Calculateur!FM152*Calculateur!FO152*VLOOKUP('Données projet'!$B$16,Paramètres!$A$1:$I$89,3,0)*0.475*44/12</f>
        <v>8.2316461983346141</v>
      </c>
      <c r="FS152" s="21">
        <f>EXP(-LN(2)/2)*FS151+(1-EXP(-LN(2)/2))/(LN(2)/2)*FM152*FP152*VLOOKUP('Données projet'!$B$16,Paramètres!$A$1:$I$89,3,0)*0.475*44/12</f>
        <v>1.2190939935239895E-3</v>
      </c>
      <c r="FT152" s="22">
        <f t="shared" si="132"/>
        <v>16.157071671426227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68.267612662426046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68.267612662426046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>
      <c r="A153" s="10">
        <f>A152+1</f>
        <v>150</v>
      </c>
      <c r="B153" s="73">
        <f>'Scénario référence'!$B$16*5+'Scénario référence'!$B$17*0+'Scénario référence'!$B$18*5</f>
        <v>4.6999999999999993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8.0028000000000166</v>
      </c>
      <c r="D153" s="11">
        <f t="shared" si="140"/>
        <v>2.8950539664743848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21.24676043359516</v>
      </c>
      <c r="H153" s="67">
        <f t="shared" si="110"/>
        <v>206.71376232494293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68.297665709695096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-2.2737367544323206E-13</v>
      </c>
      <c r="O153" s="13">
        <f>N153*VLOOKUP('Données projet'!$B$9,Paramètres!$A$1:$I$89,3,0)*VLOOKUP('Données projet'!$B$9,Paramètres!$A$1:$I$89,5,0)</f>
        <v>-1.3596945791505279E-13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366.93249569585623</v>
      </c>
      <c r="T153" s="59">
        <f t="shared" si="142"/>
        <v>272.47262353368501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38.316867584413508</v>
      </c>
      <c r="AA153" s="21">
        <f>EXP(-LN(2)/25)*AA152+(1-EXP(-LN(2)/25))/(LN(2)/25)*Calculateur!V153*Calculateur!X153*VLOOKUP('Données projet'!$B$9,Paramètres!$A$1:$I$89,3,0)*0.475*44/12</f>
        <v>7.4298344863480281</v>
      </c>
      <c r="AB153" s="21">
        <f>EXP(-LN(2)/2)*AB152+(1-EXP(-LN(2)/2))/(LN(2)/2)*V153*Y153*VLOOKUP('Données projet'!$B$9,Paramètres!$A$1:$I$89,3,0)*0.475*44/12</f>
        <v>2.0581251825557762E-9</v>
      </c>
      <c r="AC153" s="22">
        <f t="shared" si="111"/>
        <v>45.746702072819659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68.297665709695096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1.1368683772161603E-13</v>
      </c>
      <c r="AJ153" s="13">
        <f>AI153*VLOOKUP('Données projet'!$B$10,Paramètres!$A$1:$I$89,3,0)*VLOOKUP('Données projet'!$B$10,Paramètres!$A$1:$I$89,5,0)</f>
        <v>5.3205440053716299E-14</v>
      </c>
      <c r="AK153" s="13">
        <f t="shared" si="143"/>
        <v>8.602146238565607E-13</v>
      </c>
      <c r="AL153" s="20">
        <f t="shared" si="112"/>
        <v>1.590873277977066E-12</v>
      </c>
      <c r="AM153" s="59">
        <f t="shared" si="113"/>
        <v>287.09144093555028</v>
      </c>
      <c r="AN153" s="59">
        <f ca="1">AVERAGE(OFFSET($AM$3,0,0,'Données projet'!$E$10+1,1))-AVERAGE(OFFSET($H$3,0,0,'Données projet'!$E$10+1,1))</f>
        <v>382.89338473200229</v>
      </c>
      <c r="AO153" s="59">
        <f t="shared" si="144"/>
        <v>360.46248248971744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75.574084732734761</v>
      </c>
      <c r="AV153" s="21">
        <f>EXP(-LN(2)/25)*AV152+(1-EXP(-LN(2)/25))/(LN(2)/25)*Calculateur!AQ153*Calculateur!AS153*VLOOKUP('Données projet'!$B$10,Paramètres!$A$1:$I$89,3,0)*0.475*44/12</f>
        <v>15.638400398015087</v>
      </c>
      <c r="AW153" s="21">
        <f>EXP(-LN(2)/2)*AW152+(1-EXP(-LN(2)/2))/(LN(2)/2)*AQ153*AT153*VLOOKUP('Données projet'!$B$10,Paramètres!$A$1:$I$89,3,0)*0.475*44/12</f>
        <v>6.6133591119891004E-6</v>
      </c>
      <c r="AX153" s="21">
        <f t="shared" si="114"/>
        <v>91.212491744108974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68.297665709695096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>
        <f>BD153*VLOOKUP('Données projet'!$B$11,Paramètres!$A$1:$I$89,3,0)*VLOOKUP('Données projet'!$B$11,Paramètres!$A$1:$I$89,5,0)</f>
        <v>0</v>
      </c>
      <c r="BF153" s="13" t="e">
        <f t="shared" si="145"/>
        <v>#NUM!</v>
      </c>
      <c r="BG153" s="20" t="e">
        <f t="shared" si="115"/>
        <v>#NUM!</v>
      </c>
      <c r="BH153" s="59" t="e">
        <f t="shared" si="116"/>
        <v>#NUM!</v>
      </c>
      <c r="BI153" s="59">
        <f ca="1">AVERAGE(OFFSET($BH$3,0,0,'Données projet'!$E$11+1,1))-AVERAGE(OFFSET($H$3,0,0,'Données projet'!$E$11+1,1))</f>
        <v>225.75484198243581</v>
      </c>
      <c r="BJ153" s="59">
        <f t="shared" si="146"/>
        <v>199.49566488421061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2.7545494046185461</v>
      </c>
      <c r="BQ153" s="21">
        <f>EXP(-LN(2)/25)*BQ152+(1-EXP(-LN(2)/25))/(LN(2)/25)*Calculateur!BL153*Calculateur!BN153*VLOOKUP('Données projet'!$B$11,Paramètres!$A$1:$I$89,3,0)*0.475*44/12</f>
        <v>10.113235198872774</v>
      </c>
      <c r="BR153" s="21">
        <f>EXP(-LN(2)/2)*BR152+(1-EXP(-LN(2)/2))/(LN(2)/2)*BL153*BO153*VLOOKUP('Données projet'!$B$11,Paramètres!$A$1:$I$89,3,0)*0.475*44/12</f>
        <v>0</v>
      </c>
      <c r="BS153" s="22">
        <f t="shared" si="117"/>
        <v>12.867784603491319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68.297665709695096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1.1368683772161603E-13</v>
      </c>
      <c r="BZ153" s="13">
        <f>BY153*VLOOKUP('Données projet'!$B$12,Paramètres!$A$1:$I$89,3,0)*VLOOKUP('Données projet'!$B$12,Paramètres!$A$1:$I$89,5,0)</f>
        <v>1.0818439477588981E-13</v>
      </c>
      <c r="CA153" s="13">
        <f t="shared" si="147"/>
        <v>1.6104228458716316E-12</v>
      </c>
      <c r="CB153" s="20">
        <f t="shared" si="118"/>
        <v>2.9932409441277661E-12</v>
      </c>
      <c r="CC153" s="59">
        <f t="shared" si="119"/>
        <v>287.0914409355517</v>
      </c>
      <c r="CD153" s="59">
        <f ca="1">AVERAGE(OFFSET($CC$3,0,0,'Données projet'!$E$12+1,1))-AVERAGE(OFFSET($H$3,0,0,'Données projet'!$E$12+1,1))</f>
        <v>413.9352601863377</v>
      </c>
      <c r="CE153" s="59">
        <f t="shared" si="148"/>
        <v>255.13997349799286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25.389688069504576</v>
      </c>
      <c r="CL153" s="21">
        <f>EXP(-LN(2)/25)*CL152+(1-EXP(-LN(2)/25))/(LN(2)/25)*Calculateur!CG153*Calculateur!CI153*VLOOKUP('Données projet'!$B$12,Paramètres!$A$1:$I$89,3,0)*0.475*44/12</f>
        <v>20.120186124745267</v>
      </c>
      <c r="CM153" s="21">
        <f>EXP(-LN(2)/2)*CM152+(1-EXP(-LN(2)/2))/(LN(2)/2)*CG153*CJ153*VLOOKUP('Données projet'!$B$12,Paramètres!$A$1:$I$89,3,0)*0.475*44/12</f>
        <v>1.9790787217439181E-3</v>
      </c>
      <c r="CN153" s="22">
        <f t="shared" si="120"/>
        <v>45.511853272971592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68.297665709695096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2.8421709430404007E-14</v>
      </c>
      <c r="CU153" s="17">
        <f>CT153*VLOOKUP('Données projet'!$B$13,Paramètres!$A$1:$I$89,3,0)*VLOOKUP('Données projet'!$B$13,Paramètres!$A$1:$I$89,5,0)</f>
        <v>2.4829205358400945E-14</v>
      </c>
      <c r="CV153" s="13">
        <f t="shared" si="149"/>
        <v>4.3867331143352915E-13</v>
      </c>
      <c r="CW153" s="20">
        <f t="shared" si="121"/>
        <v>8.0726688341261168E-13</v>
      </c>
      <c r="CX153" s="59">
        <f t="shared" si="122"/>
        <v>287.09144093554949</v>
      </c>
      <c r="CY153" s="59">
        <f ca="1">AVERAGE(OFFSET($CX$3,0,0,'Données projet'!$E$13+1,1))-AVERAGE(OFFSET($H$3,0,0,'Données projet'!$E$13+1,1))</f>
        <v>280.59827778697775</v>
      </c>
      <c r="CZ153" s="59">
        <f t="shared" si="150"/>
        <v>270.86588231964726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>
        <f>EXP(-LN(2)/35)*DF152+(1-EXP(-LN(2)/35))/(LN(2)/35)*DB153*DC153*VLOOKUP('Données projet'!$B$13,Paramètres!$A$1:$I$89,3,0)*0.475*44/12</f>
        <v>8.2465502798517907</v>
      </c>
      <c r="DG153" s="21">
        <f>EXP(-LN(2)/25)*DG152+(1-EXP(-LN(2)/25))/(LN(2)/25)*Calculateur!DB153*Calculateur!DD153*VLOOKUP('Données projet'!$B$13,Paramètres!$A$1:$I$89,3,0)*0.475*44/12</f>
        <v>5.2403577471338103</v>
      </c>
      <c r="DH153" s="21">
        <f>EXP(-LN(2)/2)*DH152+(1-EXP(-LN(2)/2))/(LN(2)/2)*DB153*DE153*VLOOKUP('Données projet'!$B$13,Paramètres!$A$1:$I$89,3,0)*0.475*44/12</f>
        <v>1.3226655323706836E-9</v>
      </c>
      <c r="DI153" s="22">
        <f t="shared" si="123"/>
        <v>13.486908028308267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68.297665709695096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>
        <f>DO153*VLOOKUP('Données projet'!$B$14,Paramètres!$A$1:$I$89,3,0)*VLOOKUP('Données projet'!$B$14,Paramètres!$A$1:$I$89,5,0)</f>
        <v>0</v>
      </c>
      <c r="DQ153" s="13" t="e">
        <f t="shared" si="151"/>
        <v>#NUM!</v>
      </c>
      <c r="DR153" s="20" t="e">
        <f t="shared" si="124"/>
        <v>#NUM!</v>
      </c>
      <c r="DS153" s="59" t="e">
        <f t="shared" si="125"/>
        <v>#NUM!</v>
      </c>
      <c r="DT153" s="59">
        <f ca="1">AVERAGE(OFFSET($DS$3,0,0,'Données projet'!$E$14+1,1))-AVERAGE(OFFSET($H$3,0,0,'Données projet'!$E$14+1,1))</f>
        <v>211.42385430331873</v>
      </c>
      <c r="DU153" s="59">
        <f t="shared" si="152"/>
        <v>146.84623106782686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>
        <f>EXP(-LN(2)/35)*EA152+(1-EXP(-LN(2)/35))/(LN(2)/35)*DW153*DX153*VLOOKUP('Données projet'!$B$14,Paramètres!$A$1:$I$89,3,0)*0.475*44/12</f>
        <v>12.130657471002452</v>
      </c>
      <c r="EB153" s="21">
        <f>EXP(-LN(2)/25)*EB152+(1-EXP(-LN(2)/25))/(LN(2)/25)*Calculateur!DW153*Calculateur!DY153*VLOOKUP('Données projet'!$B$14,Paramètres!$A$1:$I$89,3,0)*0.475*44/12</f>
        <v>9.6520027000968067</v>
      </c>
      <c r="EC153" s="21">
        <f>EXP(-LN(2)/2)*EC152+(1-EXP(-LN(2)/2))/(LN(2)/2)*DW153*DZ153*VLOOKUP('Données projet'!$B$14,Paramètres!$A$1:$I$89,3,0)*0.475*44/12</f>
        <v>1.5849819885506181E-4</v>
      </c>
      <c r="ED153" s="22">
        <f t="shared" si="126"/>
        <v>21.782818669298113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68.297665709695096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-9.9475983006414026E-14</v>
      </c>
      <c r="EK153" s="17">
        <f>EJ153*VLOOKUP('Données projet'!$B$15,Paramètres!$A$1:$I$89,3,0)*VLOOKUP('Données projet'!$B$15,Paramètres!$A$1:$I$89,5,0)</f>
        <v>-1.0707594810810407E-13</v>
      </c>
      <c r="EL153" s="13" t="e">
        <f t="shared" si="153"/>
        <v>#NUM!</v>
      </c>
      <c r="EM153" s="20" t="e">
        <f t="shared" si="127"/>
        <v>#NUM!</v>
      </c>
      <c r="EN153" s="59" t="e">
        <f t="shared" si="128"/>
        <v>#NUM!</v>
      </c>
      <c r="EO153" s="59">
        <f ca="1">AVERAGE(OFFSET($EN$3,0,0,'Données projet'!$E$15+1,1))-AVERAGE(OFFSET($H$3,0,0,'Données projet'!$E$15+1,1))</f>
        <v>212.00478362779876</v>
      </c>
      <c r="EP153" s="59">
        <f t="shared" si="154"/>
        <v>133.62262474506707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>
        <f>EXP(-LN(2)/35)*EV152+(1-EXP(-LN(2)/35))/(LN(2)/35)*ER153*ES153*VLOOKUP('Données projet'!$B$15,Paramètres!$A$1:$I$89,3,0)*0.475*44/12</f>
        <v>8.6459420845998469</v>
      </c>
      <c r="EW153" s="21">
        <f>EXP(-LN(2)/25)*EW152+(1-EXP(-LN(2)/25))/(LN(2)/25)*Calculateur!ER153*Calculateur!ET153*VLOOKUP('Données projet'!$B$15,Paramètres!$A$1:$I$89,3,0)*0.475*44/12</f>
        <v>8.910516880820655</v>
      </c>
      <c r="EX153" s="21">
        <f>EXP(-LN(2)/2)*EX152+(1-EXP(-LN(2)/2))/(LN(2)/2)*ER153*EU153*VLOOKUP('Données projet'!$B$15,Paramètres!$A$1:$I$89,3,0)*0.475*44/12</f>
        <v>9.5935555566125188E-4</v>
      </c>
      <c r="EY153" s="22">
        <f t="shared" si="129"/>
        <v>17.557418320976165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68.297665709695096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-9.9475983006414026E-14</v>
      </c>
      <c r="FF153" s="17">
        <f>FE153*VLOOKUP('Données projet'!$B$16,Paramètres!$A$1:$I$89,3,0)*VLOOKUP('Données projet'!$B$16,Paramètres!$A$1:$I$89,5,0)</f>
        <v>-9.6213170763803652E-14</v>
      </c>
      <c r="FG153" s="13" t="e">
        <f t="shared" si="155"/>
        <v>#NUM!</v>
      </c>
      <c r="FH153" s="20" t="e">
        <f t="shared" si="130"/>
        <v>#NUM!</v>
      </c>
      <c r="FI153" s="59" t="e">
        <f t="shared" si="131"/>
        <v>#NUM!</v>
      </c>
      <c r="FJ153" s="59">
        <f ca="1">AVERAGE(OFFSET($FI$3,0,0,'Données projet'!$E$16+1,1))-AVERAGE(OFFSET($H$3,0,0,'Données projet'!$E$16+1,1))</f>
        <v>196.65742339093146</v>
      </c>
      <c r="FK153" s="59">
        <f t="shared" si="156"/>
        <v>125.41980634506001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>
        <f>EXP(-LN(2)/35)*FQ152+(1-EXP(-LN(2)/35))/(LN(2)/35)*FM153*FN153*VLOOKUP('Données projet'!$B$16,Paramètres!$A$1:$I$89,3,0)*0.475*44/12</f>
        <v>7.7688175252926177</v>
      </c>
      <c r="FR153" s="21">
        <f>EXP(-LN(2)/25)*FR152+(1-EXP(-LN(2)/25))/(LN(2)/25)*Calculateur!FM153*Calculateur!FO153*VLOOKUP('Données projet'!$B$16,Paramètres!$A$1:$I$89,3,0)*0.475*44/12</f>
        <v>8.0065514001576936</v>
      </c>
      <c r="FS153" s="21">
        <f>EXP(-LN(2)/2)*FS152+(1-EXP(-LN(2)/2))/(LN(2)/2)*FM153*FP153*VLOOKUP('Données projet'!$B$16,Paramètres!$A$1:$I$89,3,0)*0.475*44/12</f>
        <v>8.6202962972460205E-4</v>
      </c>
      <c r="FT153" s="22">
        <f t="shared" si="132"/>
        <v>15.776230955080036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68.297665709695096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68.297665709695096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>
      <c r="A154" s="10">
        <f t="shared" ref="A154:A202" si="161">A153+1</f>
        <v>151</v>
      </c>
      <c r="B154" s="73">
        <f>'Scénario référence'!$B$16*5+'Scénario référence'!$B$17*0+'Scénario référence'!$B$18*5</f>
        <v>4.6999999999999993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8.0561520000000169</v>
      </c>
      <c r="D154" s="11">
        <f t="shared" si="140"/>
        <v>2.9121011638573755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21.27936637764623</v>
      </c>
      <c r="H154" s="67">
        <f t="shared" si="110"/>
        <v>206.83637426038499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68.327197403782563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-2.2737367544323206E-13</v>
      </c>
      <c r="O154" s="13">
        <f>N154*VLOOKUP('Données projet'!$B$9,Paramètres!$A$1:$I$89,3,0)*VLOOKUP('Données projet'!$B$9,Paramètres!$A$1:$I$89,5,0)</f>
        <v>-1.3596945791505279E-13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366.93249569585623</v>
      </c>
      <c r="T154" s="59">
        <f t="shared" si="142"/>
        <v>272.47262353368501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37.565497182064696</v>
      </c>
      <c r="AA154" s="21">
        <f>EXP(-LN(2)/25)*AA153+(1-EXP(-LN(2)/25))/(LN(2)/25)*Calculateur!V154*Calculateur!X154*VLOOKUP('Données projet'!$B$9,Paramètres!$A$1:$I$89,3,0)*0.475*44/12</f>
        <v>7.2266652716008268</v>
      </c>
      <c r="AB154" s="21">
        <f>EXP(-LN(2)/2)*AB153+(1-EXP(-LN(2)/2))/(LN(2)/2)*V154*Y154*VLOOKUP('Données projet'!$B$9,Paramètres!$A$1:$I$89,3,0)*0.475*44/12</f>
        <v>1.4553142731159904E-9</v>
      </c>
      <c r="AC154" s="22">
        <f t="shared" ref="AC154:AC203" si="163">SUM(Z154:AB154)</f>
        <v>44.792162455120838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68.327197403782563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1.1368683772161603E-13</v>
      </c>
      <c r="AJ154" s="13">
        <f>AI154*VLOOKUP('Données projet'!$B$10,Paramètres!$A$1:$I$89,3,0)*VLOOKUP('Données projet'!$B$10,Paramètres!$A$1:$I$89,5,0)</f>
        <v>5.3205440053716299E-14</v>
      </c>
      <c r="AK154" s="13">
        <f t="shared" ref="AK154:AK203" si="164">EXP(-1.0587+0.8836*LN(AJ154)+0.284)</f>
        <v>8.602146238565607E-13</v>
      </c>
      <c r="AL154" s="20">
        <f t="shared" ref="AL154:AL203" si="165">(AJ154+AK154)*0.475*44/12</f>
        <v>1.590873277977066E-12</v>
      </c>
      <c r="AM154" s="59">
        <f t="shared" si="113"/>
        <v>287.199723813871</v>
      </c>
      <c r="AN154" s="59">
        <f ca="1">AVERAGE(OFFSET($AM$3,0,0,'Données projet'!$E$10+1,1))-AVERAGE(OFFSET($H$3,0,0,'Données projet'!$E$10+1,1))</f>
        <v>382.89338473200229</v>
      </c>
      <c r="AO154" s="59">
        <f t="shared" si="144"/>
        <v>360.46248248971744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74.092123026765947</v>
      </c>
      <c r="AV154" s="21">
        <f>EXP(-LN(2)/25)*AV153+(1-EXP(-LN(2)/25))/(LN(2)/25)*Calculateur!AQ154*Calculateur!AS154*VLOOKUP('Données projet'!$B$10,Paramètres!$A$1:$I$89,3,0)*0.475*44/12</f>
        <v>15.21076751674363</v>
      </c>
      <c r="AW154" s="21">
        <f>EXP(-LN(2)/2)*AW153+(1-EXP(-LN(2)/2))/(LN(2)/2)*AQ154*AT154*VLOOKUP('Données projet'!$B$10,Paramètres!$A$1:$I$89,3,0)*0.475*44/12</f>
        <v>4.676351074509337E-6</v>
      </c>
      <c r="AX154" s="21">
        <f t="shared" ref="AX154:AX203" si="166">SUM(AU154:AW154)</f>
        <v>89.302895219860645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68.327197403782563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>
        <f>BD154*VLOOKUP('Données projet'!$B$11,Paramètres!$A$1:$I$89,3,0)*VLOOKUP('Données projet'!$B$11,Paramètres!$A$1:$I$89,5,0)</f>
        <v>0</v>
      </c>
      <c r="BF154" s="13" t="e">
        <f t="shared" ref="BF154:BF203" si="167">EXP(-1.0587+0.8836*LN(BE154)+0.284)</f>
        <v>#NUM!</v>
      </c>
      <c r="BG154" s="20" t="e">
        <f t="shared" ref="BG154:BG203" si="168">(BE154+BF154)*0.475*44/12</f>
        <v>#NUM!</v>
      </c>
      <c r="BH154" s="59" t="e">
        <f t="shared" si="116"/>
        <v>#NUM!</v>
      </c>
      <c r="BI154" s="59">
        <f ca="1">AVERAGE(OFFSET($BH$3,0,0,'Données projet'!$E$11+1,1))-AVERAGE(OFFSET($H$3,0,0,'Données projet'!$E$11+1,1))</f>
        <v>225.75484198243581</v>
      </c>
      <c r="BJ154" s="59">
        <f t="shared" si="146"/>
        <v>199.49566488421061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2.7005343709032164</v>
      </c>
      <c r="BQ154" s="21">
        <f>EXP(-LN(2)/25)*BQ153+(1-EXP(-LN(2)/25))/(LN(2)/25)*Calculateur!BL154*Calculateur!BN154*VLOOKUP('Données projet'!$B$11,Paramètres!$A$1:$I$89,3,0)*0.475*44/12</f>
        <v>9.836688250527672</v>
      </c>
      <c r="BR154" s="21">
        <f>EXP(-LN(2)/2)*BR153+(1-EXP(-LN(2)/2))/(LN(2)/2)*BL154*BO154*VLOOKUP('Données projet'!$B$11,Paramètres!$A$1:$I$89,3,0)*0.475*44/12</f>
        <v>0</v>
      </c>
      <c r="BS154" s="22">
        <f t="shared" ref="BS154:BS203" si="169">SUM(BP154:BR154)</f>
        <v>12.537222621430889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68.327197403782563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1.1368683772161603E-13</v>
      </c>
      <c r="BZ154" s="13">
        <f>BY154*VLOOKUP('Données projet'!$B$12,Paramètres!$A$1:$I$89,3,0)*VLOOKUP('Données projet'!$B$12,Paramètres!$A$1:$I$89,5,0)</f>
        <v>1.0818439477588981E-13</v>
      </c>
      <c r="CA154" s="13">
        <f t="shared" ref="CA154:CA203" si="170">EXP(-1.0587+0.8836*LN(BZ154)+0.284)</f>
        <v>1.6104228458716316E-12</v>
      </c>
      <c r="CB154" s="20">
        <f t="shared" ref="CB154:CB203" si="171">(BZ154+CA154)*0.475*44/12</f>
        <v>2.9932409441277661E-12</v>
      </c>
      <c r="CC154" s="59">
        <f t="shared" si="119"/>
        <v>287.19972381387242</v>
      </c>
      <c r="CD154" s="59">
        <f ca="1">AVERAGE(OFFSET($CC$3,0,0,'Données projet'!$E$12+1,1))-AVERAGE(OFFSET($H$3,0,0,'Données projet'!$E$12+1,1))</f>
        <v>413.9352601863377</v>
      </c>
      <c r="CE154" s="59">
        <f t="shared" si="148"/>
        <v>255.13997349799286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24.891811772642182</v>
      </c>
      <c r="CL154" s="21">
        <f>EXP(-LN(2)/25)*CL153+(1-EXP(-LN(2)/25))/(LN(2)/25)*Calculateur!CG154*Calculateur!CI154*VLOOKUP('Données projet'!$B$12,Paramètres!$A$1:$I$89,3,0)*0.475*44/12</f>
        <v>19.569998577089503</v>
      </c>
      <c r="CM154" s="21">
        <f>EXP(-LN(2)/2)*CM153+(1-EXP(-LN(2)/2))/(LN(2)/2)*CG154*CJ154*VLOOKUP('Données projet'!$B$12,Paramètres!$A$1:$I$89,3,0)*0.475*44/12</f>
        <v>1.3994199846471289E-3</v>
      </c>
      <c r="CN154" s="22">
        <f t="shared" ref="CN154:CN203" si="172">SUM(CK154:CM154)</f>
        <v>44.463209769716329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68.327197403782563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2.8421709430404007E-14</v>
      </c>
      <c r="CU154" s="17">
        <f>CT154*VLOOKUP('Données projet'!$B$13,Paramètres!$A$1:$I$89,3,0)*VLOOKUP('Données projet'!$B$13,Paramètres!$A$1:$I$89,5,0)</f>
        <v>2.4829205358400945E-14</v>
      </c>
      <c r="CV154" s="13">
        <f t="shared" ref="CV154:CV203" si="173">EXP(-1.0587+0.8836*LN(CU154)+0.284)</f>
        <v>4.3867331143352915E-13</v>
      </c>
      <c r="CW154" s="20">
        <f t="shared" ref="CW154:CW203" si="174">(CU154+CV154)*0.475*44/12</f>
        <v>8.0726688341261168E-13</v>
      </c>
      <c r="CX154" s="59">
        <f t="shared" si="122"/>
        <v>287.19972381387021</v>
      </c>
      <c r="CY154" s="59">
        <f ca="1">AVERAGE(OFFSET($CX$3,0,0,'Données projet'!$E$13+1,1))-AVERAGE(OFFSET($H$3,0,0,'Données projet'!$E$13+1,1))</f>
        <v>280.59827778697775</v>
      </c>
      <c r="CZ154" s="59">
        <f t="shared" si="150"/>
        <v>270.86588231964726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>
        <f>EXP(-LN(2)/35)*DF153+(1-EXP(-LN(2)/35))/(LN(2)/35)*DB154*DC154*VLOOKUP('Données projet'!$B$13,Paramètres!$A$1:$I$89,3,0)*0.475*44/12</f>
        <v>8.0848404587629066</v>
      </c>
      <c r="DG154" s="21">
        <f>EXP(-LN(2)/25)*DG153+(1-EXP(-LN(2)/25))/(LN(2)/25)*Calculateur!DB154*Calculateur!DD154*VLOOKUP('Données projet'!$B$13,Paramètres!$A$1:$I$89,3,0)*0.475*44/12</f>
        <v>5.0970598889599996</v>
      </c>
      <c r="DH154" s="21">
        <f>EXP(-LN(2)/2)*DH153+(1-EXP(-LN(2)/2))/(LN(2)/2)*DB154*DE154*VLOOKUP('Données projet'!$B$13,Paramètres!$A$1:$I$89,3,0)*0.475*44/12</f>
        <v>9.3526576718102533E-10</v>
      </c>
      <c r="DI154" s="22">
        <f t="shared" ref="DI154:DI203" si="175">SUM(DF154:DH154)</f>
        <v>13.181900348658171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68.327197403782563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>
        <f>DO154*VLOOKUP('Données projet'!$B$14,Paramètres!$A$1:$I$89,3,0)*VLOOKUP('Données projet'!$B$14,Paramètres!$A$1:$I$89,5,0)</f>
        <v>0</v>
      </c>
      <c r="DQ154" s="13" t="e">
        <f t="shared" ref="DQ154:DQ203" si="176">EXP(-1.0587+0.8836*LN(DP154)+0.284)</f>
        <v>#NUM!</v>
      </c>
      <c r="DR154" s="20" t="e">
        <f t="shared" ref="DR154:DR203" si="177">(DP154+DQ154)*0.475*44/12</f>
        <v>#NUM!</v>
      </c>
      <c r="DS154" s="59" t="e">
        <f t="shared" si="125"/>
        <v>#NUM!</v>
      </c>
      <c r="DT154" s="59">
        <f ca="1">AVERAGE(OFFSET($DS$3,0,0,'Données projet'!$E$14+1,1))-AVERAGE(OFFSET($H$3,0,0,'Données projet'!$E$14+1,1))</f>
        <v>211.42385430331873</v>
      </c>
      <c r="DU154" s="59">
        <f t="shared" si="152"/>
        <v>146.84623106782686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>
        <f>EXP(-LN(2)/35)*EA153+(1-EXP(-LN(2)/35))/(LN(2)/35)*DW154*DX154*VLOOKUP('Données projet'!$B$14,Paramètres!$A$1:$I$89,3,0)*0.475*44/12</f>
        <v>11.892782676966563</v>
      </c>
      <c r="EB154" s="21">
        <f>EXP(-LN(2)/25)*EB153+(1-EXP(-LN(2)/25))/(LN(2)/25)*Calculateur!DW154*Calculateur!DY154*VLOOKUP('Données projet'!$B$14,Paramètres!$A$1:$I$89,3,0)*0.475*44/12</f>
        <v>9.3880681786858968</v>
      </c>
      <c r="EC154" s="21">
        <f>EXP(-LN(2)/2)*EC153+(1-EXP(-LN(2)/2))/(LN(2)/2)*DW154*DZ154*VLOOKUP('Données projet'!$B$14,Paramètres!$A$1:$I$89,3,0)*0.475*44/12</f>
        <v>1.1207515121626809E-4</v>
      </c>
      <c r="ED154" s="22">
        <f t="shared" ref="ED154:ED203" si="178">SUM(EA154:EC154)</f>
        <v>21.280962930803675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68.327197403782563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-9.9475983006414026E-14</v>
      </c>
      <c r="EK154" s="17">
        <f>EJ154*VLOOKUP('Données projet'!$B$15,Paramètres!$A$1:$I$89,3,0)*VLOOKUP('Données projet'!$B$15,Paramètres!$A$1:$I$89,5,0)</f>
        <v>-1.0707594810810407E-13</v>
      </c>
      <c r="EL154" s="13" t="e">
        <f t="shared" ref="EL154:EL203" si="179">EXP(-1.0587+0.8836*LN(EK154)+0.284)</f>
        <v>#NUM!</v>
      </c>
      <c r="EM154" s="20" t="e">
        <f t="shared" ref="EM154:EM203" si="180">(EK154+EL154)*0.475*44/12</f>
        <v>#NUM!</v>
      </c>
      <c r="EN154" s="59" t="e">
        <f t="shared" si="128"/>
        <v>#NUM!</v>
      </c>
      <c r="EO154" s="59">
        <f ca="1">AVERAGE(OFFSET($EN$3,0,0,'Données projet'!$E$15+1,1))-AVERAGE(OFFSET($H$3,0,0,'Données projet'!$E$15+1,1))</f>
        <v>212.00478362779876</v>
      </c>
      <c r="EP154" s="59">
        <f t="shared" si="154"/>
        <v>133.62262474506707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>
        <f>EXP(-LN(2)/35)*EV153+(1-EXP(-LN(2)/35))/(LN(2)/35)*ER154*ES154*VLOOKUP('Données projet'!$B$15,Paramètres!$A$1:$I$89,3,0)*0.475*44/12</f>
        <v>8.4764004338248</v>
      </c>
      <c r="EW154" s="21">
        <f>EXP(-LN(2)/25)*EW153+(1-EXP(-LN(2)/25))/(LN(2)/25)*Calculateur!ER154*Calculateur!ET154*VLOOKUP('Données projet'!$B$15,Paramètres!$A$1:$I$89,3,0)*0.475*44/12</f>
        <v>8.6668583281308962</v>
      </c>
      <c r="EX154" s="21">
        <f>EXP(-LN(2)/2)*EX153+(1-EXP(-LN(2)/2))/(LN(2)/2)*ER154*EU154*VLOOKUP('Données projet'!$B$15,Paramètres!$A$1:$I$89,3,0)*0.475*44/12</f>
        <v>6.7836681897705958E-4</v>
      </c>
      <c r="EY154" s="22">
        <f t="shared" ref="EY154:EY203" si="181">SUM(EV154:EX154)</f>
        <v>17.143937128774674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68.327197403782563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-9.9475983006414026E-14</v>
      </c>
      <c r="FF154" s="17">
        <f>FE154*VLOOKUP('Données projet'!$B$16,Paramètres!$A$1:$I$89,3,0)*VLOOKUP('Données projet'!$B$16,Paramètres!$A$1:$I$89,5,0)</f>
        <v>-9.6213170763803652E-14</v>
      </c>
      <c r="FG154" s="13" t="e">
        <f t="shared" ref="FG154:FG203" si="182">EXP(-1.0587+0.8836*LN(FF154)+0.284)</f>
        <v>#NUM!</v>
      </c>
      <c r="FH154" s="20" t="e">
        <f t="shared" ref="FH154:FH203" si="183">(FF154+FG154)*0.475*44/12</f>
        <v>#NUM!</v>
      </c>
      <c r="FI154" s="59" t="e">
        <f t="shared" si="131"/>
        <v>#NUM!</v>
      </c>
      <c r="FJ154" s="59">
        <f ca="1">AVERAGE(OFFSET($FI$3,0,0,'Données projet'!$E$16+1,1))-AVERAGE(OFFSET($H$3,0,0,'Données projet'!$E$16+1,1))</f>
        <v>196.65742339093146</v>
      </c>
      <c r="FK154" s="59">
        <f t="shared" si="156"/>
        <v>125.41980634506001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>
        <f>EXP(-LN(2)/35)*FQ153+(1-EXP(-LN(2)/35))/(LN(2)/35)*FM154*FN154*VLOOKUP('Données projet'!$B$16,Paramètres!$A$1:$I$89,3,0)*0.475*44/12</f>
        <v>7.6164757521324304</v>
      </c>
      <c r="FR154" s="21">
        <f>EXP(-LN(2)/25)*FR153+(1-EXP(-LN(2)/25))/(LN(2)/25)*Calculateur!FM154*Calculateur!FO154*VLOOKUP('Données projet'!$B$16,Paramètres!$A$1:$I$89,3,0)*0.475*44/12</f>
        <v>7.7876118310741429</v>
      </c>
      <c r="FS154" s="21">
        <f>EXP(-LN(2)/2)*FS153+(1-EXP(-LN(2)/2))/(LN(2)/2)*FM154*FP154*VLOOKUP('Données projet'!$B$16,Paramètres!$A$1:$I$89,3,0)*0.475*44/12</f>
        <v>6.0954699676199476E-4</v>
      </c>
      <c r="FT154" s="22">
        <f t="shared" ref="FT154:FT203" si="184">SUM(FQ154:FS154)</f>
        <v>15.404697130203335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68.327197403782563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68.327197403782563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>
      <c r="A155" s="10">
        <f t="shared" si="161"/>
        <v>152</v>
      </c>
      <c r="B155" s="73">
        <f>'Scénario référence'!$B$16*5+'Scénario référence'!$B$17*0+'Scénario référence'!$B$18*5</f>
        <v>4.6999999999999993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8.1095040000000171</v>
      </c>
      <c r="D155" s="11">
        <f t="shared" si="140"/>
        <v>2.9291352251840648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21.311966237629118</v>
      </c>
      <c r="H155" s="67">
        <f t="shared" si="110"/>
        <v>206.95896331719561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68.356216789000598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-2.2737367544323206E-13</v>
      </c>
      <c r="O155" s="13">
        <f>N155*VLOOKUP('Données projet'!$B$9,Paramètres!$A$1:$I$89,3,0)*VLOOKUP('Données projet'!$B$9,Paramètres!$A$1:$I$89,5,0)</f>
        <v>-1.3596945791505279E-13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366.93249569585623</v>
      </c>
      <c r="T155" s="59">
        <f t="shared" si="142"/>
        <v>272.47262353368501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36.828860695015251</v>
      </c>
      <c r="AA155" s="21">
        <f>EXP(-LN(2)/25)*AA154+(1-EXP(-LN(2)/25))/(LN(2)/25)*Calculateur!V155*Calculateur!X155*VLOOKUP('Données projet'!$B$9,Paramètres!$A$1:$I$89,3,0)*0.475*44/12</f>
        <v>7.0290517297150927</v>
      </c>
      <c r="AB155" s="21">
        <f>EXP(-LN(2)/2)*AB154+(1-EXP(-LN(2)/2))/(LN(2)/2)*V155*Y155*VLOOKUP('Données projet'!$B$9,Paramètres!$A$1:$I$89,3,0)*0.475*44/12</f>
        <v>1.0290625912778881E-9</v>
      </c>
      <c r="AC155" s="22">
        <f t="shared" si="163"/>
        <v>43.857912425759409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68.356216789000598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1.1368683772161603E-13</v>
      </c>
      <c r="AJ155" s="13">
        <f>AI155*VLOOKUP('Données projet'!$B$10,Paramètres!$A$1:$I$89,3,0)*VLOOKUP('Données projet'!$B$10,Paramètres!$A$1:$I$89,5,0)</f>
        <v>5.3205440053716299E-14</v>
      </c>
      <c r="AK155" s="13">
        <f t="shared" si="164"/>
        <v>8.602146238565607E-13</v>
      </c>
      <c r="AL155" s="20">
        <f t="shared" si="165"/>
        <v>1.590873277977066E-12</v>
      </c>
      <c r="AM155" s="59">
        <f t="shared" si="113"/>
        <v>287.30612822633708</v>
      </c>
      <c r="AN155" s="59">
        <f ca="1">AVERAGE(OFFSET($AM$3,0,0,'Données projet'!$E$10+1,1))-AVERAGE(OFFSET($H$3,0,0,'Données projet'!$E$10+1,1))</f>
        <v>382.89338473200229</v>
      </c>
      <c r="AO155" s="59">
        <f t="shared" si="144"/>
        <v>360.46248248971744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72.639221685943795</v>
      </c>
      <c r="AV155" s="21">
        <f>EXP(-LN(2)/25)*AV154+(1-EXP(-LN(2)/25))/(LN(2)/25)*Calculateur!AQ155*Calculateur!AS155*VLOOKUP('Données projet'!$B$10,Paramètres!$A$1:$I$89,3,0)*0.475*44/12</f>
        <v>14.794828279098777</v>
      </c>
      <c r="AW155" s="21">
        <f>EXP(-LN(2)/2)*AW154+(1-EXP(-LN(2)/2))/(LN(2)/2)*AQ155*AT155*VLOOKUP('Données projet'!$B$10,Paramètres!$A$1:$I$89,3,0)*0.475*44/12</f>
        <v>3.3066795559945502E-6</v>
      </c>
      <c r="AX155" s="21">
        <f t="shared" si="166"/>
        <v>87.434053271722135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68.356216789000598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>
        <f>BD155*VLOOKUP('Données projet'!$B$11,Paramètres!$A$1:$I$89,3,0)*VLOOKUP('Données projet'!$B$11,Paramètres!$A$1:$I$89,5,0)</f>
        <v>0</v>
      </c>
      <c r="BF155" s="13" t="e">
        <f t="shared" si="167"/>
        <v>#NUM!</v>
      </c>
      <c r="BG155" s="20" t="e">
        <f t="shared" si="168"/>
        <v>#NUM!</v>
      </c>
      <c r="BH155" s="59" t="e">
        <f t="shared" si="116"/>
        <v>#NUM!</v>
      </c>
      <c r="BI155" s="59">
        <f ca="1">AVERAGE(OFFSET($BH$3,0,0,'Données projet'!$E$11+1,1))-AVERAGE(OFFSET($H$3,0,0,'Données projet'!$E$11+1,1))</f>
        <v>225.75484198243581</v>
      </c>
      <c r="BJ155" s="59">
        <f t="shared" si="146"/>
        <v>199.49566488421061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2.6475785390531268</v>
      </c>
      <c r="BQ155" s="21">
        <f>EXP(-LN(2)/25)*BQ154+(1-EXP(-LN(2)/25))/(LN(2)/25)*Calculateur!BL155*Calculateur!BN155*VLOOKUP('Données projet'!$B$11,Paramètres!$A$1:$I$89,3,0)*0.475*44/12</f>
        <v>9.5677034930280396</v>
      </c>
      <c r="BR155" s="21">
        <f>EXP(-LN(2)/2)*BR154+(1-EXP(-LN(2)/2))/(LN(2)/2)*BL155*BO155*VLOOKUP('Données projet'!$B$11,Paramètres!$A$1:$I$89,3,0)*0.475*44/12</f>
        <v>0</v>
      </c>
      <c r="BS155" s="22">
        <f t="shared" si="169"/>
        <v>12.215282032081166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68.356216789000598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1.1368683772161603E-13</v>
      </c>
      <c r="BZ155" s="13">
        <f>BY155*VLOOKUP('Données projet'!$B$12,Paramètres!$A$1:$I$89,3,0)*VLOOKUP('Données projet'!$B$12,Paramètres!$A$1:$I$89,5,0)</f>
        <v>1.0818439477588981E-13</v>
      </c>
      <c r="CA155" s="13">
        <f t="shared" si="170"/>
        <v>1.6104228458716316E-12</v>
      </c>
      <c r="CB155" s="20">
        <f t="shared" si="171"/>
        <v>2.9932409441277661E-12</v>
      </c>
      <c r="CC155" s="59">
        <f t="shared" si="119"/>
        <v>287.3061282263385</v>
      </c>
      <c r="CD155" s="59">
        <f ca="1">AVERAGE(OFFSET($CC$3,0,0,'Données projet'!$E$12+1,1))-AVERAGE(OFFSET($H$3,0,0,'Données projet'!$E$12+1,1))</f>
        <v>413.9352601863377</v>
      </c>
      <c r="CE155" s="59">
        <f t="shared" si="148"/>
        <v>255.13997349799286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24.403698526286703</v>
      </c>
      <c r="CL155" s="21">
        <f>EXP(-LN(2)/25)*CL154+(1-EXP(-LN(2)/25))/(LN(2)/25)*Calculateur!CG155*Calculateur!CI155*VLOOKUP('Données projet'!$B$12,Paramètres!$A$1:$I$89,3,0)*0.475*44/12</f>
        <v>19.034855936857493</v>
      </c>
      <c r="CM155" s="21">
        <f>EXP(-LN(2)/2)*CM154+(1-EXP(-LN(2)/2))/(LN(2)/2)*CG155*CJ155*VLOOKUP('Données projet'!$B$12,Paramètres!$A$1:$I$89,3,0)*0.475*44/12</f>
        <v>9.8953936087195905E-4</v>
      </c>
      <c r="CN155" s="22">
        <f t="shared" si="172"/>
        <v>43.439544002505073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68.356216789000598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2.8421709430404007E-14</v>
      </c>
      <c r="CU155" s="17">
        <f>CT155*VLOOKUP('Données projet'!$B$13,Paramètres!$A$1:$I$89,3,0)*VLOOKUP('Données projet'!$B$13,Paramètres!$A$1:$I$89,5,0)</f>
        <v>2.4829205358400945E-14</v>
      </c>
      <c r="CV155" s="13">
        <f t="shared" si="173"/>
        <v>4.3867331143352915E-13</v>
      </c>
      <c r="CW155" s="20">
        <f t="shared" si="174"/>
        <v>8.0726688341261168E-13</v>
      </c>
      <c r="CX155" s="59">
        <f t="shared" si="122"/>
        <v>287.30612822633628</v>
      </c>
      <c r="CY155" s="59">
        <f ca="1">AVERAGE(OFFSET($CX$3,0,0,'Données projet'!$E$13+1,1))-AVERAGE(OFFSET($H$3,0,0,'Données projet'!$E$13+1,1))</f>
        <v>280.59827778697775</v>
      </c>
      <c r="CZ155" s="59">
        <f t="shared" si="150"/>
        <v>270.86588231964726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>
        <f>EXP(-LN(2)/35)*DF154+(1-EXP(-LN(2)/35))/(LN(2)/35)*DB155*DC155*VLOOKUP('Données projet'!$B$13,Paramètres!$A$1:$I$89,3,0)*0.475*44/12</f>
        <v>7.9263016686323242</v>
      </c>
      <c r="DG155" s="21">
        <f>EXP(-LN(2)/25)*DG154+(1-EXP(-LN(2)/25))/(LN(2)/25)*Calculateur!DB155*Calculateur!DD155*VLOOKUP('Données projet'!$B$13,Paramètres!$A$1:$I$89,3,0)*0.475*44/12</f>
        <v>4.9576805182536585</v>
      </c>
      <c r="DH155" s="21">
        <f>EXP(-LN(2)/2)*DH154+(1-EXP(-LN(2)/2))/(LN(2)/2)*DB155*DE155*VLOOKUP('Données projet'!$B$13,Paramètres!$A$1:$I$89,3,0)*0.475*44/12</f>
        <v>6.613327661853418E-10</v>
      </c>
      <c r="DI155" s="22">
        <f t="shared" si="175"/>
        <v>12.883982187547316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68.356216789000598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>
        <f>DO155*VLOOKUP('Données projet'!$B$14,Paramètres!$A$1:$I$89,3,0)*VLOOKUP('Données projet'!$B$14,Paramètres!$A$1:$I$89,5,0)</f>
        <v>0</v>
      </c>
      <c r="DQ155" s="13" t="e">
        <f t="shared" si="176"/>
        <v>#NUM!</v>
      </c>
      <c r="DR155" s="20" t="e">
        <f t="shared" si="177"/>
        <v>#NUM!</v>
      </c>
      <c r="DS155" s="59" t="e">
        <f t="shared" si="125"/>
        <v>#NUM!</v>
      </c>
      <c r="DT155" s="59">
        <f ca="1">AVERAGE(OFFSET($DS$3,0,0,'Données projet'!$E$14+1,1))-AVERAGE(OFFSET($H$3,0,0,'Données projet'!$E$14+1,1))</f>
        <v>211.42385430331873</v>
      </c>
      <c r="DU155" s="59">
        <f t="shared" si="152"/>
        <v>146.84623106782686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>
        <f>EXP(-LN(2)/35)*EA154+(1-EXP(-LN(2)/35))/(LN(2)/35)*DW155*DX155*VLOOKUP('Données projet'!$B$14,Paramètres!$A$1:$I$89,3,0)*0.475*44/12</f>
        <v>11.65957246255242</v>
      </c>
      <c r="EB155" s="21">
        <f>EXP(-LN(2)/25)*EB154+(1-EXP(-LN(2)/25))/(LN(2)/25)*Calculateur!DW155*Calculateur!DY155*VLOOKUP('Données projet'!$B$14,Paramètres!$A$1:$I$89,3,0)*0.475*44/12</f>
        <v>9.131350960642683</v>
      </c>
      <c r="EC155" s="21">
        <f>EXP(-LN(2)/2)*EC154+(1-EXP(-LN(2)/2))/(LN(2)/2)*DW155*DZ155*VLOOKUP('Données projet'!$B$14,Paramètres!$A$1:$I$89,3,0)*0.475*44/12</f>
        <v>7.9249099427530905E-5</v>
      </c>
      <c r="ED155" s="22">
        <f t="shared" si="178"/>
        <v>20.791002672294532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68.356216789000598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-9.9475983006414026E-14</v>
      </c>
      <c r="EK155" s="17">
        <f>EJ155*VLOOKUP('Données projet'!$B$15,Paramètres!$A$1:$I$89,3,0)*VLOOKUP('Données projet'!$B$15,Paramètres!$A$1:$I$89,5,0)</f>
        <v>-1.0707594810810407E-13</v>
      </c>
      <c r="EL155" s="13" t="e">
        <f t="shared" si="179"/>
        <v>#NUM!</v>
      </c>
      <c r="EM155" s="20" t="e">
        <f t="shared" si="180"/>
        <v>#NUM!</v>
      </c>
      <c r="EN155" s="59" t="e">
        <f t="shared" si="128"/>
        <v>#NUM!</v>
      </c>
      <c r="EO155" s="59">
        <f ca="1">AVERAGE(OFFSET($EN$3,0,0,'Données projet'!$E$15+1,1))-AVERAGE(OFFSET($H$3,0,0,'Données projet'!$E$15+1,1))</f>
        <v>212.00478362779876</v>
      </c>
      <c r="EP155" s="59">
        <f t="shared" si="154"/>
        <v>133.62262474506707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>
        <f>EXP(-LN(2)/35)*EV154+(1-EXP(-LN(2)/35))/(LN(2)/35)*ER155*ES155*VLOOKUP('Données projet'!$B$15,Paramètres!$A$1:$I$89,3,0)*0.475*44/12</f>
        <v>8.3101833914112557</v>
      </c>
      <c r="EW155" s="21">
        <f>EXP(-LN(2)/25)*EW154+(1-EXP(-LN(2)/25))/(LN(2)/25)*Calculateur!ER155*Calculateur!ET155*VLOOKUP('Données projet'!$B$15,Paramètres!$A$1:$I$89,3,0)*0.475*44/12</f>
        <v>8.4298626313778851</v>
      </c>
      <c r="EX155" s="21">
        <f>EXP(-LN(2)/2)*EX154+(1-EXP(-LN(2)/2))/(LN(2)/2)*ER155*EU155*VLOOKUP('Données projet'!$B$15,Paramètres!$A$1:$I$89,3,0)*0.475*44/12</f>
        <v>4.7967777783062599E-4</v>
      </c>
      <c r="EY155" s="22">
        <f t="shared" si="181"/>
        <v>16.74052570056697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68.356216789000598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-9.9475983006414026E-14</v>
      </c>
      <c r="FF155" s="17">
        <f>FE155*VLOOKUP('Données projet'!$B$16,Paramètres!$A$1:$I$89,3,0)*VLOOKUP('Données projet'!$B$16,Paramètres!$A$1:$I$89,5,0)</f>
        <v>-9.6213170763803652E-14</v>
      </c>
      <c r="FG155" s="13" t="e">
        <f t="shared" si="182"/>
        <v>#NUM!</v>
      </c>
      <c r="FH155" s="20" t="e">
        <f t="shared" si="183"/>
        <v>#NUM!</v>
      </c>
      <c r="FI155" s="59" t="e">
        <f t="shared" si="131"/>
        <v>#NUM!</v>
      </c>
      <c r="FJ155" s="59">
        <f ca="1">AVERAGE(OFFSET($FI$3,0,0,'Données projet'!$E$16+1,1))-AVERAGE(OFFSET($H$3,0,0,'Données projet'!$E$16+1,1))</f>
        <v>196.65742339093146</v>
      </c>
      <c r="FK155" s="59">
        <f t="shared" si="156"/>
        <v>125.41980634506001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>
        <f>EXP(-LN(2)/35)*FQ154+(1-EXP(-LN(2)/35))/(LN(2)/35)*FM155*FN155*VLOOKUP('Données projet'!$B$16,Paramètres!$A$1:$I$89,3,0)*0.475*44/12</f>
        <v>7.4671213082246082</v>
      </c>
      <c r="FR155" s="21">
        <f>EXP(-LN(2)/25)*FR154+(1-EXP(-LN(2)/25))/(LN(2)/25)*Calculateur!FM155*Calculateur!FO155*VLOOKUP('Données projet'!$B$16,Paramètres!$A$1:$I$89,3,0)*0.475*44/12</f>
        <v>7.5746591760207131</v>
      </c>
      <c r="FS155" s="21">
        <f>EXP(-LN(2)/2)*FS154+(1-EXP(-LN(2)/2))/(LN(2)/2)*FM155*FP155*VLOOKUP('Données projet'!$B$16,Paramètres!$A$1:$I$89,3,0)*0.475*44/12</f>
        <v>4.3101481486230102E-4</v>
      </c>
      <c r="FT155" s="22">
        <f t="shared" si="184"/>
        <v>15.042211499060185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68.356216789000598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68.356216789000598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>
      <c r="A156" s="10">
        <f t="shared" si="161"/>
        <v>153</v>
      </c>
      <c r="B156" s="73">
        <f>'Scénario référence'!$B$16*5+'Scénario référence'!$B$17*0+'Scénario référence'!$B$18*5</f>
        <v>4.6999999999999993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8.1628560000000174</v>
      </c>
      <c r="D156" s="11">
        <f t="shared" si="140"/>
        <v>2.9461562468997915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21.344560058213244</v>
      </c>
      <c r="H156" s="67">
        <f t="shared" si="110"/>
        <v>207.08152966335052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68.38473275276273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-2.2737367544323206E-13</v>
      </c>
      <c r="O156" s="13">
        <f>N156*VLOOKUP('Données projet'!$B$9,Paramètres!$A$1:$I$89,3,0)*VLOOKUP('Données projet'!$B$9,Paramètres!$A$1:$I$89,5,0)</f>
        <v>-1.3596945791505279E-13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366.93249569585623</v>
      </c>
      <c r="T156" s="59">
        <f t="shared" si="142"/>
        <v>272.47262353368501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36.106669200172952</v>
      </c>
      <c r="AA156" s="21">
        <f>EXP(-LN(2)/25)*AA155+(1-EXP(-LN(2)/25))/(LN(2)/25)*Calculateur!V156*Calculateur!X156*VLOOKUP('Données projet'!$B$9,Paramètres!$A$1:$I$89,3,0)*0.475*44/12</f>
        <v>6.836841940524268</v>
      </c>
      <c r="AB156" s="21">
        <f>EXP(-LN(2)/2)*AB155+(1-EXP(-LN(2)/2))/(LN(2)/2)*V156*Y156*VLOOKUP('Données projet'!$B$9,Paramètres!$A$1:$I$89,3,0)*0.475*44/12</f>
        <v>7.2765713655799521E-10</v>
      </c>
      <c r="AC156" s="22">
        <f t="shared" si="163"/>
        <v>42.943511141424878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68.38473275276273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1.1368683772161603E-13</v>
      </c>
      <c r="AJ156" s="13">
        <f>AI156*VLOOKUP('Données projet'!$B$10,Paramètres!$A$1:$I$89,3,0)*VLOOKUP('Données projet'!$B$10,Paramètres!$A$1:$I$89,5,0)</f>
        <v>5.3205440053716299E-14</v>
      </c>
      <c r="AK156" s="13">
        <f t="shared" si="164"/>
        <v>8.602146238565607E-13</v>
      </c>
      <c r="AL156" s="20">
        <f t="shared" si="165"/>
        <v>1.590873277977066E-12</v>
      </c>
      <c r="AM156" s="59">
        <f t="shared" si="113"/>
        <v>287.41068676013157</v>
      </c>
      <c r="AN156" s="59">
        <f ca="1">AVERAGE(OFFSET($AM$3,0,0,'Données projet'!$E$10+1,1))-AVERAGE(OFFSET($H$3,0,0,'Données projet'!$E$10+1,1))</f>
        <v>382.89338473200229</v>
      </c>
      <c r="AO156" s="59">
        <f t="shared" si="144"/>
        <v>360.46248248971744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71.214810854232852</v>
      </c>
      <c r="AV156" s="21">
        <f>EXP(-LN(2)/25)*AV155+(1-EXP(-LN(2)/25))/(LN(2)/25)*Calculateur!AQ156*Calculateur!AS156*VLOOKUP('Données projet'!$B$10,Paramètres!$A$1:$I$89,3,0)*0.475*44/12</f>
        <v>14.390262921780616</v>
      </c>
      <c r="AW156" s="21">
        <f>EXP(-LN(2)/2)*AW155+(1-EXP(-LN(2)/2))/(LN(2)/2)*AQ156*AT156*VLOOKUP('Données projet'!$B$10,Paramètres!$A$1:$I$89,3,0)*0.475*44/12</f>
        <v>2.3381755372546685E-6</v>
      </c>
      <c r="AX156" s="21">
        <f t="shared" si="166"/>
        <v>85.605076114189004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68.38473275276273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>
        <f>BD156*VLOOKUP('Données projet'!$B$11,Paramètres!$A$1:$I$89,3,0)*VLOOKUP('Données projet'!$B$11,Paramètres!$A$1:$I$89,5,0)</f>
        <v>0</v>
      </c>
      <c r="BF156" s="13" t="e">
        <f t="shared" si="167"/>
        <v>#NUM!</v>
      </c>
      <c r="BG156" s="20" t="e">
        <f t="shared" si="168"/>
        <v>#NUM!</v>
      </c>
      <c r="BH156" s="59" t="e">
        <f t="shared" si="116"/>
        <v>#NUM!</v>
      </c>
      <c r="BI156" s="59">
        <f ca="1">AVERAGE(OFFSET($BH$3,0,0,'Données projet'!$E$11+1,1))-AVERAGE(OFFSET($H$3,0,0,'Données projet'!$E$11+1,1))</f>
        <v>225.75484198243581</v>
      </c>
      <c r="BJ156" s="59">
        <f t="shared" si="146"/>
        <v>199.49566488421061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2.5956611387657493</v>
      </c>
      <c r="BQ156" s="21">
        <f>EXP(-LN(2)/25)*BQ155+(1-EXP(-LN(2)/25))/(LN(2)/25)*Calculateur!BL156*Calculateur!BN156*VLOOKUP('Données projet'!$B$11,Paramètres!$A$1:$I$89,3,0)*0.475*44/12</f>
        <v>9.3060741378675278</v>
      </c>
      <c r="BR156" s="21">
        <f>EXP(-LN(2)/2)*BR155+(1-EXP(-LN(2)/2))/(LN(2)/2)*BL156*BO156*VLOOKUP('Données projet'!$B$11,Paramètres!$A$1:$I$89,3,0)*0.475*44/12</f>
        <v>0</v>
      </c>
      <c r="BS156" s="22">
        <f t="shared" si="169"/>
        <v>11.901735276633277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68.38473275276273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1.1368683772161603E-13</v>
      </c>
      <c r="BZ156" s="13">
        <f>BY156*VLOOKUP('Données projet'!$B$12,Paramètres!$A$1:$I$89,3,0)*VLOOKUP('Données projet'!$B$12,Paramètres!$A$1:$I$89,5,0)</f>
        <v>1.0818439477588981E-13</v>
      </c>
      <c r="CA156" s="13">
        <f t="shared" si="170"/>
        <v>1.6104228458716316E-12</v>
      </c>
      <c r="CB156" s="20">
        <f t="shared" si="171"/>
        <v>2.9932409441277661E-12</v>
      </c>
      <c r="CC156" s="59">
        <f t="shared" si="119"/>
        <v>287.41068676013299</v>
      </c>
      <c r="CD156" s="59">
        <f ca="1">AVERAGE(OFFSET($CC$3,0,0,'Données projet'!$E$12+1,1))-AVERAGE(OFFSET($H$3,0,0,'Données projet'!$E$12+1,1))</f>
        <v>413.9352601863377</v>
      </c>
      <c r="CE156" s="59">
        <f t="shared" si="148"/>
        <v>255.13997349799286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23.925156882972573</v>
      </c>
      <c r="CL156" s="21">
        <f>EXP(-LN(2)/25)*CL155+(1-EXP(-LN(2)/25))/(LN(2)/25)*Calculateur!CG156*Calculateur!CI156*VLOOKUP('Données projet'!$B$12,Paramètres!$A$1:$I$89,3,0)*0.475*44/12</f>
        <v>18.514346800264555</v>
      </c>
      <c r="CM156" s="21">
        <f>EXP(-LN(2)/2)*CM155+(1-EXP(-LN(2)/2))/(LN(2)/2)*CG156*CJ156*VLOOKUP('Données projet'!$B$12,Paramètres!$A$1:$I$89,3,0)*0.475*44/12</f>
        <v>6.9970999232356443E-4</v>
      </c>
      <c r="CN156" s="22">
        <f t="shared" si="172"/>
        <v>42.440203393229453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68.38473275276273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2.8421709430404007E-14</v>
      </c>
      <c r="CU156" s="17">
        <f>CT156*VLOOKUP('Données projet'!$B$13,Paramètres!$A$1:$I$89,3,0)*VLOOKUP('Données projet'!$B$13,Paramètres!$A$1:$I$89,5,0)</f>
        <v>2.4829205358400945E-14</v>
      </c>
      <c r="CV156" s="13">
        <f t="shared" si="173"/>
        <v>4.3867331143352915E-13</v>
      </c>
      <c r="CW156" s="20">
        <f t="shared" si="174"/>
        <v>8.0726688341261168E-13</v>
      </c>
      <c r="CX156" s="59">
        <f t="shared" si="122"/>
        <v>287.41068676013077</v>
      </c>
      <c r="CY156" s="59">
        <f ca="1">AVERAGE(OFFSET($CX$3,0,0,'Données projet'!$E$13+1,1))-AVERAGE(OFFSET($H$3,0,0,'Données projet'!$E$13+1,1))</f>
        <v>280.59827778697775</v>
      </c>
      <c r="CZ156" s="59">
        <f t="shared" si="150"/>
        <v>270.86588231964726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>
        <f>EXP(-LN(2)/35)*DF155+(1-EXP(-LN(2)/35))/(LN(2)/35)*DB156*DC156*VLOOKUP('Données projet'!$B$13,Paramètres!$A$1:$I$89,3,0)*0.475*44/12</f>
        <v>7.770871727477088</v>
      </c>
      <c r="DG156" s="21">
        <f>EXP(-LN(2)/25)*DG155+(1-EXP(-LN(2)/25))/(LN(2)/25)*Calculateur!DB156*Calculateur!DD156*VLOOKUP('Données projet'!$B$13,Paramètres!$A$1:$I$89,3,0)*0.475*44/12</f>
        <v>4.8221124837689251</v>
      </c>
      <c r="DH156" s="21">
        <f>EXP(-LN(2)/2)*DH155+(1-EXP(-LN(2)/2))/(LN(2)/2)*DB156*DE156*VLOOKUP('Données projet'!$B$13,Paramètres!$A$1:$I$89,3,0)*0.475*44/12</f>
        <v>4.6763288359051267E-10</v>
      </c>
      <c r="DI156" s="22">
        <f t="shared" si="175"/>
        <v>12.592984211713645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68.38473275276273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>
        <f>DO156*VLOOKUP('Données projet'!$B$14,Paramètres!$A$1:$I$89,3,0)*VLOOKUP('Données projet'!$B$14,Paramètres!$A$1:$I$89,5,0)</f>
        <v>0</v>
      </c>
      <c r="DQ156" s="13" t="e">
        <f t="shared" si="176"/>
        <v>#NUM!</v>
      </c>
      <c r="DR156" s="20" t="e">
        <f t="shared" si="177"/>
        <v>#NUM!</v>
      </c>
      <c r="DS156" s="59" t="e">
        <f t="shared" si="125"/>
        <v>#NUM!</v>
      </c>
      <c r="DT156" s="59">
        <f ca="1">AVERAGE(OFFSET($DS$3,0,0,'Données projet'!$E$14+1,1))-AVERAGE(OFFSET($H$3,0,0,'Données projet'!$E$14+1,1))</f>
        <v>211.42385430331873</v>
      </c>
      <c r="DU156" s="59">
        <f t="shared" si="152"/>
        <v>146.84623106782686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>
        <f>EXP(-LN(2)/35)*EA155+(1-EXP(-LN(2)/35))/(LN(2)/35)*DW156*DX156*VLOOKUP('Données projet'!$B$14,Paramètres!$A$1:$I$89,3,0)*0.475*44/12</f>
        <v>11.430935358198754</v>
      </c>
      <c r="EB156" s="21">
        <f>EXP(-LN(2)/25)*EB155+(1-EXP(-LN(2)/25))/(LN(2)/25)*Calculateur!DW156*Calculateur!DY156*VLOOKUP('Données projet'!$B$14,Paramètres!$A$1:$I$89,3,0)*0.475*44/12</f>
        <v>8.881653688427031</v>
      </c>
      <c r="EC156" s="21">
        <f>EXP(-LN(2)/2)*EC155+(1-EXP(-LN(2)/2))/(LN(2)/2)*DW156*DZ156*VLOOKUP('Données projet'!$B$14,Paramètres!$A$1:$I$89,3,0)*0.475*44/12</f>
        <v>5.6037575608134045E-5</v>
      </c>
      <c r="ED156" s="22">
        <f t="shared" si="178"/>
        <v>20.312645084201392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68.38473275276273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-9.9475983006414026E-14</v>
      </c>
      <c r="EK156" s="17">
        <f>EJ156*VLOOKUP('Données projet'!$B$15,Paramètres!$A$1:$I$89,3,0)*VLOOKUP('Données projet'!$B$15,Paramètres!$A$1:$I$89,5,0)</f>
        <v>-1.0707594810810407E-13</v>
      </c>
      <c r="EL156" s="13" t="e">
        <f t="shared" si="179"/>
        <v>#NUM!</v>
      </c>
      <c r="EM156" s="20" t="e">
        <f t="shared" si="180"/>
        <v>#NUM!</v>
      </c>
      <c r="EN156" s="59" t="e">
        <f t="shared" si="128"/>
        <v>#NUM!</v>
      </c>
      <c r="EO156" s="59">
        <f ca="1">AVERAGE(OFFSET($EN$3,0,0,'Données projet'!$E$15+1,1))-AVERAGE(OFFSET($H$3,0,0,'Données projet'!$E$15+1,1))</f>
        <v>212.00478362779876</v>
      </c>
      <c r="EP156" s="59">
        <f t="shared" si="154"/>
        <v>133.62262474506707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>
        <f>EXP(-LN(2)/35)*EV155+(1-EXP(-LN(2)/35))/(LN(2)/35)*ER156*ES156*VLOOKUP('Données projet'!$B$15,Paramètres!$A$1:$I$89,3,0)*0.475*44/12</f>
        <v>8.1472257638170564</v>
      </c>
      <c r="EW156" s="21">
        <f>EXP(-LN(2)/25)*EW155+(1-EXP(-LN(2)/25))/(LN(2)/25)*Calculateur!ER156*Calculateur!ET156*VLOOKUP('Données projet'!$B$15,Paramètres!$A$1:$I$89,3,0)*0.475*44/12</f>
        <v>8.1993475944156469</v>
      </c>
      <c r="EX156" s="21">
        <f>EXP(-LN(2)/2)*EX155+(1-EXP(-LN(2)/2))/(LN(2)/2)*ER156*EU156*VLOOKUP('Données projet'!$B$15,Paramètres!$A$1:$I$89,3,0)*0.475*44/12</f>
        <v>3.3918340948852984E-4</v>
      </c>
      <c r="EY156" s="22">
        <f t="shared" si="181"/>
        <v>16.34691254164219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68.38473275276273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-9.9475983006414026E-14</v>
      </c>
      <c r="FF156" s="17">
        <f>FE156*VLOOKUP('Données projet'!$B$16,Paramètres!$A$1:$I$89,3,0)*VLOOKUP('Données projet'!$B$16,Paramètres!$A$1:$I$89,5,0)</f>
        <v>-9.6213170763803652E-14</v>
      </c>
      <c r="FG156" s="13" t="e">
        <f t="shared" si="182"/>
        <v>#NUM!</v>
      </c>
      <c r="FH156" s="20" t="e">
        <f t="shared" si="183"/>
        <v>#NUM!</v>
      </c>
      <c r="FI156" s="59" t="e">
        <f t="shared" si="131"/>
        <v>#NUM!</v>
      </c>
      <c r="FJ156" s="59">
        <f ca="1">AVERAGE(OFFSET($FI$3,0,0,'Données projet'!$E$16+1,1))-AVERAGE(OFFSET($H$3,0,0,'Données projet'!$E$16+1,1))</f>
        <v>196.65742339093146</v>
      </c>
      <c r="FK156" s="59">
        <f t="shared" si="156"/>
        <v>125.41980634506001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>
        <f>EXP(-LN(2)/35)*FQ155+(1-EXP(-LN(2)/35))/(LN(2)/35)*FM156*FN156*VLOOKUP('Données projet'!$B$16,Paramètres!$A$1:$I$89,3,0)*0.475*44/12</f>
        <v>7.3206956138646024</v>
      </c>
      <c r="FR156" s="21">
        <f>EXP(-LN(2)/25)*FR155+(1-EXP(-LN(2)/25))/(LN(2)/25)*Calculateur!FM156*Calculateur!FO156*VLOOKUP('Données projet'!$B$16,Paramètres!$A$1:$I$89,3,0)*0.475*44/12</f>
        <v>7.3675297225184124</v>
      </c>
      <c r="FS156" s="21">
        <f>EXP(-LN(2)/2)*FS155+(1-EXP(-LN(2)/2))/(LN(2)/2)*FM156*FP156*VLOOKUP('Données projet'!$B$16,Paramètres!$A$1:$I$89,3,0)*0.475*44/12</f>
        <v>3.0477349838099738E-4</v>
      </c>
      <c r="FT156" s="22">
        <f t="shared" si="184"/>
        <v>14.688530109881397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68.38473275276273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68.38473275276273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>
      <c r="A157" s="10">
        <f t="shared" si="161"/>
        <v>154</v>
      </c>
      <c r="B157" s="73">
        <f>'Scénario référence'!$B$16*5+'Scénario référence'!$B$17*0+'Scénario référence'!$B$18*5</f>
        <v>4.6999999999999993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8.2162080000000177</v>
      </c>
      <c r="D157" s="11">
        <f t="shared" si="140"/>
        <v>2.9631643241162759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21.377147883450352</v>
      </c>
      <c r="H157" s="67">
        <f t="shared" si="110"/>
        <v>207.20407346450256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68.412754028305727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-2.2737367544323206E-13</v>
      </c>
      <c r="O157" s="13">
        <f>N157*VLOOKUP('Données projet'!$B$9,Paramètres!$A$1:$I$89,3,0)*VLOOKUP('Données projet'!$B$9,Paramètres!$A$1:$I$89,5,0)</f>
        <v>-1.3596945791505279E-13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366.93249569585623</v>
      </c>
      <c r="T157" s="59">
        <f t="shared" si="142"/>
        <v>272.47262353368501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35.398639440051191</v>
      </c>
      <c r="AA157" s="21">
        <f>EXP(-LN(2)/25)*AA156+(1-EXP(-LN(2)/25))/(LN(2)/25)*Calculateur!V157*Calculateur!X157*VLOOKUP('Données projet'!$B$9,Paramètres!$A$1:$I$89,3,0)*0.475*44/12</f>
        <v>6.6498881381267401</v>
      </c>
      <c r="AB157" s="21">
        <f>EXP(-LN(2)/2)*AB156+(1-EXP(-LN(2)/2))/(LN(2)/2)*V157*Y157*VLOOKUP('Données projet'!$B$9,Paramètres!$A$1:$I$89,3,0)*0.475*44/12</f>
        <v>5.1453129563894404E-10</v>
      </c>
      <c r="AC157" s="22">
        <f t="shared" si="163"/>
        <v>42.048527578692465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68.412754028305727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1.1368683772161603E-13</v>
      </c>
      <c r="AJ157" s="13">
        <f>AI157*VLOOKUP('Données projet'!$B$10,Paramètres!$A$1:$I$89,3,0)*VLOOKUP('Données projet'!$B$10,Paramètres!$A$1:$I$89,5,0)</f>
        <v>5.3205440053716299E-14</v>
      </c>
      <c r="AK157" s="13">
        <f t="shared" si="164"/>
        <v>8.602146238565607E-13</v>
      </c>
      <c r="AL157" s="20">
        <f t="shared" si="165"/>
        <v>1.590873277977066E-12</v>
      </c>
      <c r="AM157" s="59">
        <f t="shared" si="113"/>
        <v>287.51343143712262</v>
      </c>
      <c r="AN157" s="59">
        <f ca="1">AVERAGE(OFFSET($AM$3,0,0,'Données projet'!$E$10+1,1))-AVERAGE(OFFSET($H$3,0,0,'Données projet'!$E$10+1,1))</f>
        <v>382.89338473200229</v>
      </c>
      <c r="AO157" s="59">
        <f t="shared" si="144"/>
        <v>360.46248248971744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69.818331850126938</v>
      </c>
      <c r="AV157" s="21">
        <f>EXP(-LN(2)/25)*AV156+(1-EXP(-LN(2)/25))/(LN(2)/25)*Calculateur!AQ157*Calculateur!AS157*VLOOKUP('Données projet'!$B$10,Paramètres!$A$1:$I$89,3,0)*0.475*44/12</f>
        <v>13.996760425433488</v>
      </c>
      <c r="AW157" s="21">
        <f>EXP(-LN(2)/2)*AW156+(1-EXP(-LN(2)/2))/(LN(2)/2)*AQ157*AT157*VLOOKUP('Données projet'!$B$10,Paramètres!$A$1:$I$89,3,0)*0.475*44/12</f>
        <v>1.6533397779972751E-6</v>
      </c>
      <c r="AX157" s="21">
        <f t="shared" si="166"/>
        <v>83.815093928900211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68.412754028305727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>
        <f>BD157*VLOOKUP('Données projet'!$B$11,Paramètres!$A$1:$I$89,3,0)*VLOOKUP('Données projet'!$B$11,Paramètres!$A$1:$I$89,5,0)</f>
        <v>0</v>
      </c>
      <c r="BF157" s="13" t="e">
        <f t="shared" si="167"/>
        <v>#NUM!</v>
      </c>
      <c r="BG157" s="20" t="e">
        <f t="shared" si="168"/>
        <v>#NUM!</v>
      </c>
      <c r="BH157" s="59" t="e">
        <f t="shared" si="116"/>
        <v>#NUM!</v>
      </c>
      <c r="BI157" s="59">
        <f ca="1">AVERAGE(OFFSET($BH$3,0,0,'Données projet'!$E$11+1,1))-AVERAGE(OFFSET($H$3,0,0,'Données projet'!$E$11+1,1))</f>
        <v>225.75484198243581</v>
      </c>
      <c r="BJ157" s="59">
        <f t="shared" si="146"/>
        <v>199.49566488421061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2.5447618070315201</v>
      </c>
      <c r="BQ157" s="21">
        <f>EXP(-LN(2)/25)*BQ156+(1-EXP(-LN(2)/25))/(LN(2)/25)*Calculateur!BL157*Calculateur!BN157*VLOOKUP('Données projet'!$B$11,Paramètres!$A$1:$I$89,3,0)*0.475*44/12</f>
        <v>9.0515990511823698</v>
      </c>
      <c r="BR157" s="21">
        <f>EXP(-LN(2)/2)*BR156+(1-EXP(-LN(2)/2))/(LN(2)/2)*BL157*BO157*VLOOKUP('Données projet'!$B$11,Paramètres!$A$1:$I$89,3,0)*0.475*44/12</f>
        <v>0</v>
      </c>
      <c r="BS157" s="22">
        <f t="shared" si="169"/>
        <v>11.59636085821389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68.412754028305727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1.1368683772161603E-13</v>
      </c>
      <c r="BZ157" s="13">
        <f>BY157*VLOOKUP('Données projet'!$B$12,Paramètres!$A$1:$I$89,3,0)*VLOOKUP('Données projet'!$B$12,Paramètres!$A$1:$I$89,5,0)</f>
        <v>1.0818439477588981E-13</v>
      </c>
      <c r="CA157" s="13">
        <f t="shared" si="170"/>
        <v>1.6104228458716316E-12</v>
      </c>
      <c r="CB157" s="20">
        <f t="shared" si="171"/>
        <v>2.9932409441277661E-12</v>
      </c>
      <c r="CC157" s="59">
        <f t="shared" si="119"/>
        <v>287.51343143712404</v>
      </c>
      <c r="CD157" s="59">
        <f ca="1">AVERAGE(OFFSET($CC$3,0,0,'Données projet'!$E$12+1,1))-AVERAGE(OFFSET($H$3,0,0,'Données projet'!$E$12+1,1))</f>
        <v>413.9352601863377</v>
      </c>
      <c r="CE157" s="59">
        <f t="shared" si="148"/>
        <v>255.13997349799286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23.455999149402249</v>
      </c>
      <c r="CL157" s="21">
        <f>EXP(-LN(2)/25)*CL156+(1-EXP(-LN(2)/25))/(LN(2)/25)*Calculateur!CG157*Calculateur!CI157*VLOOKUP('Données projet'!$B$12,Paramètres!$A$1:$I$89,3,0)*0.475*44/12</f>
        <v>18.008071013384136</v>
      </c>
      <c r="CM157" s="21">
        <f>EXP(-LN(2)/2)*CM156+(1-EXP(-LN(2)/2))/(LN(2)/2)*CG157*CJ157*VLOOKUP('Données projet'!$B$12,Paramètres!$A$1:$I$89,3,0)*0.475*44/12</f>
        <v>4.9476968043597953E-4</v>
      </c>
      <c r="CN157" s="22">
        <f t="shared" si="172"/>
        <v>41.464564932466821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68.412754028305727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2.8421709430404007E-14</v>
      </c>
      <c r="CU157" s="17">
        <f>CT157*VLOOKUP('Données projet'!$B$13,Paramètres!$A$1:$I$89,3,0)*VLOOKUP('Données projet'!$B$13,Paramètres!$A$1:$I$89,5,0)</f>
        <v>2.4829205358400945E-14</v>
      </c>
      <c r="CV157" s="13">
        <f t="shared" si="173"/>
        <v>4.3867331143352915E-13</v>
      </c>
      <c r="CW157" s="20">
        <f t="shared" si="174"/>
        <v>8.0726688341261168E-13</v>
      </c>
      <c r="CX157" s="59">
        <f t="shared" si="122"/>
        <v>287.51343143712182</v>
      </c>
      <c r="CY157" s="59">
        <f ca="1">AVERAGE(OFFSET($CX$3,0,0,'Données projet'!$E$13+1,1))-AVERAGE(OFFSET($H$3,0,0,'Données projet'!$E$13+1,1))</f>
        <v>280.59827778697775</v>
      </c>
      <c r="CZ157" s="59">
        <f t="shared" si="150"/>
        <v>270.86588231964726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>
        <f>EXP(-LN(2)/35)*DF156+(1-EXP(-LN(2)/35))/(LN(2)/35)*DB157*DC157*VLOOKUP('Données projet'!$B$13,Paramètres!$A$1:$I$89,3,0)*0.475*44/12</f>
        <v>7.6184896726650031</v>
      </c>
      <c r="DG157" s="21">
        <f>EXP(-LN(2)/25)*DG156+(1-EXP(-LN(2)/25))/(LN(2)/25)*Calculateur!DB157*Calculateur!DD157*VLOOKUP('Données projet'!$B$13,Paramètres!$A$1:$I$89,3,0)*0.475*44/12</f>
        <v>4.6902515643163891</v>
      </c>
      <c r="DH157" s="21">
        <f>EXP(-LN(2)/2)*DH156+(1-EXP(-LN(2)/2))/(LN(2)/2)*DB157*DE157*VLOOKUP('Données projet'!$B$13,Paramètres!$A$1:$I$89,3,0)*0.475*44/12</f>
        <v>3.306663830926709E-10</v>
      </c>
      <c r="DI157" s="22">
        <f t="shared" si="175"/>
        <v>12.308741237312059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68.412754028305727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>
        <f>DO157*VLOOKUP('Données projet'!$B$14,Paramètres!$A$1:$I$89,3,0)*VLOOKUP('Données projet'!$B$14,Paramètres!$A$1:$I$89,5,0)</f>
        <v>0</v>
      </c>
      <c r="DQ157" s="13" t="e">
        <f t="shared" si="176"/>
        <v>#NUM!</v>
      </c>
      <c r="DR157" s="20" t="e">
        <f t="shared" si="177"/>
        <v>#NUM!</v>
      </c>
      <c r="DS157" s="59" t="e">
        <f t="shared" si="125"/>
        <v>#NUM!</v>
      </c>
      <c r="DT157" s="59">
        <f ca="1">AVERAGE(OFFSET($DS$3,0,0,'Données projet'!$E$14+1,1))-AVERAGE(OFFSET($H$3,0,0,'Données projet'!$E$14+1,1))</f>
        <v>211.42385430331873</v>
      </c>
      <c r="DU157" s="59">
        <f t="shared" si="152"/>
        <v>146.84623106782686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>
        <f>EXP(-LN(2)/35)*EA156+(1-EXP(-LN(2)/35))/(LN(2)/35)*DW157*DX157*VLOOKUP('Données projet'!$B$14,Paramètres!$A$1:$I$89,3,0)*0.475*44/12</f>
        <v>11.206781688006599</v>
      </c>
      <c r="EB157" s="21">
        <f>EXP(-LN(2)/25)*EB156+(1-EXP(-LN(2)/25))/(LN(2)/25)*Calculateur!DW157*Calculateur!DY157*VLOOKUP('Données projet'!$B$14,Paramètres!$A$1:$I$89,3,0)*0.475*44/12</f>
        <v>8.6387844012511259</v>
      </c>
      <c r="EC157" s="21">
        <f>EXP(-LN(2)/2)*EC156+(1-EXP(-LN(2)/2))/(LN(2)/2)*DW157*DZ157*VLOOKUP('Données projet'!$B$14,Paramètres!$A$1:$I$89,3,0)*0.475*44/12</f>
        <v>3.9624549713765453E-5</v>
      </c>
      <c r="ED157" s="22">
        <f t="shared" si="178"/>
        <v>19.845605713807437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68.412754028305727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-9.9475983006414026E-14</v>
      </c>
      <c r="EK157" s="17">
        <f>EJ157*VLOOKUP('Données projet'!$B$15,Paramètres!$A$1:$I$89,3,0)*VLOOKUP('Données projet'!$B$15,Paramètres!$A$1:$I$89,5,0)</f>
        <v>-1.0707594810810407E-13</v>
      </c>
      <c r="EL157" s="13" t="e">
        <f t="shared" si="179"/>
        <v>#NUM!</v>
      </c>
      <c r="EM157" s="20" t="e">
        <f t="shared" si="180"/>
        <v>#NUM!</v>
      </c>
      <c r="EN157" s="59" t="e">
        <f t="shared" si="128"/>
        <v>#NUM!</v>
      </c>
      <c r="EO157" s="59">
        <f ca="1">AVERAGE(OFFSET($EN$3,0,0,'Données projet'!$E$15+1,1))-AVERAGE(OFFSET($H$3,0,0,'Données projet'!$E$15+1,1))</f>
        <v>212.00478362779876</v>
      </c>
      <c r="EP157" s="59">
        <f t="shared" si="154"/>
        <v>133.62262474506707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>
        <f>EXP(-LN(2)/35)*EV156+(1-EXP(-LN(2)/35))/(LN(2)/35)*ER157*ES157*VLOOKUP('Données projet'!$B$15,Paramètres!$A$1:$I$89,3,0)*0.475*44/12</f>
        <v>7.987463635905641</v>
      </c>
      <c r="EW157" s="21">
        <f>EXP(-LN(2)/25)*EW156+(1-EXP(-LN(2)/25))/(LN(2)/25)*Calculateur!ER157*Calculateur!ET157*VLOOKUP('Données projet'!$B$15,Paramètres!$A$1:$I$89,3,0)*0.475*44/12</f>
        <v>7.9751360032614009</v>
      </c>
      <c r="EX157" s="21">
        <f>EXP(-LN(2)/2)*EX156+(1-EXP(-LN(2)/2))/(LN(2)/2)*ER157*EU157*VLOOKUP('Données projet'!$B$15,Paramètres!$A$1:$I$89,3,0)*0.475*44/12</f>
        <v>2.3983888891531302E-4</v>
      </c>
      <c r="EY157" s="22">
        <f t="shared" si="181"/>
        <v>15.962839478055956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68.412754028305727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-9.9475983006414026E-14</v>
      </c>
      <c r="FF157" s="17">
        <f>FE157*VLOOKUP('Données projet'!$B$16,Paramètres!$A$1:$I$89,3,0)*VLOOKUP('Données projet'!$B$16,Paramètres!$A$1:$I$89,5,0)</f>
        <v>-9.6213170763803652E-14</v>
      </c>
      <c r="FG157" s="13" t="e">
        <f t="shared" si="182"/>
        <v>#NUM!</v>
      </c>
      <c r="FH157" s="20" t="e">
        <f t="shared" si="183"/>
        <v>#NUM!</v>
      </c>
      <c r="FI157" s="59" t="e">
        <f t="shared" si="131"/>
        <v>#NUM!</v>
      </c>
      <c r="FJ157" s="59">
        <f ca="1">AVERAGE(OFFSET($FI$3,0,0,'Données projet'!$E$16+1,1))-AVERAGE(OFFSET($H$3,0,0,'Données projet'!$E$16+1,1))</f>
        <v>196.65742339093146</v>
      </c>
      <c r="FK157" s="59">
        <f t="shared" si="156"/>
        <v>125.41980634506001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>
        <f>EXP(-LN(2)/35)*FQ156+(1-EXP(-LN(2)/35))/(LN(2)/35)*FM157*FN157*VLOOKUP('Données projet'!$B$16,Paramètres!$A$1:$I$89,3,0)*0.475*44/12</f>
        <v>7.177141238060142</v>
      </c>
      <c r="FR157" s="21">
        <f>EXP(-LN(2)/25)*FR156+(1-EXP(-LN(2)/25))/(LN(2)/25)*Calculateur!FM157*Calculateur!FO157*VLOOKUP('Données projet'!$B$16,Paramètres!$A$1:$I$89,3,0)*0.475*44/12</f>
        <v>7.1660642348145966</v>
      </c>
      <c r="FS157" s="21">
        <f>EXP(-LN(2)/2)*FS156+(1-EXP(-LN(2)/2))/(LN(2)/2)*FM157*FP157*VLOOKUP('Données projet'!$B$16,Paramètres!$A$1:$I$89,3,0)*0.475*44/12</f>
        <v>2.1550740743115051E-4</v>
      </c>
      <c r="FT157" s="22">
        <f t="shared" si="184"/>
        <v>14.34342098028217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68.412754028305727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68.412754028305727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>
      <c r="A158" s="10">
        <f t="shared" si="161"/>
        <v>155</v>
      </c>
      <c r="B158" s="73">
        <f>'Scénario référence'!$B$16*5+'Scénario référence'!$B$17*0+'Scénario référence'!$B$18*5</f>
        <v>4.6999999999999993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8.269560000000018</v>
      </c>
      <c r="D158" s="11">
        <f t="shared" si="140"/>
        <v>2.9801595506386009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21.409729756787009</v>
      </c>
      <c r="H158" s="67">
        <f t="shared" si="110"/>
        <v>207.32659488402894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68.440289197364237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-2.2737367544323206E-13</v>
      </c>
      <c r="O158" s="13">
        <f>N158*VLOOKUP('Données projet'!$B$9,Paramètres!$A$1:$I$89,3,0)*VLOOKUP('Données projet'!$B$9,Paramètres!$A$1:$I$89,5,0)</f>
        <v>-1.3596945791505279E-13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366.93249569585623</v>
      </c>
      <c r="T158" s="59">
        <f t="shared" si="142"/>
        <v>272.47262353368501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34.704493711669905</v>
      </c>
      <c r="AA158" s="21">
        <f>EXP(-LN(2)/25)*AA157+(1-EXP(-LN(2)/25))/(LN(2)/25)*Calculateur!V158*Calculateur!X158*VLOOKUP('Données projet'!$B$9,Paramètres!$A$1:$I$89,3,0)*0.475*44/12</f>
        <v>6.4680465972872456</v>
      </c>
      <c r="AB158" s="21">
        <f>EXP(-LN(2)/2)*AB157+(1-EXP(-LN(2)/2))/(LN(2)/2)*V158*Y158*VLOOKUP('Données projet'!$B$9,Paramètres!$A$1:$I$89,3,0)*0.475*44/12</f>
        <v>3.638285682789976E-10</v>
      </c>
      <c r="AC158" s="22">
        <f t="shared" si="163"/>
        <v>41.172540309320979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68.440289197364237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1.1368683772161603E-13</v>
      </c>
      <c r="AJ158" s="13">
        <f>AI158*VLOOKUP('Données projet'!$B$10,Paramètres!$A$1:$I$89,3,0)*VLOOKUP('Données projet'!$B$10,Paramètres!$A$1:$I$89,5,0)</f>
        <v>5.3205440053716299E-14</v>
      </c>
      <c r="AK158" s="13">
        <f t="shared" si="164"/>
        <v>8.602146238565607E-13</v>
      </c>
      <c r="AL158" s="20">
        <f t="shared" si="165"/>
        <v>1.590873277977066E-12</v>
      </c>
      <c r="AM158" s="59">
        <f t="shared" si="113"/>
        <v>287.61439372367045</v>
      </c>
      <c r="AN158" s="59">
        <f ca="1">AVERAGE(OFFSET($AM$3,0,0,'Données projet'!$E$10+1,1))-AVERAGE(OFFSET($H$3,0,0,'Données projet'!$E$10+1,1))</f>
        <v>382.89338473200229</v>
      </c>
      <c r="AO158" s="59">
        <f t="shared" si="144"/>
        <v>360.46248248971744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68.44923694752346</v>
      </c>
      <c r="AV158" s="21">
        <f>EXP(-LN(2)/25)*AV157+(1-EXP(-LN(2)/25))/(LN(2)/25)*Calculateur!AQ158*Calculateur!AS158*VLOOKUP('Données projet'!$B$10,Paramètres!$A$1:$I$89,3,0)*0.475*44/12</f>
        <v>13.614018275542367</v>
      </c>
      <c r="AW158" s="21">
        <f>EXP(-LN(2)/2)*AW157+(1-EXP(-LN(2)/2))/(LN(2)/2)*AQ158*AT158*VLOOKUP('Données projet'!$B$10,Paramètres!$A$1:$I$89,3,0)*0.475*44/12</f>
        <v>1.1690877686273343E-6</v>
      </c>
      <c r="AX158" s="21">
        <f t="shared" si="166"/>
        <v>82.06325639215359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68.440289197364237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>
        <f>BD158*VLOOKUP('Données projet'!$B$11,Paramètres!$A$1:$I$89,3,0)*VLOOKUP('Données projet'!$B$11,Paramètres!$A$1:$I$89,5,0)</f>
        <v>0</v>
      </c>
      <c r="BF158" s="13" t="e">
        <f t="shared" si="167"/>
        <v>#NUM!</v>
      </c>
      <c r="BG158" s="20" t="e">
        <f t="shared" si="168"/>
        <v>#NUM!</v>
      </c>
      <c r="BH158" s="59" t="e">
        <f t="shared" si="116"/>
        <v>#NUM!</v>
      </c>
      <c r="BI158" s="59">
        <f ca="1">AVERAGE(OFFSET($BH$3,0,0,'Données projet'!$E$11+1,1))-AVERAGE(OFFSET($H$3,0,0,'Données projet'!$E$11+1,1))</f>
        <v>225.75484198243581</v>
      </c>
      <c r="BJ158" s="59">
        <f t="shared" si="146"/>
        <v>199.49566488421061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2.4948605801470722</v>
      </c>
      <c r="BQ158" s="21">
        <f>EXP(-LN(2)/25)*BQ157+(1-EXP(-LN(2)/25))/(LN(2)/25)*Calculateur!BL158*Calculateur!BN158*VLOOKUP('Données projet'!$B$11,Paramètres!$A$1:$I$89,3,0)*0.475*44/12</f>
        <v>8.8040825991248823</v>
      </c>
      <c r="BR158" s="21">
        <f>EXP(-LN(2)/2)*BR157+(1-EXP(-LN(2)/2))/(LN(2)/2)*BL158*BO158*VLOOKUP('Données projet'!$B$11,Paramètres!$A$1:$I$89,3,0)*0.475*44/12</f>
        <v>0</v>
      </c>
      <c r="BS158" s="22">
        <f t="shared" si="169"/>
        <v>11.298943179271955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68.440289197364237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1.1368683772161603E-13</v>
      </c>
      <c r="BZ158" s="13">
        <f>BY158*VLOOKUP('Données projet'!$B$12,Paramètres!$A$1:$I$89,3,0)*VLOOKUP('Données projet'!$B$12,Paramètres!$A$1:$I$89,5,0)</f>
        <v>1.0818439477588981E-13</v>
      </c>
      <c r="CA158" s="13">
        <f t="shared" si="170"/>
        <v>1.6104228458716316E-12</v>
      </c>
      <c r="CB158" s="20">
        <f t="shared" si="171"/>
        <v>2.9932409441277661E-12</v>
      </c>
      <c r="CC158" s="59">
        <f t="shared" si="119"/>
        <v>287.61439372367187</v>
      </c>
      <c r="CD158" s="59">
        <f ca="1">AVERAGE(OFFSET($CC$3,0,0,'Données projet'!$E$12+1,1))-AVERAGE(OFFSET($H$3,0,0,'Données projet'!$E$12+1,1))</f>
        <v>413.9352601863377</v>
      </c>
      <c r="CE158" s="59">
        <f t="shared" si="148"/>
        <v>255.13997349799286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22.996041312829277</v>
      </c>
      <c r="CL158" s="21">
        <f>EXP(-LN(2)/25)*CL157+(1-EXP(-LN(2)/25))/(LN(2)/25)*Calculateur!CG158*Calculateur!CI158*VLOOKUP('Données projet'!$B$12,Paramètres!$A$1:$I$89,3,0)*0.475*44/12</f>
        <v>17.515639364519849</v>
      </c>
      <c r="CM158" s="21">
        <f>EXP(-LN(2)/2)*CM157+(1-EXP(-LN(2)/2))/(LN(2)/2)*CG158*CJ158*VLOOKUP('Données projet'!$B$12,Paramètres!$A$1:$I$89,3,0)*0.475*44/12</f>
        <v>3.4985499616178221E-4</v>
      </c>
      <c r="CN158" s="22">
        <f t="shared" si="172"/>
        <v>40.512030532345285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68.440289197364237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2.8421709430404007E-14</v>
      </c>
      <c r="CU158" s="17">
        <f>CT158*VLOOKUP('Données projet'!$B$13,Paramètres!$A$1:$I$89,3,0)*VLOOKUP('Données projet'!$B$13,Paramètres!$A$1:$I$89,5,0)</f>
        <v>2.4829205358400945E-14</v>
      </c>
      <c r="CV158" s="13">
        <f t="shared" si="173"/>
        <v>4.3867331143352915E-13</v>
      </c>
      <c r="CW158" s="20">
        <f t="shared" si="174"/>
        <v>8.0726688341261168E-13</v>
      </c>
      <c r="CX158" s="59">
        <f t="shared" si="122"/>
        <v>287.61439372366965</v>
      </c>
      <c r="CY158" s="59">
        <f ca="1">AVERAGE(OFFSET($CX$3,0,0,'Données projet'!$E$13+1,1))-AVERAGE(OFFSET($H$3,0,0,'Données projet'!$E$13+1,1))</f>
        <v>280.59827778697775</v>
      </c>
      <c r="CZ158" s="59">
        <f t="shared" si="150"/>
        <v>270.86588231964726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>
        <f>EXP(-LN(2)/35)*DF157+(1-EXP(-LN(2)/35))/(LN(2)/35)*DB158*DC158*VLOOKUP('Données projet'!$B$13,Paramètres!$A$1:$I$89,3,0)*0.475*44/12</f>
        <v>7.4690957370039071</v>
      </c>
      <c r="DG158" s="21">
        <f>EXP(-LN(2)/25)*DG157+(1-EXP(-LN(2)/25))/(LN(2)/25)*Calculateur!DB158*Calculateur!DD158*VLOOKUP('Données projet'!$B$13,Paramètres!$A$1:$I$89,3,0)*0.475*44/12</f>
        <v>4.561996388640547</v>
      </c>
      <c r="DH158" s="21">
        <f>EXP(-LN(2)/2)*DH157+(1-EXP(-LN(2)/2))/(LN(2)/2)*DB158*DE158*VLOOKUP('Données projet'!$B$13,Paramètres!$A$1:$I$89,3,0)*0.475*44/12</f>
        <v>2.3381644179525633E-10</v>
      </c>
      <c r="DI158" s="22">
        <f t="shared" si="175"/>
        <v>12.031092125878271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68.440289197364237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>
        <f>DO158*VLOOKUP('Données projet'!$B$14,Paramètres!$A$1:$I$89,3,0)*VLOOKUP('Données projet'!$B$14,Paramètres!$A$1:$I$89,5,0)</f>
        <v>0</v>
      </c>
      <c r="DQ158" s="13" t="e">
        <f t="shared" si="176"/>
        <v>#NUM!</v>
      </c>
      <c r="DR158" s="20" t="e">
        <f t="shared" si="177"/>
        <v>#NUM!</v>
      </c>
      <c r="DS158" s="59" t="e">
        <f t="shared" si="125"/>
        <v>#NUM!</v>
      </c>
      <c r="DT158" s="59">
        <f ca="1">AVERAGE(OFFSET($DS$3,0,0,'Données projet'!$E$14+1,1))-AVERAGE(OFFSET($H$3,0,0,'Données projet'!$E$14+1,1))</f>
        <v>211.42385430331873</v>
      </c>
      <c r="DU158" s="59">
        <f t="shared" si="152"/>
        <v>146.84623106782686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>
        <f>EXP(-LN(2)/35)*EA157+(1-EXP(-LN(2)/35))/(LN(2)/35)*DW158*DX158*VLOOKUP('Données projet'!$B$14,Paramètres!$A$1:$I$89,3,0)*0.475*44/12</f>
        <v>10.987023534566672</v>
      </c>
      <c r="EB158" s="21">
        <f>EXP(-LN(2)/25)*EB157+(1-EXP(-LN(2)/25))/(LN(2)/25)*Calculateur!DW158*Calculateur!DY158*VLOOKUP('Données projet'!$B$14,Paramètres!$A$1:$I$89,3,0)*0.475*44/12</f>
        <v>8.4025563875049869</v>
      </c>
      <c r="EC158" s="21">
        <f>EXP(-LN(2)/2)*EC157+(1-EXP(-LN(2)/2))/(LN(2)/2)*DW158*DZ158*VLOOKUP('Données projet'!$B$14,Paramètres!$A$1:$I$89,3,0)*0.475*44/12</f>
        <v>2.8018787804067023E-5</v>
      </c>
      <c r="ED158" s="22">
        <f t="shared" si="178"/>
        <v>19.389607940859467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68.440289197364237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-9.9475983006414026E-14</v>
      </c>
      <c r="EK158" s="17">
        <f>EJ158*VLOOKUP('Données projet'!$B$15,Paramètres!$A$1:$I$89,3,0)*VLOOKUP('Données projet'!$B$15,Paramètres!$A$1:$I$89,5,0)</f>
        <v>-1.0707594810810407E-13</v>
      </c>
      <c r="EL158" s="13" t="e">
        <f t="shared" si="179"/>
        <v>#NUM!</v>
      </c>
      <c r="EM158" s="20" t="e">
        <f t="shared" si="180"/>
        <v>#NUM!</v>
      </c>
      <c r="EN158" s="59" t="e">
        <f t="shared" si="128"/>
        <v>#NUM!</v>
      </c>
      <c r="EO158" s="59">
        <f ca="1">AVERAGE(OFFSET($EN$3,0,0,'Données projet'!$E$15+1,1))-AVERAGE(OFFSET($H$3,0,0,'Données projet'!$E$15+1,1))</f>
        <v>212.00478362779876</v>
      </c>
      <c r="EP158" s="59">
        <f t="shared" si="154"/>
        <v>133.62262474506707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>
        <f>EXP(-LN(2)/35)*EV157+(1-EXP(-LN(2)/35))/(LN(2)/35)*ER158*ES158*VLOOKUP('Données projet'!$B$15,Paramètres!$A$1:$I$89,3,0)*0.475*44/12</f>
        <v>7.8308343458772915</v>
      </c>
      <c r="EW158" s="21">
        <f>EXP(-LN(2)/25)*EW157+(1-EXP(-LN(2)/25))/(LN(2)/25)*Calculateur!ER158*Calculateur!ET158*VLOOKUP('Données projet'!$B$15,Paramètres!$A$1:$I$89,3,0)*0.475*44/12</f>
        <v>7.7570554898580433</v>
      </c>
      <c r="EX158" s="21">
        <f>EXP(-LN(2)/2)*EX157+(1-EXP(-LN(2)/2))/(LN(2)/2)*ER158*EU158*VLOOKUP('Données projet'!$B$15,Paramètres!$A$1:$I$89,3,0)*0.475*44/12</f>
        <v>1.6959170474426495E-4</v>
      </c>
      <c r="EY158" s="22">
        <f t="shared" si="181"/>
        <v>15.588059427440079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68.440289197364237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-9.9475983006414026E-14</v>
      </c>
      <c r="FF158" s="17">
        <f>FE158*VLOOKUP('Données projet'!$B$16,Paramètres!$A$1:$I$89,3,0)*VLOOKUP('Données projet'!$B$16,Paramètres!$A$1:$I$89,5,0)</f>
        <v>-9.6213170763803652E-14</v>
      </c>
      <c r="FG158" s="13" t="e">
        <f t="shared" si="182"/>
        <v>#NUM!</v>
      </c>
      <c r="FH158" s="20" t="e">
        <f t="shared" si="183"/>
        <v>#NUM!</v>
      </c>
      <c r="FI158" s="59" t="e">
        <f t="shared" si="131"/>
        <v>#NUM!</v>
      </c>
      <c r="FJ158" s="59">
        <f ca="1">AVERAGE(OFFSET($FI$3,0,0,'Données projet'!$E$16+1,1))-AVERAGE(OFFSET($H$3,0,0,'Données projet'!$E$16+1,1))</f>
        <v>196.65742339093146</v>
      </c>
      <c r="FK158" s="59">
        <f t="shared" si="156"/>
        <v>125.41980634506001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>
        <f>EXP(-LN(2)/35)*FQ157+(1-EXP(-LN(2)/35))/(LN(2)/35)*FM158*FN158*VLOOKUP('Données projet'!$B$16,Paramètres!$A$1:$I$89,3,0)*0.475*44/12</f>
        <v>7.0364018760056837</v>
      </c>
      <c r="FR158" s="21">
        <f>EXP(-LN(2)/25)*FR157+(1-EXP(-LN(2)/25))/(LN(2)/25)*Calculateur!FM158*Calculateur!FO158*VLOOKUP('Données projet'!$B$16,Paramètres!$A$1:$I$89,3,0)*0.475*44/12</f>
        <v>6.9701078314666516</v>
      </c>
      <c r="FS158" s="21">
        <f>EXP(-LN(2)/2)*FS157+(1-EXP(-LN(2)/2))/(LN(2)/2)*FM158*FP158*VLOOKUP('Données projet'!$B$16,Paramètres!$A$1:$I$89,3,0)*0.475*44/12</f>
        <v>1.5238674919049869E-4</v>
      </c>
      <c r="FT158" s="22">
        <f t="shared" si="184"/>
        <v>14.006662094221527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68.440289197364237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68.440289197364237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>
      <c r="A159" s="10">
        <f t="shared" si="161"/>
        <v>156</v>
      </c>
      <c r="B159" s="73">
        <f>'Scénario référence'!$B$16*5+'Scénario référence'!$B$17*0+'Scénario référence'!$B$18*5</f>
        <v>4.6999999999999993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8.3229120000000183</v>
      </c>
      <c r="D159" s="11">
        <f t="shared" si="140"/>
        <v>2.9971420189914699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21.442305721076757</v>
      </c>
      <c r="H159" s="67">
        <f t="shared" si="110"/>
        <v>207.44909408307686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68.467346692798998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-2.2737367544323206E-13</v>
      </c>
      <c r="O159" s="13">
        <f>N159*VLOOKUP('Données projet'!$B$9,Paramètres!$A$1:$I$89,3,0)*VLOOKUP('Données projet'!$B$9,Paramètres!$A$1:$I$89,5,0)</f>
        <v>-1.3596945791505279E-13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366.93249569585623</v>
      </c>
      <c r="T159" s="59">
        <f t="shared" si="142"/>
        <v>272.47262353368501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34.02395975763509</v>
      </c>
      <c r="AA159" s="21">
        <f>EXP(-LN(2)/25)*AA158+(1-EXP(-LN(2)/25))/(LN(2)/25)*Calculateur!V159*Calculateur!X159*VLOOKUP('Données projet'!$B$9,Paramètres!$A$1:$I$89,3,0)*0.475*44/12</f>
        <v>6.2911775229446381</v>
      </c>
      <c r="AB159" s="21">
        <f>EXP(-LN(2)/2)*AB158+(1-EXP(-LN(2)/2))/(LN(2)/2)*V159*Y159*VLOOKUP('Données projet'!$B$9,Paramètres!$A$1:$I$89,3,0)*0.475*44/12</f>
        <v>2.5726564781947202E-10</v>
      </c>
      <c r="AC159" s="22">
        <f t="shared" si="163"/>
        <v>40.315137280836993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68.467346692798998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1.1368683772161603E-13</v>
      </c>
      <c r="AJ159" s="13">
        <f>AI159*VLOOKUP('Données projet'!$B$10,Paramètres!$A$1:$I$89,3,0)*VLOOKUP('Données projet'!$B$10,Paramètres!$A$1:$I$89,5,0)</f>
        <v>5.3205440053716299E-14</v>
      </c>
      <c r="AK159" s="13">
        <f t="shared" si="164"/>
        <v>8.602146238565607E-13</v>
      </c>
      <c r="AL159" s="20">
        <f t="shared" si="165"/>
        <v>1.590873277977066E-12</v>
      </c>
      <c r="AM159" s="59">
        <f t="shared" si="113"/>
        <v>287.71360454026461</v>
      </c>
      <c r="AN159" s="59">
        <f ca="1">AVERAGE(OFFSET($AM$3,0,0,'Données projet'!$E$10+1,1))-AVERAGE(OFFSET($H$3,0,0,'Données projet'!$E$10+1,1))</f>
        <v>382.89338473200229</v>
      </c>
      <c r="AO159" s="59">
        <f t="shared" si="144"/>
        <v>360.46248248971744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67.106989160894599</v>
      </c>
      <c r="AV159" s="21">
        <f>EXP(-LN(2)/25)*AV158+(1-EXP(-LN(2)/25))/(LN(2)/25)*Calculateur!AQ159*Calculateur!AS159*VLOOKUP('Données projet'!$B$10,Paramètres!$A$1:$I$89,3,0)*0.475*44/12</f>
        <v>13.241742229867555</v>
      </c>
      <c r="AW159" s="21">
        <f>EXP(-LN(2)/2)*AW158+(1-EXP(-LN(2)/2))/(LN(2)/2)*AQ159*AT159*VLOOKUP('Données projet'!$B$10,Paramètres!$A$1:$I$89,3,0)*0.475*44/12</f>
        <v>8.2666988899863755E-7</v>
      </c>
      <c r="AX159" s="21">
        <f t="shared" si="166"/>
        <v>80.348732217432044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68.467346692798998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>
        <f>BD159*VLOOKUP('Données projet'!$B$11,Paramètres!$A$1:$I$89,3,0)*VLOOKUP('Données projet'!$B$11,Paramètres!$A$1:$I$89,5,0)</f>
        <v>0</v>
      </c>
      <c r="BF159" s="13" t="e">
        <f t="shared" si="167"/>
        <v>#NUM!</v>
      </c>
      <c r="BG159" s="20" t="e">
        <f t="shared" si="168"/>
        <v>#NUM!</v>
      </c>
      <c r="BH159" s="59" t="e">
        <f t="shared" si="116"/>
        <v>#NUM!</v>
      </c>
      <c r="BI159" s="59">
        <f ca="1">AVERAGE(OFFSET($BH$3,0,0,'Données projet'!$E$11+1,1))-AVERAGE(OFFSET($H$3,0,0,'Données projet'!$E$11+1,1))</f>
        <v>225.75484198243581</v>
      </c>
      <c r="BJ159" s="59">
        <f t="shared" si="146"/>
        <v>199.49566488421061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2.4459378858850851</v>
      </c>
      <c r="BQ159" s="21">
        <f>EXP(-LN(2)/25)*BQ158+(1-EXP(-LN(2)/25))/(LN(2)/25)*Calculateur!BL159*Calculateur!BN159*VLOOKUP('Données projet'!$B$11,Paramètres!$A$1:$I$89,3,0)*0.475*44/12</f>
        <v>8.563334497465231</v>
      </c>
      <c r="BR159" s="21">
        <f>EXP(-LN(2)/2)*BR158+(1-EXP(-LN(2)/2))/(LN(2)/2)*BL159*BO159*VLOOKUP('Données projet'!$B$11,Paramètres!$A$1:$I$89,3,0)*0.475*44/12</f>
        <v>0</v>
      </c>
      <c r="BS159" s="22">
        <f t="shared" si="169"/>
        <v>11.009272383350316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68.467346692798998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1.1368683772161603E-13</v>
      </c>
      <c r="BZ159" s="13">
        <f>BY159*VLOOKUP('Données projet'!$B$12,Paramètres!$A$1:$I$89,3,0)*VLOOKUP('Données projet'!$B$12,Paramètres!$A$1:$I$89,5,0)</f>
        <v>1.0818439477588981E-13</v>
      </c>
      <c r="CA159" s="13">
        <f t="shared" si="170"/>
        <v>1.6104228458716316E-12</v>
      </c>
      <c r="CB159" s="20">
        <f t="shared" si="171"/>
        <v>2.9932409441277661E-12</v>
      </c>
      <c r="CC159" s="59">
        <f t="shared" si="119"/>
        <v>287.71360454026603</v>
      </c>
      <c r="CD159" s="59">
        <f ca="1">AVERAGE(OFFSET($CC$3,0,0,'Données projet'!$E$12+1,1))-AVERAGE(OFFSET($H$3,0,0,'Données projet'!$E$12+1,1))</f>
        <v>413.9352601863377</v>
      </c>
      <c r="CE159" s="59">
        <f t="shared" si="148"/>
        <v>255.13997349799286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22.545102968884922</v>
      </c>
      <c r="CL159" s="21">
        <f>EXP(-LN(2)/25)*CL158+(1-EXP(-LN(2)/25))/(LN(2)/25)*Calculateur!CG159*Calculateur!CI159*VLOOKUP('Données projet'!$B$12,Paramètres!$A$1:$I$89,3,0)*0.475*44/12</f>
        <v>17.036673284989611</v>
      </c>
      <c r="CM159" s="21">
        <f>EXP(-LN(2)/2)*CM158+(1-EXP(-LN(2)/2))/(LN(2)/2)*CG159*CJ159*VLOOKUP('Données projet'!$B$12,Paramètres!$A$1:$I$89,3,0)*0.475*44/12</f>
        <v>2.4738484021798976E-4</v>
      </c>
      <c r="CN159" s="22">
        <f t="shared" si="172"/>
        <v>39.582023638714752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68.467346692798998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2.8421709430404007E-14</v>
      </c>
      <c r="CU159" s="17">
        <f>CT159*VLOOKUP('Données projet'!$B$13,Paramètres!$A$1:$I$89,3,0)*VLOOKUP('Données projet'!$B$13,Paramètres!$A$1:$I$89,5,0)</f>
        <v>2.4829205358400945E-14</v>
      </c>
      <c r="CV159" s="13">
        <f t="shared" si="173"/>
        <v>4.3867331143352915E-13</v>
      </c>
      <c r="CW159" s="20">
        <f t="shared" si="174"/>
        <v>8.0726688341261168E-13</v>
      </c>
      <c r="CX159" s="59">
        <f t="shared" si="122"/>
        <v>287.71360454026382</v>
      </c>
      <c r="CY159" s="59">
        <f ca="1">AVERAGE(OFFSET($CX$3,0,0,'Données projet'!$E$13+1,1))-AVERAGE(OFFSET($H$3,0,0,'Données projet'!$E$13+1,1))</f>
        <v>280.59827778697775</v>
      </c>
      <c r="CZ159" s="59">
        <f t="shared" si="150"/>
        <v>270.86588231964726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>
        <f>EXP(-LN(2)/35)*DF158+(1-EXP(-LN(2)/35))/(LN(2)/35)*DB159*DC159*VLOOKUP('Données projet'!$B$13,Paramètres!$A$1:$I$89,3,0)*0.475*44/12</f>
        <v>7.3226313252998221</v>
      </c>
      <c r="DG159" s="21">
        <f>EXP(-LN(2)/25)*DG158+(1-EXP(-LN(2)/25))/(LN(2)/25)*Calculateur!DB159*Calculateur!DD159*VLOOKUP('Données projet'!$B$13,Paramètres!$A$1:$I$89,3,0)*0.475*44/12</f>
        <v>4.4372483574882073</v>
      </c>
      <c r="DH159" s="21">
        <f>EXP(-LN(2)/2)*DH158+(1-EXP(-LN(2)/2))/(LN(2)/2)*DB159*DE159*VLOOKUP('Données projet'!$B$13,Paramètres!$A$1:$I$89,3,0)*0.475*44/12</f>
        <v>1.6533319154633545E-10</v>
      </c>
      <c r="DI159" s="22">
        <f t="shared" si="175"/>
        <v>11.759879682953361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68.467346692798998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>
        <f>DO159*VLOOKUP('Données projet'!$B$14,Paramètres!$A$1:$I$89,3,0)*VLOOKUP('Données projet'!$B$14,Paramètres!$A$1:$I$89,5,0)</f>
        <v>0</v>
      </c>
      <c r="DQ159" s="13" t="e">
        <f t="shared" si="176"/>
        <v>#NUM!</v>
      </c>
      <c r="DR159" s="20" t="e">
        <f t="shared" si="177"/>
        <v>#NUM!</v>
      </c>
      <c r="DS159" s="59" t="e">
        <f t="shared" si="125"/>
        <v>#NUM!</v>
      </c>
      <c r="DT159" s="59">
        <f ca="1">AVERAGE(OFFSET($DS$3,0,0,'Données projet'!$E$14+1,1))-AVERAGE(OFFSET($H$3,0,0,'Données projet'!$E$14+1,1))</f>
        <v>211.42385430331873</v>
      </c>
      <c r="DU159" s="59">
        <f t="shared" si="152"/>
        <v>146.84623106782686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>
        <f>EXP(-LN(2)/35)*EA158+(1-EXP(-LN(2)/35))/(LN(2)/35)*DW159*DX159*VLOOKUP('Données projet'!$B$14,Paramètres!$A$1:$I$89,3,0)*0.475*44/12</f>
        <v>10.771574704476466</v>
      </c>
      <c r="EB159" s="21">
        <f>EXP(-LN(2)/25)*EB158+(1-EXP(-LN(2)/25))/(LN(2)/25)*Calculateur!DW159*Calculateur!DY159*VLOOKUP('Données projet'!$B$14,Paramètres!$A$1:$I$89,3,0)*0.475*44/12</f>
        <v>8.1727880412174265</v>
      </c>
      <c r="EC159" s="21">
        <f>EXP(-LN(2)/2)*EC158+(1-EXP(-LN(2)/2))/(LN(2)/2)*DW159*DZ159*VLOOKUP('Données projet'!$B$14,Paramètres!$A$1:$I$89,3,0)*0.475*44/12</f>
        <v>1.9812274856882726E-5</v>
      </c>
      <c r="ED159" s="22">
        <f t="shared" si="178"/>
        <v>18.944382557968751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68.467346692798998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-9.9475983006414026E-14</v>
      </c>
      <c r="EK159" s="17">
        <f>EJ159*VLOOKUP('Données projet'!$B$15,Paramètres!$A$1:$I$89,3,0)*VLOOKUP('Données projet'!$B$15,Paramètres!$A$1:$I$89,5,0)</f>
        <v>-1.0707594810810407E-13</v>
      </c>
      <c r="EL159" s="13" t="e">
        <f t="shared" si="179"/>
        <v>#NUM!</v>
      </c>
      <c r="EM159" s="20" t="e">
        <f t="shared" si="180"/>
        <v>#NUM!</v>
      </c>
      <c r="EN159" s="59" t="e">
        <f t="shared" si="128"/>
        <v>#NUM!</v>
      </c>
      <c r="EO159" s="59">
        <f ca="1">AVERAGE(OFFSET($EN$3,0,0,'Données projet'!$E$15+1,1))-AVERAGE(OFFSET($H$3,0,0,'Données projet'!$E$15+1,1))</f>
        <v>212.00478362779876</v>
      </c>
      <c r="EP159" s="59">
        <f t="shared" si="154"/>
        <v>133.62262474506707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>
        <f>EXP(-LN(2)/35)*EV158+(1-EXP(-LN(2)/35))/(LN(2)/35)*ER159*ES159*VLOOKUP('Données projet'!$B$15,Paramètres!$A$1:$I$89,3,0)*0.475*44/12</f>
        <v>7.6772764606919646</v>
      </c>
      <c r="EW159" s="21">
        <f>EXP(-LN(2)/25)*EW158+(1-EXP(-LN(2)/25))/(LN(2)/25)*Calculateur!ER159*Calculateur!ET159*VLOOKUP('Données projet'!$B$15,Paramètres!$A$1:$I$89,3,0)*0.475*44/12</f>
        <v>7.5449383995620556</v>
      </c>
      <c r="EX159" s="21">
        <f>EXP(-LN(2)/2)*EX158+(1-EXP(-LN(2)/2))/(LN(2)/2)*ER159*EU159*VLOOKUP('Données projet'!$B$15,Paramètres!$A$1:$I$89,3,0)*0.475*44/12</f>
        <v>1.1991944445765654E-4</v>
      </c>
      <c r="EY159" s="22">
        <f t="shared" si="181"/>
        <v>15.222334779698478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68.467346692798998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-9.9475983006414026E-14</v>
      </c>
      <c r="FF159" s="17">
        <f>FE159*VLOOKUP('Données projet'!$B$16,Paramètres!$A$1:$I$89,3,0)*VLOOKUP('Données projet'!$B$16,Paramètres!$A$1:$I$89,5,0)</f>
        <v>-9.6213170763803652E-14</v>
      </c>
      <c r="FG159" s="13" t="e">
        <f t="shared" si="182"/>
        <v>#NUM!</v>
      </c>
      <c r="FH159" s="20" t="e">
        <f t="shared" si="183"/>
        <v>#NUM!</v>
      </c>
      <c r="FI159" s="59" t="e">
        <f t="shared" si="131"/>
        <v>#NUM!</v>
      </c>
      <c r="FJ159" s="59">
        <f ca="1">AVERAGE(OFFSET($FI$3,0,0,'Données projet'!$E$16+1,1))-AVERAGE(OFFSET($H$3,0,0,'Données projet'!$E$16+1,1))</f>
        <v>196.65742339093146</v>
      </c>
      <c r="FK159" s="59">
        <f t="shared" si="156"/>
        <v>125.41980634506001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>
        <f>EXP(-LN(2)/35)*FQ158+(1-EXP(-LN(2)/35))/(LN(2)/35)*FM159*FN159*VLOOKUP('Données projet'!$B$16,Paramètres!$A$1:$I$89,3,0)*0.475*44/12</f>
        <v>6.8984223269985785</v>
      </c>
      <c r="FR159" s="21">
        <f>EXP(-LN(2)/25)*FR158+(1-EXP(-LN(2)/25))/(LN(2)/25)*Calculateur!FM159*Calculateur!FO159*VLOOKUP('Données projet'!$B$16,Paramètres!$A$1:$I$89,3,0)*0.475*44/12</f>
        <v>6.7795098662731554</v>
      </c>
      <c r="FS159" s="21">
        <f>EXP(-LN(2)/2)*FS158+(1-EXP(-LN(2)/2))/(LN(2)/2)*FM159*FP159*VLOOKUP('Données projet'!$B$16,Paramètres!$A$1:$I$89,3,0)*0.475*44/12</f>
        <v>1.0775370371557526E-4</v>
      </c>
      <c r="FT159" s="22">
        <f t="shared" si="184"/>
        <v>13.678039946975449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68.467346692798998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68.467346692798998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>
      <c r="A160" s="10">
        <f t="shared" si="161"/>
        <v>157</v>
      </c>
      <c r="B160" s="73">
        <f>'Scénario référence'!$B$16*5+'Scénario référence'!$B$17*0+'Scénario référence'!$B$18*5</f>
        <v>4.6999999999999993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8.3762640000000186</v>
      </c>
      <c r="D160" s="11">
        <f t="shared" si="140"/>
        <v>3.0141118204447741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21.474875818591972</v>
      </c>
      <c r="H160" s="67">
        <f t="shared" si="110"/>
        <v>207.57157122060804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68.493934801179478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-2.2737367544323206E-13</v>
      </c>
      <c r="O160" s="13">
        <f>N160*VLOOKUP('Données projet'!$B$9,Paramètres!$A$1:$I$89,3,0)*VLOOKUP('Données projet'!$B$9,Paramètres!$A$1:$I$89,5,0)</f>
        <v>-1.3596945791505279E-13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366.93249569585623</v>
      </c>
      <c r="T160" s="59">
        <f t="shared" si="142"/>
        <v>272.47262353368501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33.356770659354176</v>
      </c>
      <c r="AA160" s="21">
        <f>EXP(-LN(2)/25)*AA159+(1-EXP(-LN(2)/25))/(LN(2)/25)*Calculateur!V160*Calculateur!X160*VLOOKUP('Données projet'!$B$9,Paramètres!$A$1:$I$89,3,0)*0.475*44/12</f>
        <v>6.1191449427410696</v>
      </c>
      <c r="AB160" s="21">
        <f>EXP(-LN(2)/2)*AB159+(1-EXP(-LN(2)/2))/(LN(2)/2)*V160*Y160*VLOOKUP('Données projet'!$B$9,Paramètres!$A$1:$I$89,3,0)*0.475*44/12</f>
        <v>1.819142841394988E-10</v>
      </c>
      <c r="AC160" s="22">
        <f t="shared" si="163"/>
        <v>39.475915602277155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68.493934801179478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1.1368683772161603E-13</v>
      </c>
      <c r="AJ160" s="13">
        <f>AI160*VLOOKUP('Données projet'!$B$10,Paramètres!$A$1:$I$89,3,0)*VLOOKUP('Données projet'!$B$10,Paramètres!$A$1:$I$89,5,0)</f>
        <v>5.3205440053716299E-14</v>
      </c>
      <c r="AK160" s="13">
        <f t="shared" si="164"/>
        <v>8.602146238565607E-13</v>
      </c>
      <c r="AL160" s="20">
        <f t="shared" si="165"/>
        <v>1.590873277977066E-12</v>
      </c>
      <c r="AM160" s="59">
        <f t="shared" si="113"/>
        <v>287.81109427099301</v>
      </c>
      <c r="AN160" s="59">
        <f ca="1">AVERAGE(OFFSET($AM$3,0,0,'Données projet'!$E$10+1,1))-AVERAGE(OFFSET($H$3,0,0,'Données projet'!$E$10+1,1))</f>
        <v>382.89338473200229</v>
      </c>
      <c r="AO160" s="59">
        <f t="shared" si="144"/>
        <v>360.46248248971744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65.791062034671228</v>
      </c>
      <c r="AV160" s="21">
        <f>EXP(-LN(2)/25)*AV159+(1-EXP(-LN(2)/25))/(LN(2)/25)*Calculateur!AQ160*Calculateur!AS160*VLOOKUP('Données projet'!$B$10,Paramètres!$A$1:$I$89,3,0)*0.475*44/12</f>
        <v>12.879646092238866</v>
      </c>
      <c r="AW160" s="21">
        <f>EXP(-LN(2)/2)*AW159+(1-EXP(-LN(2)/2))/(LN(2)/2)*AQ160*AT160*VLOOKUP('Données projet'!$B$10,Paramètres!$A$1:$I$89,3,0)*0.475*44/12</f>
        <v>5.8454388431366713E-7</v>
      </c>
      <c r="AX160" s="21">
        <f t="shared" si="166"/>
        <v>78.670708711453983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68.493934801179478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>
        <f>BD160*VLOOKUP('Données projet'!$B$11,Paramètres!$A$1:$I$89,3,0)*VLOOKUP('Données projet'!$B$11,Paramètres!$A$1:$I$89,5,0)</f>
        <v>0</v>
      </c>
      <c r="BF160" s="13" t="e">
        <f t="shared" si="167"/>
        <v>#NUM!</v>
      </c>
      <c r="BG160" s="20" t="e">
        <f t="shared" si="168"/>
        <v>#NUM!</v>
      </c>
      <c r="BH160" s="59" t="e">
        <f t="shared" si="116"/>
        <v>#NUM!</v>
      </c>
      <c r="BI160" s="59">
        <f ca="1">AVERAGE(OFFSET($BH$3,0,0,'Données projet'!$E$11+1,1))-AVERAGE(OFFSET($H$3,0,0,'Données projet'!$E$11+1,1))</f>
        <v>225.75484198243581</v>
      </c>
      <c r="BJ160" s="59">
        <f t="shared" si="146"/>
        <v>199.49566488421061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2.3979745358176787</v>
      </c>
      <c r="BQ160" s="21">
        <f>EXP(-LN(2)/25)*BQ159+(1-EXP(-LN(2)/25))/(LN(2)/25)*Calculateur!BL160*Calculateur!BN160*VLOOKUP('Données projet'!$B$11,Paramètres!$A$1:$I$89,3,0)*0.475*44/12</f>
        <v>8.3291696653058551</v>
      </c>
      <c r="BR160" s="21">
        <f>EXP(-LN(2)/2)*BR159+(1-EXP(-LN(2)/2))/(LN(2)/2)*BL160*BO160*VLOOKUP('Données projet'!$B$11,Paramètres!$A$1:$I$89,3,0)*0.475*44/12</f>
        <v>0</v>
      </c>
      <c r="BS160" s="22">
        <f t="shared" si="169"/>
        <v>10.727144201123533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68.493934801179478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1.1368683772161603E-13</v>
      </c>
      <c r="BZ160" s="13">
        <f>BY160*VLOOKUP('Données projet'!$B$12,Paramètres!$A$1:$I$89,3,0)*VLOOKUP('Données projet'!$B$12,Paramètres!$A$1:$I$89,5,0)</f>
        <v>1.0818439477588981E-13</v>
      </c>
      <c r="CA160" s="13">
        <f t="shared" si="170"/>
        <v>1.6104228458716316E-12</v>
      </c>
      <c r="CB160" s="20">
        <f t="shared" si="171"/>
        <v>2.9932409441277661E-12</v>
      </c>
      <c r="CC160" s="59">
        <f t="shared" si="119"/>
        <v>287.81109427099443</v>
      </c>
      <c r="CD160" s="59">
        <f ca="1">AVERAGE(OFFSET($CC$3,0,0,'Données projet'!$E$12+1,1))-AVERAGE(OFFSET($H$3,0,0,'Données projet'!$E$12+1,1))</f>
        <v>413.9352601863377</v>
      </c>
      <c r="CE160" s="59">
        <f t="shared" si="148"/>
        <v>255.13997349799286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22.103007250820088</v>
      </c>
      <c r="CL160" s="21">
        <f>EXP(-LN(2)/25)*CL159+(1-EXP(-LN(2)/25))/(LN(2)/25)*Calculateur!CG160*Calculateur!CI160*VLOOKUP('Données projet'!$B$12,Paramètres!$A$1:$I$89,3,0)*0.475*44/12</f>
        <v>16.570804558091861</v>
      </c>
      <c r="CM160" s="21">
        <f>EXP(-LN(2)/2)*CM159+(1-EXP(-LN(2)/2))/(LN(2)/2)*CG160*CJ160*VLOOKUP('Données projet'!$B$12,Paramètres!$A$1:$I$89,3,0)*0.475*44/12</f>
        <v>1.7492749808089111E-4</v>
      </c>
      <c r="CN160" s="22">
        <f t="shared" si="172"/>
        <v>38.673986736410029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68.493934801179478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2.8421709430404007E-14</v>
      </c>
      <c r="CU160" s="17">
        <f>CT160*VLOOKUP('Données projet'!$B$13,Paramètres!$A$1:$I$89,3,0)*VLOOKUP('Données projet'!$B$13,Paramètres!$A$1:$I$89,5,0)</f>
        <v>2.4829205358400945E-14</v>
      </c>
      <c r="CV160" s="13">
        <f t="shared" si="173"/>
        <v>4.3867331143352915E-13</v>
      </c>
      <c r="CW160" s="20">
        <f t="shared" si="174"/>
        <v>8.0726688341261168E-13</v>
      </c>
      <c r="CX160" s="59">
        <f t="shared" si="122"/>
        <v>287.81109427099221</v>
      </c>
      <c r="CY160" s="59">
        <f ca="1">AVERAGE(OFFSET($CX$3,0,0,'Données projet'!$E$13+1,1))-AVERAGE(OFFSET($H$3,0,0,'Données projet'!$E$13+1,1))</f>
        <v>280.59827778697775</v>
      </c>
      <c r="CZ160" s="59">
        <f t="shared" si="150"/>
        <v>270.86588231964726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>
        <f>EXP(-LN(2)/35)*DF159+(1-EXP(-LN(2)/35))/(LN(2)/35)*DB160*DC160*VLOOKUP('Données projet'!$B$13,Paramètres!$A$1:$I$89,3,0)*0.475*44/12</f>
        <v>7.1790389913747843</v>
      </c>
      <c r="DG160" s="21">
        <f>EXP(-LN(2)/25)*DG159+(1-EXP(-LN(2)/25))/(LN(2)/25)*Calculateur!DB160*Calculateur!DD160*VLOOKUP('Données projet'!$B$13,Paramètres!$A$1:$I$89,3,0)*0.475*44/12</f>
        <v>4.3159115678079427</v>
      </c>
      <c r="DH160" s="21">
        <f>EXP(-LN(2)/2)*DH159+(1-EXP(-LN(2)/2))/(LN(2)/2)*DB160*DE160*VLOOKUP('Données projet'!$B$13,Paramètres!$A$1:$I$89,3,0)*0.475*44/12</f>
        <v>1.1690822089762817E-10</v>
      </c>
      <c r="DI160" s="22">
        <f t="shared" si="175"/>
        <v>11.494950559299633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68.493934801179478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>
        <f>DO160*VLOOKUP('Données projet'!$B$14,Paramètres!$A$1:$I$89,3,0)*VLOOKUP('Données projet'!$B$14,Paramètres!$A$1:$I$89,5,0)</f>
        <v>0</v>
      </c>
      <c r="DQ160" s="13" t="e">
        <f t="shared" si="176"/>
        <v>#NUM!</v>
      </c>
      <c r="DR160" s="20" t="e">
        <f t="shared" si="177"/>
        <v>#NUM!</v>
      </c>
      <c r="DS160" s="59" t="e">
        <f t="shared" si="125"/>
        <v>#NUM!</v>
      </c>
      <c r="DT160" s="59">
        <f ca="1">AVERAGE(OFFSET($DS$3,0,0,'Données projet'!$E$14+1,1))-AVERAGE(OFFSET($H$3,0,0,'Données projet'!$E$14+1,1))</f>
        <v>211.42385430331873</v>
      </c>
      <c r="DU160" s="59">
        <f t="shared" si="152"/>
        <v>146.84623106782686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>
        <f>EXP(-LN(2)/35)*EA159+(1-EXP(-LN(2)/35))/(LN(2)/35)*DW160*DX160*VLOOKUP('Données projet'!$B$14,Paramètres!$A$1:$I$89,3,0)*0.475*44/12</f>
        <v>10.560350694533517</v>
      </c>
      <c r="EB160" s="21">
        <f>EXP(-LN(2)/25)*EB159+(1-EXP(-LN(2)/25))/(LN(2)/25)*Calculateur!DW160*Calculateur!DY160*VLOOKUP('Données projet'!$B$14,Paramètres!$A$1:$I$89,3,0)*0.475*44/12</f>
        <v>7.9493027224420922</v>
      </c>
      <c r="EC160" s="21">
        <f>EXP(-LN(2)/2)*EC159+(1-EXP(-LN(2)/2))/(LN(2)/2)*DW160*DZ160*VLOOKUP('Données projet'!$B$14,Paramètres!$A$1:$I$89,3,0)*0.475*44/12</f>
        <v>1.4009393902033511E-5</v>
      </c>
      <c r="ED160" s="22">
        <f t="shared" si="178"/>
        <v>18.509667426369511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68.493934801179478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-9.9475983006414026E-14</v>
      </c>
      <c r="EK160" s="17">
        <f>EJ160*VLOOKUP('Données projet'!$B$15,Paramètres!$A$1:$I$89,3,0)*VLOOKUP('Données projet'!$B$15,Paramètres!$A$1:$I$89,5,0)</f>
        <v>-1.0707594810810407E-13</v>
      </c>
      <c r="EL160" s="13" t="e">
        <f t="shared" si="179"/>
        <v>#NUM!</v>
      </c>
      <c r="EM160" s="20" t="e">
        <f t="shared" si="180"/>
        <v>#NUM!</v>
      </c>
      <c r="EN160" s="59" t="e">
        <f t="shared" si="128"/>
        <v>#NUM!</v>
      </c>
      <c r="EO160" s="59">
        <f ca="1">AVERAGE(OFFSET($EN$3,0,0,'Données projet'!$E$15+1,1))-AVERAGE(OFFSET($H$3,0,0,'Données projet'!$E$15+1,1))</f>
        <v>212.00478362779876</v>
      </c>
      <c r="EP160" s="59">
        <f t="shared" si="154"/>
        <v>133.62262474506707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>
        <f>EXP(-LN(2)/35)*EV159+(1-EXP(-LN(2)/35))/(LN(2)/35)*ER160*ES160*VLOOKUP('Données projet'!$B$15,Paramètres!$A$1:$I$89,3,0)*0.475*44/12</f>
        <v>7.5267297519740604</v>
      </c>
      <c r="EW160" s="21">
        <f>EXP(-LN(2)/25)*EW159+(1-EXP(-LN(2)/25))/(LN(2)/25)*Calculateur!ER160*Calculateur!ET160*VLOOKUP('Données projet'!$B$15,Paramètres!$A$1:$I$89,3,0)*0.475*44/12</f>
        <v>7.3386216622549654</v>
      </c>
      <c r="EX160" s="21">
        <f>EXP(-LN(2)/2)*EX159+(1-EXP(-LN(2)/2))/(LN(2)/2)*ER160*EU160*VLOOKUP('Données projet'!$B$15,Paramètres!$A$1:$I$89,3,0)*0.475*44/12</f>
        <v>8.4795852372132488E-5</v>
      </c>
      <c r="EY160" s="22">
        <f t="shared" si="181"/>
        <v>14.865436210081397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68.493934801179478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-9.9475983006414026E-14</v>
      </c>
      <c r="FF160" s="17">
        <f>FE160*VLOOKUP('Données projet'!$B$16,Paramètres!$A$1:$I$89,3,0)*VLOOKUP('Données projet'!$B$16,Paramètres!$A$1:$I$89,5,0)</f>
        <v>-9.6213170763803652E-14</v>
      </c>
      <c r="FG160" s="13" t="e">
        <f t="shared" si="182"/>
        <v>#NUM!</v>
      </c>
      <c r="FH160" s="20" t="e">
        <f t="shared" si="183"/>
        <v>#NUM!</v>
      </c>
      <c r="FI160" s="59" t="e">
        <f t="shared" si="131"/>
        <v>#NUM!</v>
      </c>
      <c r="FJ160" s="59">
        <f ca="1">AVERAGE(OFFSET($FI$3,0,0,'Données projet'!$E$16+1,1))-AVERAGE(OFFSET($H$3,0,0,'Données projet'!$E$16+1,1))</f>
        <v>196.65742339093146</v>
      </c>
      <c r="FK160" s="59">
        <f t="shared" si="156"/>
        <v>125.41980634506001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>
        <f>EXP(-LN(2)/35)*FQ159+(1-EXP(-LN(2)/35))/(LN(2)/35)*FM160*FN160*VLOOKUP('Données projet'!$B$16,Paramètres!$A$1:$I$89,3,0)*0.475*44/12</f>
        <v>6.7631484727882878</v>
      </c>
      <c r="FR160" s="21">
        <f>EXP(-LN(2)/25)*FR159+(1-EXP(-LN(2)/25))/(LN(2)/25)*Calculateur!FM160*Calculateur!FO160*VLOOKUP('Données projet'!$B$16,Paramètres!$A$1:$I$89,3,0)*0.475*44/12</f>
        <v>6.5941238124609871</v>
      </c>
      <c r="FS160" s="21">
        <f>EXP(-LN(2)/2)*FS159+(1-EXP(-LN(2)/2))/(LN(2)/2)*FM160*FP160*VLOOKUP('Données projet'!$B$16,Paramètres!$A$1:$I$89,3,0)*0.475*44/12</f>
        <v>7.6193374595249344E-5</v>
      </c>
      <c r="FT160" s="22">
        <f t="shared" si="184"/>
        <v>13.357348478623869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68.493934801179478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68.493934801179478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>
      <c r="A161" s="10">
        <f t="shared" si="161"/>
        <v>158</v>
      </c>
      <c r="B161" s="73">
        <f>'Scénario référence'!$B$16*5+'Scénario référence'!$B$17*0+'Scénario référence'!$B$18*5</f>
        <v>4.6999999999999993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8.4296160000000189</v>
      </c>
      <c r="D161" s="11">
        <f t="shared" si="140"/>
        <v>3.0310690450385014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21.507440091035384</v>
      </c>
      <c r="H161" s="67">
        <f t="shared" si="110"/>
        <v>207.69402645344212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68.520061665321649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-2.2737367544323206E-13</v>
      </c>
      <c r="O161" s="13">
        <f>N161*VLOOKUP('Données projet'!$B$9,Paramètres!$A$1:$I$89,3,0)*VLOOKUP('Données projet'!$B$9,Paramètres!$A$1:$I$89,5,0)</f>
        <v>-1.3596945791505279E-13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366.93249569585623</v>
      </c>
      <c r="T161" s="59">
        <f t="shared" si="142"/>
        <v>272.47262353368501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32.702664732345376</v>
      </c>
      <c r="AA161" s="21">
        <f>EXP(-LN(2)/25)*AA160+(1-EXP(-LN(2)/25))/(LN(2)/25)*Calculateur!V161*Calculateur!X161*VLOOKUP('Données projet'!$B$9,Paramètres!$A$1:$I$89,3,0)*0.475*44/12</f>
        <v>5.9518166024899681</v>
      </c>
      <c r="AB161" s="21">
        <f>EXP(-LN(2)/2)*AB160+(1-EXP(-LN(2)/2))/(LN(2)/2)*V161*Y161*VLOOKUP('Données projet'!$B$9,Paramètres!$A$1:$I$89,3,0)*0.475*44/12</f>
        <v>1.2863282390973601E-10</v>
      </c>
      <c r="AC161" s="22">
        <f t="shared" si="163"/>
        <v>38.654481334963975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68.520061665321649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1.1368683772161603E-13</v>
      </c>
      <c r="AJ161" s="13">
        <f>AI161*VLOOKUP('Données projet'!$B$10,Paramètres!$A$1:$I$89,3,0)*VLOOKUP('Données projet'!$B$10,Paramètres!$A$1:$I$89,5,0)</f>
        <v>5.3205440053716299E-14</v>
      </c>
      <c r="AK161" s="13">
        <f t="shared" si="164"/>
        <v>8.602146238565607E-13</v>
      </c>
      <c r="AL161" s="20">
        <f t="shared" si="165"/>
        <v>1.590873277977066E-12</v>
      </c>
      <c r="AM161" s="59">
        <f t="shared" si="113"/>
        <v>287.90689277284764</v>
      </c>
      <c r="AN161" s="59">
        <f ca="1">AVERAGE(OFFSET($AM$3,0,0,'Données projet'!$E$10+1,1))-AVERAGE(OFFSET($H$3,0,0,'Données projet'!$E$10+1,1))</f>
        <v>382.89338473200229</v>
      </c>
      <c r="AO161" s="59">
        <f t="shared" si="144"/>
        <v>360.46248248971744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64.500939436756795</v>
      </c>
      <c r="AV161" s="21">
        <f>EXP(-LN(2)/25)*AV160+(1-EXP(-LN(2)/25))/(LN(2)/25)*Calculateur!AQ161*Calculateur!AS161*VLOOKUP('Données projet'!$B$10,Paramètres!$A$1:$I$89,3,0)*0.475*44/12</f>
        <v>12.527451492535443</v>
      </c>
      <c r="AW161" s="21">
        <f>EXP(-LN(2)/2)*AW160+(1-EXP(-LN(2)/2))/(LN(2)/2)*AQ161*AT161*VLOOKUP('Données projet'!$B$10,Paramètres!$A$1:$I$89,3,0)*0.475*44/12</f>
        <v>4.1333494449931877E-7</v>
      </c>
      <c r="AX161" s="21">
        <f t="shared" si="166"/>
        <v>77.028391342627188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68.520061665321649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>
        <f>BD161*VLOOKUP('Données projet'!$B$11,Paramètres!$A$1:$I$89,3,0)*VLOOKUP('Données projet'!$B$11,Paramètres!$A$1:$I$89,5,0)</f>
        <v>0</v>
      </c>
      <c r="BF161" s="13" t="e">
        <f t="shared" si="167"/>
        <v>#NUM!</v>
      </c>
      <c r="BG161" s="20" t="e">
        <f t="shared" si="168"/>
        <v>#NUM!</v>
      </c>
      <c r="BH161" s="59" t="e">
        <f t="shared" si="116"/>
        <v>#NUM!</v>
      </c>
      <c r="BI161" s="59">
        <f ca="1">AVERAGE(OFFSET($BH$3,0,0,'Données projet'!$E$11+1,1))-AVERAGE(OFFSET($H$3,0,0,'Données projet'!$E$11+1,1))</f>
        <v>225.75484198243581</v>
      </c>
      <c r="BJ161" s="59">
        <f t="shared" si="146"/>
        <v>199.49566488421061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2.350951717790339</v>
      </c>
      <c r="BQ161" s="21">
        <f>EXP(-LN(2)/25)*BQ160+(1-EXP(-LN(2)/25))/(LN(2)/25)*Calculateur!BL161*Calculateur!BN161*VLOOKUP('Données projet'!$B$11,Paramètres!$A$1:$I$89,3,0)*0.475*44/12</f>
        <v>8.1014080827960697</v>
      </c>
      <c r="BR161" s="21">
        <f>EXP(-LN(2)/2)*BR160+(1-EXP(-LN(2)/2))/(LN(2)/2)*BL161*BO161*VLOOKUP('Données projet'!$B$11,Paramètres!$A$1:$I$89,3,0)*0.475*44/12</f>
        <v>0</v>
      </c>
      <c r="BS161" s="22">
        <f t="shared" si="169"/>
        <v>10.452359800586409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68.520061665321649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1.1368683772161603E-13</v>
      </c>
      <c r="BZ161" s="13">
        <f>BY161*VLOOKUP('Données projet'!$B$12,Paramètres!$A$1:$I$89,3,0)*VLOOKUP('Données projet'!$B$12,Paramètres!$A$1:$I$89,5,0)</f>
        <v>1.0818439477588981E-13</v>
      </c>
      <c r="CA161" s="13">
        <f t="shared" si="170"/>
        <v>1.6104228458716316E-12</v>
      </c>
      <c r="CB161" s="20">
        <f t="shared" si="171"/>
        <v>2.9932409441277661E-12</v>
      </c>
      <c r="CC161" s="59">
        <f t="shared" si="119"/>
        <v>287.90689277284906</v>
      </c>
      <c r="CD161" s="59">
        <f ca="1">AVERAGE(OFFSET($CC$3,0,0,'Données projet'!$E$12+1,1))-AVERAGE(OFFSET($H$3,0,0,'Données projet'!$E$12+1,1))</f>
        <v>413.9352601863377</v>
      </c>
      <c r="CE161" s="59">
        <f t="shared" si="148"/>
        <v>255.13997349799286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21.669580760134743</v>
      </c>
      <c r="CL161" s="21">
        <f>EXP(-LN(2)/25)*CL160+(1-EXP(-LN(2)/25))/(LN(2)/25)*Calculateur!CG161*Calculateur!CI161*VLOOKUP('Données projet'!$B$12,Paramètres!$A$1:$I$89,3,0)*0.475*44/12</f>
        <v>16.1176750360301</v>
      </c>
      <c r="CM161" s="21">
        <f>EXP(-LN(2)/2)*CM160+(1-EXP(-LN(2)/2))/(LN(2)/2)*CG161*CJ161*VLOOKUP('Données projet'!$B$12,Paramètres!$A$1:$I$89,3,0)*0.475*44/12</f>
        <v>1.2369242010899488E-4</v>
      </c>
      <c r="CN161" s="22">
        <f t="shared" si="172"/>
        <v>37.787379488584953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68.520061665321649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2.8421709430404007E-14</v>
      </c>
      <c r="CU161" s="17">
        <f>CT161*VLOOKUP('Données projet'!$B$13,Paramètres!$A$1:$I$89,3,0)*VLOOKUP('Données projet'!$B$13,Paramètres!$A$1:$I$89,5,0)</f>
        <v>2.4829205358400945E-14</v>
      </c>
      <c r="CV161" s="13">
        <f t="shared" si="173"/>
        <v>4.3867331143352915E-13</v>
      </c>
      <c r="CW161" s="20">
        <f t="shared" si="174"/>
        <v>8.0726688341261168E-13</v>
      </c>
      <c r="CX161" s="59">
        <f t="shared" si="122"/>
        <v>287.90689277284685</v>
      </c>
      <c r="CY161" s="59">
        <f ca="1">AVERAGE(OFFSET($CX$3,0,0,'Données projet'!$E$13+1,1))-AVERAGE(OFFSET($H$3,0,0,'Données projet'!$E$13+1,1))</f>
        <v>280.59827778697775</v>
      </c>
      <c r="CZ161" s="59">
        <f t="shared" si="150"/>
        <v>270.86588231964726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>
        <f>EXP(-LN(2)/35)*DF160+(1-EXP(-LN(2)/35))/(LN(2)/35)*DB161*DC161*VLOOKUP('Données projet'!$B$13,Paramètres!$A$1:$I$89,3,0)*0.475*44/12</f>
        <v>7.0382624155353408</v>
      </c>
      <c r="DG161" s="21">
        <f>EXP(-LN(2)/25)*DG160+(1-EXP(-LN(2)/25))/(LN(2)/25)*Calculateur!DB161*Calculateur!DD161*VLOOKUP('Données projet'!$B$13,Paramètres!$A$1:$I$89,3,0)*0.475*44/12</f>
        <v>4.1978927390223095</v>
      </c>
      <c r="DH161" s="21">
        <f>EXP(-LN(2)/2)*DH160+(1-EXP(-LN(2)/2))/(LN(2)/2)*DB161*DE161*VLOOKUP('Données projet'!$B$13,Paramètres!$A$1:$I$89,3,0)*0.475*44/12</f>
        <v>8.2666595773167725E-11</v>
      </c>
      <c r="DI161" s="22">
        <f t="shared" si="175"/>
        <v>11.236155154640317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68.520061665321649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>
        <f>DO161*VLOOKUP('Données projet'!$B$14,Paramètres!$A$1:$I$89,3,0)*VLOOKUP('Données projet'!$B$14,Paramètres!$A$1:$I$89,5,0)</f>
        <v>0</v>
      </c>
      <c r="DQ161" s="13" t="e">
        <f t="shared" si="176"/>
        <v>#NUM!</v>
      </c>
      <c r="DR161" s="20" t="e">
        <f t="shared" si="177"/>
        <v>#NUM!</v>
      </c>
      <c r="DS161" s="59" t="e">
        <f t="shared" si="125"/>
        <v>#NUM!</v>
      </c>
      <c r="DT161" s="59">
        <f ca="1">AVERAGE(OFFSET($DS$3,0,0,'Données projet'!$E$14+1,1))-AVERAGE(OFFSET($H$3,0,0,'Données projet'!$E$14+1,1))</f>
        <v>211.42385430331873</v>
      </c>
      <c r="DU161" s="59">
        <f t="shared" si="152"/>
        <v>146.84623106782686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>
        <f>EXP(-LN(2)/35)*EA160+(1-EXP(-LN(2)/35))/(LN(2)/35)*DW161*DX161*VLOOKUP('Données projet'!$B$14,Paramètres!$A$1:$I$89,3,0)*0.475*44/12</f>
        <v>10.353268658591624</v>
      </c>
      <c r="EB161" s="21">
        <f>EXP(-LN(2)/25)*EB160+(1-EXP(-LN(2)/25))/(LN(2)/25)*Calculateur!DW161*Calculateur!DY161*VLOOKUP('Données projet'!$B$14,Paramètres!$A$1:$I$89,3,0)*0.475*44/12</f>
        <v>7.7319286214612513</v>
      </c>
      <c r="EC161" s="21">
        <f>EXP(-LN(2)/2)*EC160+(1-EXP(-LN(2)/2))/(LN(2)/2)*DW161*DZ161*VLOOKUP('Données projet'!$B$14,Paramètres!$A$1:$I$89,3,0)*0.475*44/12</f>
        <v>9.9061374284413632E-6</v>
      </c>
      <c r="ED161" s="22">
        <f t="shared" si="178"/>
        <v>18.085207186190303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68.520061665321649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-9.9475983006414026E-14</v>
      </c>
      <c r="EK161" s="17">
        <f>EJ161*VLOOKUP('Données projet'!$B$15,Paramètres!$A$1:$I$89,3,0)*VLOOKUP('Données projet'!$B$15,Paramètres!$A$1:$I$89,5,0)</f>
        <v>-1.0707594810810407E-13</v>
      </c>
      <c r="EL161" s="13" t="e">
        <f t="shared" si="179"/>
        <v>#NUM!</v>
      </c>
      <c r="EM161" s="20" t="e">
        <f t="shared" si="180"/>
        <v>#NUM!</v>
      </c>
      <c r="EN161" s="59" t="e">
        <f t="shared" si="128"/>
        <v>#NUM!</v>
      </c>
      <c r="EO161" s="59">
        <f ca="1">AVERAGE(OFFSET($EN$3,0,0,'Données projet'!$E$15+1,1))-AVERAGE(OFFSET($H$3,0,0,'Données projet'!$E$15+1,1))</f>
        <v>212.00478362779876</v>
      </c>
      <c r="EP161" s="59">
        <f t="shared" si="154"/>
        <v>133.62262474506707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>
        <f>EXP(-LN(2)/35)*EV160+(1-EXP(-LN(2)/35))/(LN(2)/35)*ER161*ES161*VLOOKUP('Données projet'!$B$15,Paramètres!$A$1:$I$89,3,0)*0.475*44/12</f>
        <v>7.379135172389689</v>
      </c>
      <c r="EW161" s="21">
        <f>EXP(-LN(2)/25)*EW160+(1-EXP(-LN(2)/25))/(LN(2)/25)*Calculateur!ER161*Calculateur!ET161*VLOOKUP('Données projet'!$B$15,Paramètres!$A$1:$I$89,3,0)*0.475*44/12</f>
        <v>7.1379466669792624</v>
      </c>
      <c r="EX161" s="21">
        <f>EXP(-LN(2)/2)*EX160+(1-EXP(-LN(2)/2))/(LN(2)/2)*ER161*EU161*VLOOKUP('Données projet'!$B$15,Paramètres!$A$1:$I$89,3,0)*0.475*44/12</f>
        <v>5.9959722228828276E-5</v>
      </c>
      <c r="EY161" s="22">
        <f t="shared" si="181"/>
        <v>14.517141799091181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68.520061665321649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-9.9475983006414026E-14</v>
      </c>
      <c r="FF161" s="17">
        <f>FE161*VLOOKUP('Données projet'!$B$16,Paramètres!$A$1:$I$89,3,0)*VLOOKUP('Données projet'!$B$16,Paramètres!$A$1:$I$89,5,0)</f>
        <v>-9.6213170763803652E-14</v>
      </c>
      <c r="FG161" s="13" t="e">
        <f t="shared" si="182"/>
        <v>#NUM!</v>
      </c>
      <c r="FH161" s="20" t="e">
        <f t="shared" si="183"/>
        <v>#NUM!</v>
      </c>
      <c r="FI161" s="59" t="e">
        <f t="shared" si="131"/>
        <v>#NUM!</v>
      </c>
      <c r="FJ161" s="59">
        <f ca="1">AVERAGE(OFFSET($FI$3,0,0,'Données projet'!$E$16+1,1))-AVERAGE(OFFSET($H$3,0,0,'Données projet'!$E$16+1,1))</f>
        <v>196.65742339093146</v>
      </c>
      <c r="FK161" s="59">
        <f t="shared" si="156"/>
        <v>125.41980634506001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>
        <f>EXP(-LN(2)/35)*FQ160+(1-EXP(-LN(2)/35))/(LN(2)/35)*FM161*FN161*VLOOKUP('Données projet'!$B$16,Paramètres!$A$1:$I$89,3,0)*0.475*44/12</f>
        <v>6.6305272563501569</v>
      </c>
      <c r="FR161" s="21">
        <f>EXP(-LN(2)/25)*FR160+(1-EXP(-LN(2)/25))/(LN(2)/25)*Calculateur!FM161*Calculateur!FO161*VLOOKUP('Données projet'!$B$16,Paramètres!$A$1:$I$89,3,0)*0.475*44/12</f>
        <v>6.4138071500393412</v>
      </c>
      <c r="FS161" s="21">
        <f>EXP(-LN(2)/2)*FS160+(1-EXP(-LN(2)/2))/(LN(2)/2)*FM161*FP161*VLOOKUP('Données projet'!$B$16,Paramètres!$A$1:$I$89,3,0)*0.475*44/12</f>
        <v>5.3876851857787628E-5</v>
      </c>
      <c r="FT161" s="22">
        <f t="shared" si="184"/>
        <v>13.044388283241357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68.520061665321649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68.520061665321649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>
      <c r="A162" s="10">
        <f t="shared" si="161"/>
        <v>159</v>
      </c>
      <c r="B162" s="73">
        <f>'Scénario référence'!$B$16*5+'Scénario référence'!$B$17*0+'Scénario référence'!$B$18*5</f>
        <v>4.6999999999999993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8.4829680000000192</v>
      </c>
      <c r="D162" s="11">
        <f t="shared" si="140"/>
        <v>3.0480137816069726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21.539998579551305</v>
      </c>
      <c r="H162" s="67">
        <f t="shared" si="110"/>
        <v>207.81645993629886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68.545735286781863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-2.2737367544323206E-13</v>
      </c>
      <c r="O162" s="13">
        <f>N162*VLOOKUP('Données projet'!$B$9,Paramètres!$A$1:$I$89,3,0)*VLOOKUP('Données projet'!$B$9,Paramètres!$A$1:$I$89,5,0)</f>
        <v>-1.3596945791505279E-13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366.93249569585623</v>
      </c>
      <c r="T162" s="59">
        <f t="shared" si="142"/>
        <v>272.47262353368501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32.061385423600001</v>
      </c>
      <c r="AA162" s="21">
        <f>EXP(-LN(2)/25)*AA161+(1-EXP(-LN(2)/25))/(LN(2)/25)*Calculateur!V162*Calculateur!X162*VLOOKUP('Données projet'!$B$9,Paramètres!$A$1:$I$89,3,0)*0.475*44/12</f>
        <v>5.7890638645024479</v>
      </c>
      <c r="AB162" s="21">
        <f>EXP(-LN(2)/2)*AB161+(1-EXP(-LN(2)/2))/(LN(2)/2)*V162*Y162*VLOOKUP('Données projet'!$B$9,Paramètres!$A$1:$I$89,3,0)*0.475*44/12</f>
        <v>9.0957142069749401E-11</v>
      </c>
      <c r="AC162" s="22">
        <f t="shared" si="163"/>
        <v>37.850449288193403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68.545735286781863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1.1368683772161603E-13</v>
      </c>
      <c r="AJ162" s="13">
        <f>AI162*VLOOKUP('Données projet'!$B$10,Paramètres!$A$1:$I$89,3,0)*VLOOKUP('Données projet'!$B$10,Paramètres!$A$1:$I$89,5,0)</f>
        <v>5.3205440053716299E-14</v>
      </c>
      <c r="AK162" s="13">
        <f t="shared" si="164"/>
        <v>8.602146238565607E-13</v>
      </c>
      <c r="AL162" s="20">
        <f t="shared" si="165"/>
        <v>1.590873277977066E-12</v>
      </c>
      <c r="AM162" s="59">
        <f t="shared" si="113"/>
        <v>288.00102938486845</v>
      </c>
      <c r="AN162" s="59">
        <f ca="1">AVERAGE(OFFSET($AM$3,0,0,'Données projet'!$E$10+1,1))-AVERAGE(OFFSET($H$3,0,0,'Données projet'!$E$10+1,1))</f>
        <v>382.89338473200229</v>
      </c>
      <c r="AO162" s="59">
        <f t="shared" si="144"/>
        <v>360.46248248971744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63.23611535609038</v>
      </c>
      <c r="AV162" s="21">
        <f>EXP(-LN(2)/25)*AV161+(1-EXP(-LN(2)/25))/(LN(2)/25)*Calculateur!AQ162*Calculateur!AS162*VLOOKUP('Données projet'!$B$10,Paramètres!$A$1:$I$89,3,0)*0.475*44/12</f>
        <v>12.184887672682018</v>
      </c>
      <c r="AW162" s="21">
        <f>EXP(-LN(2)/2)*AW161+(1-EXP(-LN(2)/2))/(LN(2)/2)*AQ162*AT162*VLOOKUP('Données projet'!$B$10,Paramètres!$A$1:$I$89,3,0)*0.475*44/12</f>
        <v>2.9227194215683356E-7</v>
      </c>
      <c r="AX162" s="21">
        <f t="shared" si="166"/>
        <v>75.421003321044353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68.545735286781863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>
        <f>BD162*VLOOKUP('Données projet'!$B$11,Paramètres!$A$1:$I$89,3,0)*VLOOKUP('Données projet'!$B$11,Paramètres!$A$1:$I$89,5,0)</f>
        <v>0</v>
      </c>
      <c r="BF162" s="13" t="e">
        <f t="shared" si="167"/>
        <v>#NUM!</v>
      </c>
      <c r="BG162" s="20" t="e">
        <f t="shared" si="168"/>
        <v>#NUM!</v>
      </c>
      <c r="BH162" s="59" t="e">
        <f t="shared" si="116"/>
        <v>#NUM!</v>
      </c>
      <c r="BI162" s="59">
        <f ca="1">AVERAGE(OFFSET($BH$3,0,0,'Données projet'!$E$11+1,1))-AVERAGE(OFFSET($H$3,0,0,'Données projet'!$E$11+1,1))</f>
        <v>225.75484198243581</v>
      </c>
      <c r="BJ162" s="59">
        <f t="shared" si="146"/>
        <v>199.49566488421061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2.3048509885434285</v>
      </c>
      <c r="BQ162" s="21">
        <f>EXP(-LN(2)/25)*BQ161+(1-EXP(-LN(2)/25))/(LN(2)/25)*Calculateur!BL162*Calculateur!BN162*VLOOKUP('Données projet'!$B$11,Paramètres!$A$1:$I$89,3,0)*0.475*44/12</f>
        <v>7.8798746527374766</v>
      </c>
      <c r="BR162" s="21">
        <f>EXP(-LN(2)/2)*BR161+(1-EXP(-LN(2)/2))/(LN(2)/2)*BL162*BO162*VLOOKUP('Données projet'!$B$11,Paramètres!$A$1:$I$89,3,0)*0.475*44/12</f>
        <v>0</v>
      </c>
      <c r="BS162" s="22">
        <f t="shared" si="169"/>
        <v>10.184725641280906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68.545735286781863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1.1368683772161603E-13</v>
      </c>
      <c r="BZ162" s="13">
        <f>BY162*VLOOKUP('Données projet'!$B$12,Paramètres!$A$1:$I$89,3,0)*VLOOKUP('Données projet'!$B$12,Paramètres!$A$1:$I$89,5,0)</f>
        <v>1.0818439477588981E-13</v>
      </c>
      <c r="CA162" s="13">
        <f t="shared" si="170"/>
        <v>1.6104228458716316E-12</v>
      </c>
      <c r="CB162" s="20">
        <f t="shared" si="171"/>
        <v>2.9932409441277661E-12</v>
      </c>
      <c r="CC162" s="59">
        <f t="shared" si="119"/>
        <v>288.00102938486987</v>
      </c>
      <c r="CD162" s="59">
        <f ca="1">AVERAGE(OFFSET($CC$3,0,0,'Données projet'!$E$12+1,1))-AVERAGE(OFFSET($H$3,0,0,'Données projet'!$E$12+1,1))</f>
        <v>413.9352601863377</v>
      </c>
      <c r="CE162" s="59">
        <f t="shared" si="148"/>
        <v>255.13997349799286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21.244653498567679</v>
      </c>
      <c r="CL162" s="21">
        <f>EXP(-LN(2)/25)*CL161+(1-EXP(-LN(2)/25))/(LN(2)/25)*Calculateur!CG162*Calculateur!CI162*VLOOKUP('Données projet'!$B$12,Paramètres!$A$1:$I$89,3,0)*0.475*44/12</f>
        <v>15.676936364578165</v>
      </c>
      <c r="CM162" s="21">
        <f>EXP(-LN(2)/2)*CM161+(1-EXP(-LN(2)/2))/(LN(2)/2)*CG162*CJ162*VLOOKUP('Données projet'!$B$12,Paramètres!$A$1:$I$89,3,0)*0.475*44/12</f>
        <v>8.7463749040445554E-5</v>
      </c>
      <c r="CN162" s="22">
        <f t="shared" si="172"/>
        <v>36.92167732689488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68.545735286781863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2.8421709430404007E-14</v>
      </c>
      <c r="CU162" s="17">
        <f>CT162*VLOOKUP('Données projet'!$B$13,Paramètres!$A$1:$I$89,3,0)*VLOOKUP('Données projet'!$B$13,Paramètres!$A$1:$I$89,5,0)</f>
        <v>2.4829205358400945E-14</v>
      </c>
      <c r="CV162" s="13">
        <f t="shared" si="173"/>
        <v>4.3867331143352915E-13</v>
      </c>
      <c r="CW162" s="20">
        <f t="shared" si="174"/>
        <v>8.0726688341261168E-13</v>
      </c>
      <c r="CX162" s="59">
        <f t="shared" si="122"/>
        <v>288.00102938486765</v>
      </c>
      <c r="CY162" s="59">
        <f ca="1">AVERAGE(OFFSET($CX$3,0,0,'Données projet'!$E$13+1,1))-AVERAGE(OFFSET($H$3,0,0,'Données projet'!$E$13+1,1))</f>
        <v>280.59827778697775</v>
      </c>
      <c r="CZ162" s="59">
        <f t="shared" si="150"/>
        <v>270.86588231964726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>
        <f>EXP(-LN(2)/35)*DF161+(1-EXP(-LN(2)/35))/(LN(2)/35)*DB162*DC162*VLOOKUP('Données projet'!$B$13,Paramètres!$A$1:$I$89,3,0)*0.475*44/12</f>
        <v>6.9002463824828757</v>
      </c>
      <c r="DG162" s="21">
        <f>EXP(-LN(2)/25)*DG161+(1-EXP(-LN(2)/25))/(LN(2)/25)*Calculateur!DB162*Calculateur!DD162*VLOOKUP('Données projet'!$B$13,Paramètres!$A$1:$I$89,3,0)*0.475*44/12</f>
        <v>4.0831011413161598</v>
      </c>
      <c r="DH162" s="21">
        <f>EXP(-LN(2)/2)*DH161+(1-EXP(-LN(2)/2))/(LN(2)/2)*DB162*DE162*VLOOKUP('Données projet'!$B$13,Paramètres!$A$1:$I$89,3,0)*0.475*44/12</f>
        <v>5.8454110448814083E-11</v>
      </c>
      <c r="DI162" s="22">
        <f t="shared" si="175"/>
        <v>10.983347523857491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68.545735286781863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>
        <f>DO162*VLOOKUP('Données projet'!$B$14,Paramètres!$A$1:$I$89,3,0)*VLOOKUP('Données projet'!$B$14,Paramètres!$A$1:$I$89,5,0)</f>
        <v>0</v>
      </c>
      <c r="DQ162" s="13" t="e">
        <f t="shared" si="176"/>
        <v>#NUM!</v>
      </c>
      <c r="DR162" s="20" t="e">
        <f t="shared" si="177"/>
        <v>#NUM!</v>
      </c>
      <c r="DS162" s="59" t="e">
        <f t="shared" si="125"/>
        <v>#NUM!</v>
      </c>
      <c r="DT162" s="59">
        <f ca="1">AVERAGE(OFFSET($DS$3,0,0,'Données projet'!$E$14+1,1))-AVERAGE(OFFSET($H$3,0,0,'Données projet'!$E$14+1,1))</f>
        <v>211.42385430331873</v>
      </c>
      <c r="DU162" s="59">
        <f t="shared" si="152"/>
        <v>146.84623106782686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>
        <f>EXP(-LN(2)/35)*EA161+(1-EXP(-LN(2)/35))/(LN(2)/35)*DW162*DX162*VLOOKUP('Données projet'!$B$14,Paramètres!$A$1:$I$89,3,0)*0.475*44/12</f>
        <v>10.150247375066982</v>
      </c>
      <c r="EB162" s="21">
        <f>EXP(-LN(2)/25)*EB161+(1-EXP(-LN(2)/25))/(LN(2)/25)*Calculateur!DW162*Calculateur!DY162*VLOOKUP('Données projet'!$B$14,Paramètres!$A$1:$I$89,3,0)*0.475*44/12</f>
        <v>7.5204986267029383</v>
      </c>
      <c r="EC162" s="21">
        <f>EXP(-LN(2)/2)*EC161+(1-EXP(-LN(2)/2))/(LN(2)/2)*DW162*DZ162*VLOOKUP('Données projet'!$B$14,Paramètres!$A$1:$I$89,3,0)*0.475*44/12</f>
        <v>7.0046969510167557E-6</v>
      </c>
      <c r="ED162" s="22">
        <f t="shared" si="178"/>
        <v>17.670753006466871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68.545735286781863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-9.9475983006414026E-14</v>
      </c>
      <c r="EK162" s="17">
        <f>EJ162*VLOOKUP('Données projet'!$B$15,Paramètres!$A$1:$I$89,3,0)*VLOOKUP('Données projet'!$B$15,Paramètres!$A$1:$I$89,5,0)</f>
        <v>-1.0707594810810407E-13</v>
      </c>
      <c r="EL162" s="13" t="e">
        <f t="shared" si="179"/>
        <v>#NUM!</v>
      </c>
      <c r="EM162" s="20" t="e">
        <f t="shared" si="180"/>
        <v>#NUM!</v>
      </c>
      <c r="EN162" s="59" t="e">
        <f t="shared" si="128"/>
        <v>#NUM!</v>
      </c>
      <c r="EO162" s="59">
        <f ca="1">AVERAGE(OFFSET($EN$3,0,0,'Données projet'!$E$15+1,1))-AVERAGE(OFFSET($H$3,0,0,'Données projet'!$E$15+1,1))</f>
        <v>212.00478362779876</v>
      </c>
      <c r="EP162" s="59">
        <f t="shared" si="154"/>
        <v>133.62262474506707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>
        <f>EXP(-LN(2)/35)*EV161+(1-EXP(-LN(2)/35))/(LN(2)/35)*ER162*ES162*VLOOKUP('Données projet'!$B$15,Paramètres!$A$1:$I$89,3,0)*0.475*44/12</f>
        <v>7.2344348324871621</v>
      </c>
      <c r="EW162" s="21">
        <f>EXP(-LN(2)/25)*EW161+(1-EXP(-LN(2)/25))/(LN(2)/25)*Calculateur!ER162*Calculateur!ET162*VLOOKUP('Données projet'!$B$15,Paramètres!$A$1:$I$89,3,0)*0.475*44/12</f>
        <v>6.9427591400024129</v>
      </c>
      <c r="EX162" s="21">
        <f>EXP(-LN(2)/2)*EX161+(1-EXP(-LN(2)/2))/(LN(2)/2)*ER162*EU162*VLOOKUP('Données projet'!$B$15,Paramètres!$A$1:$I$89,3,0)*0.475*44/12</f>
        <v>4.2397926186066251E-5</v>
      </c>
      <c r="EY162" s="22">
        <f t="shared" si="181"/>
        <v>14.177236370415763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68.545735286781863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-9.9475983006414026E-14</v>
      </c>
      <c r="FF162" s="17">
        <f>FE162*VLOOKUP('Données projet'!$B$16,Paramètres!$A$1:$I$89,3,0)*VLOOKUP('Données projet'!$B$16,Paramètres!$A$1:$I$89,5,0)</f>
        <v>-9.6213170763803652E-14</v>
      </c>
      <c r="FG162" s="13" t="e">
        <f t="shared" si="182"/>
        <v>#NUM!</v>
      </c>
      <c r="FH162" s="20" t="e">
        <f t="shared" si="183"/>
        <v>#NUM!</v>
      </c>
      <c r="FI162" s="59" t="e">
        <f t="shared" si="131"/>
        <v>#NUM!</v>
      </c>
      <c r="FJ162" s="59">
        <f ca="1">AVERAGE(OFFSET($FI$3,0,0,'Données projet'!$E$16+1,1))-AVERAGE(OFFSET($H$3,0,0,'Données projet'!$E$16+1,1))</f>
        <v>196.65742339093146</v>
      </c>
      <c r="FK162" s="59">
        <f t="shared" si="156"/>
        <v>125.41980634506001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>
        <f>EXP(-LN(2)/35)*FQ161+(1-EXP(-LN(2)/35))/(LN(2)/35)*FM162*FN162*VLOOKUP('Données projet'!$B$16,Paramètres!$A$1:$I$89,3,0)*0.475*44/12</f>
        <v>6.5005066610754225</v>
      </c>
      <c r="FR162" s="21">
        <f>EXP(-LN(2)/25)*FR161+(1-EXP(-LN(2)/25))/(LN(2)/25)*Calculateur!FM162*Calculateur!FO162*VLOOKUP('Données projet'!$B$16,Paramètres!$A$1:$I$89,3,0)*0.475*44/12</f>
        <v>6.238421256234056</v>
      </c>
      <c r="FS162" s="21">
        <f>EXP(-LN(2)/2)*FS161+(1-EXP(-LN(2)/2))/(LN(2)/2)*FM162*FP162*VLOOKUP('Données projet'!$B$16,Paramètres!$A$1:$I$89,3,0)*0.475*44/12</f>
        <v>3.8096687297624672E-5</v>
      </c>
      <c r="FT162" s="22">
        <f t="shared" si="184"/>
        <v>12.738966013996777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68.545735286781863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68.545735286781863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>
      <c r="A163" s="10">
        <f t="shared" si="161"/>
        <v>160</v>
      </c>
      <c r="B163" s="73">
        <f>'Scénario référence'!$B$16*5+'Scénario référence'!$B$17*0+'Scénario référence'!$B$18*5</f>
        <v>4.6999999999999993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8.5363200000000194</v>
      </c>
      <c r="D163" s="11">
        <f t="shared" si="140"/>
        <v>3.0649461178024775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21.572551324736594</v>
      </c>
      <c r="H163" s="67">
        <f t="shared" si="110"/>
        <v>207.93887182183937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68.570963528307374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-2.2737367544323206E-13</v>
      </c>
      <c r="O163" s="13">
        <f>N163*VLOOKUP('Données projet'!$B$9,Paramètres!$A$1:$I$89,3,0)*VLOOKUP('Données projet'!$B$9,Paramètres!$A$1:$I$89,5,0)</f>
        <v>-1.3596945791505279E-13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366.93249569585623</v>
      </c>
      <c r="T163" s="59">
        <f t="shared" si="142"/>
        <v>272.47262353368501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31.432681210957366</v>
      </c>
      <c r="AA163" s="21">
        <f>EXP(-LN(2)/25)*AA162+(1-EXP(-LN(2)/25))/(LN(2)/25)*Calculateur!V163*Calculateur!X163*VLOOKUP('Données projet'!$B$9,Paramètres!$A$1:$I$89,3,0)*0.475*44/12</f>
        <v>5.6307616086939909</v>
      </c>
      <c r="AB163" s="21">
        <f>EXP(-LN(2)/2)*AB162+(1-EXP(-LN(2)/2))/(LN(2)/2)*V163*Y163*VLOOKUP('Données projet'!$B$9,Paramètres!$A$1:$I$89,3,0)*0.475*44/12</f>
        <v>6.4316411954868005E-11</v>
      </c>
      <c r="AC163" s="22">
        <f t="shared" si="163"/>
        <v>37.063442819715675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68.570963528307374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1.1368683772161603E-13</v>
      </c>
      <c r="AJ163" s="13">
        <f>AI163*VLOOKUP('Données projet'!$B$10,Paramètres!$A$1:$I$89,3,0)*VLOOKUP('Données projet'!$B$10,Paramètres!$A$1:$I$89,5,0)</f>
        <v>5.3205440053716299E-14</v>
      </c>
      <c r="AK163" s="13">
        <f t="shared" si="164"/>
        <v>8.602146238565607E-13</v>
      </c>
      <c r="AL163" s="20">
        <f t="shared" si="165"/>
        <v>1.590873277977066E-12</v>
      </c>
      <c r="AM163" s="59">
        <f t="shared" si="113"/>
        <v>288.0935329371286</v>
      </c>
      <c r="AN163" s="59">
        <f ca="1">AVERAGE(OFFSET($AM$3,0,0,'Données projet'!$E$10+1,1))-AVERAGE(OFFSET($H$3,0,0,'Données projet'!$E$10+1,1))</f>
        <v>382.89338473200229</v>
      </c>
      <c r="AO163" s="59">
        <f t="shared" si="144"/>
        <v>360.46248248971744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61.996093704179323</v>
      </c>
      <c r="AV163" s="21">
        <f>EXP(-LN(2)/25)*AV162+(1-EXP(-LN(2)/25))/(LN(2)/25)*Calculateur!AQ163*Calculateur!AS163*VLOOKUP('Données projet'!$B$10,Paramètres!$A$1:$I$89,3,0)*0.475*44/12</f>
        <v>11.851691278497135</v>
      </c>
      <c r="AW163" s="21">
        <f>EXP(-LN(2)/2)*AW162+(1-EXP(-LN(2)/2))/(LN(2)/2)*AQ163*AT163*VLOOKUP('Données projet'!$B$10,Paramètres!$A$1:$I$89,3,0)*0.475*44/12</f>
        <v>2.0666747224965939E-7</v>
      </c>
      <c r="AX163" s="21">
        <f t="shared" si="166"/>
        <v>73.847785189343924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68.570963528307374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>
        <f>BD163*VLOOKUP('Données projet'!$B$11,Paramètres!$A$1:$I$89,3,0)*VLOOKUP('Données projet'!$B$11,Paramètres!$A$1:$I$89,5,0)</f>
        <v>0</v>
      </c>
      <c r="BF163" s="13" t="e">
        <f t="shared" si="167"/>
        <v>#NUM!</v>
      </c>
      <c r="BG163" s="20" t="e">
        <f t="shared" si="168"/>
        <v>#NUM!</v>
      </c>
      <c r="BH163" s="59" t="e">
        <f t="shared" si="116"/>
        <v>#NUM!</v>
      </c>
      <c r="BI163" s="59">
        <f ca="1">AVERAGE(OFFSET($BH$3,0,0,'Données projet'!$E$11+1,1))-AVERAGE(OFFSET($H$3,0,0,'Données projet'!$E$11+1,1))</f>
        <v>225.75484198243581</v>
      </c>
      <c r="BJ163" s="59">
        <f t="shared" si="146"/>
        <v>199.49566488421061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2.2596542664783819</v>
      </c>
      <c r="BQ163" s="21">
        <f>EXP(-LN(2)/25)*BQ162+(1-EXP(-LN(2)/25))/(LN(2)/25)*Calculateur!BL163*Calculateur!BN163*VLOOKUP('Données projet'!$B$11,Paramètres!$A$1:$I$89,3,0)*0.475*44/12</f>
        <v>7.6643990659737717</v>
      </c>
      <c r="BR163" s="21">
        <f>EXP(-LN(2)/2)*BR162+(1-EXP(-LN(2)/2))/(LN(2)/2)*BL163*BO163*VLOOKUP('Données projet'!$B$11,Paramètres!$A$1:$I$89,3,0)*0.475*44/12</f>
        <v>0</v>
      </c>
      <c r="BS163" s="22">
        <f t="shared" si="169"/>
        <v>9.9240533324521536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68.570963528307374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1.1368683772161603E-13</v>
      </c>
      <c r="BZ163" s="13">
        <f>BY163*VLOOKUP('Données projet'!$B$12,Paramètres!$A$1:$I$89,3,0)*VLOOKUP('Données projet'!$B$12,Paramètres!$A$1:$I$89,5,0)</f>
        <v>1.0818439477588981E-13</v>
      </c>
      <c r="CA163" s="13">
        <f t="shared" si="170"/>
        <v>1.6104228458716316E-12</v>
      </c>
      <c r="CB163" s="20">
        <f t="shared" si="171"/>
        <v>2.9932409441277661E-12</v>
      </c>
      <c r="CC163" s="59">
        <f t="shared" si="119"/>
        <v>288.09353293713002</v>
      </c>
      <c r="CD163" s="59">
        <f ca="1">AVERAGE(OFFSET($CC$3,0,0,'Données projet'!$E$12+1,1))-AVERAGE(OFFSET($H$3,0,0,'Données projet'!$E$12+1,1))</f>
        <v>413.9352601863377</v>
      </c>
      <c r="CE163" s="59">
        <f t="shared" si="148"/>
        <v>255.13997349799286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20.82805880141991</v>
      </c>
      <c r="CL163" s="21">
        <f>EXP(-LN(2)/25)*CL162+(1-EXP(-LN(2)/25))/(LN(2)/25)*Calculateur!CG163*Calculateur!CI163*VLOOKUP('Données projet'!$B$12,Paramètres!$A$1:$I$89,3,0)*0.475*44/12</f>
        <v>15.248249715274522</v>
      </c>
      <c r="CM163" s="21">
        <f>EXP(-LN(2)/2)*CM162+(1-EXP(-LN(2)/2))/(LN(2)/2)*CG163*CJ163*VLOOKUP('Données projet'!$B$12,Paramètres!$A$1:$I$89,3,0)*0.475*44/12</f>
        <v>6.1846210054497441E-5</v>
      </c>
      <c r="CN163" s="22">
        <f t="shared" si="172"/>
        <v>36.076370362904484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68.570963528307374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2.8421709430404007E-14</v>
      </c>
      <c r="CU163" s="17">
        <f>CT163*VLOOKUP('Données projet'!$B$13,Paramètres!$A$1:$I$89,3,0)*VLOOKUP('Données projet'!$B$13,Paramètres!$A$1:$I$89,5,0)</f>
        <v>2.4829205358400945E-14</v>
      </c>
      <c r="CV163" s="13">
        <f t="shared" si="173"/>
        <v>4.3867331143352915E-13</v>
      </c>
      <c r="CW163" s="20">
        <f t="shared" si="174"/>
        <v>8.0726688341261168E-13</v>
      </c>
      <c r="CX163" s="59">
        <f t="shared" si="122"/>
        <v>288.0935329371278</v>
      </c>
      <c r="CY163" s="59">
        <f ca="1">AVERAGE(OFFSET($CX$3,0,0,'Données projet'!$E$13+1,1))-AVERAGE(OFFSET($H$3,0,0,'Données projet'!$E$13+1,1))</f>
        <v>280.59827778697775</v>
      </c>
      <c r="CZ163" s="59">
        <f t="shared" si="150"/>
        <v>270.86588231964726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>
        <f>EXP(-LN(2)/35)*DF162+(1-EXP(-LN(2)/35))/(LN(2)/35)*DB163*DC163*VLOOKUP('Données projet'!$B$13,Paramètres!$A$1:$I$89,3,0)*0.475*44/12</f>
        <v>6.7649367596571022</v>
      </c>
      <c r="DG163" s="21">
        <f>EXP(-LN(2)/25)*DG162+(1-EXP(-LN(2)/25))/(LN(2)/25)*Calculateur!DB163*Calculateur!DD163*VLOOKUP('Données projet'!$B$13,Paramètres!$A$1:$I$89,3,0)*0.475*44/12</f>
        <v>3.9714485258859122</v>
      </c>
      <c r="DH163" s="21">
        <f>EXP(-LN(2)/2)*DH162+(1-EXP(-LN(2)/2))/(LN(2)/2)*DB163*DE163*VLOOKUP('Données projet'!$B$13,Paramètres!$A$1:$I$89,3,0)*0.475*44/12</f>
        <v>4.1333297886583862E-11</v>
      </c>
      <c r="DI163" s="22">
        <f t="shared" si="175"/>
        <v>10.736385285584349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68.570963528307374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>
        <f>DO163*VLOOKUP('Données projet'!$B$14,Paramètres!$A$1:$I$89,3,0)*VLOOKUP('Données projet'!$B$14,Paramètres!$A$1:$I$89,5,0)</f>
        <v>0</v>
      </c>
      <c r="DQ163" s="13" t="e">
        <f t="shared" si="176"/>
        <v>#NUM!</v>
      </c>
      <c r="DR163" s="20" t="e">
        <f t="shared" si="177"/>
        <v>#NUM!</v>
      </c>
      <c r="DS163" s="59" t="e">
        <f t="shared" si="125"/>
        <v>#NUM!</v>
      </c>
      <c r="DT163" s="59">
        <f ca="1">AVERAGE(OFFSET($DS$3,0,0,'Données projet'!$E$14+1,1))-AVERAGE(OFFSET($H$3,0,0,'Données projet'!$E$14+1,1))</f>
        <v>211.42385430331873</v>
      </c>
      <c r="DU163" s="59">
        <f t="shared" si="152"/>
        <v>146.84623106782686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>
        <f>EXP(-LN(2)/35)*EA162+(1-EXP(-LN(2)/35))/(LN(2)/35)*DW163*DX163*VLOOKUP('Données projet'!$B$14,Paramètres!$A$1:$I$89,3,0)*0.475*44/12</f>
        <v>9.951207215081503</v>
      </c>
      <c r="EB163" s="21">
        <f>EXP(-LN(2)/25)*EB162+(1-EXP(-LN(2)/25))/(LN(2)/25)*Calculateur!DW163*Calculateur!DY163*VLOOKUP('Données projet'!$B$14,Paramètres!$A$1:$I$89,3,0)*0.475*44/12</f>
        <v>7.3148501962699122</v>
      </c>
      <c r="EC163" s="21">
        <f>EXP(-LN(2)/2)*EC162+(1-EXP(-LN(2)/2))/(LN(2)/2)*DW163*DZ163*VLOOKUP('Données projet'!$B$14,Paramètres!$A$1:$I$89,3,0)*0.475*44/12</f>
        <v>4.9530687142206816E-6</v>
      </c>
      <c r="ED163" s="22">
        <f t="shared" si="178"/>
        <v>17.266062364420129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68.570963528307374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-9.9475983006414026E-14</v>
      </c>
      <c r="EK163" s="17">
        <f>EJ163*VLOOKUP('Données projet'!$B$15,Paramètres!$A$1:$I$89,3,0)*VLOOKUP('Données projet'!$B$15,Paramètres!$A$1:$I$89,5,0)</f>
        <v>-1.0707594810810407E-13</v>
      </c>
      <c r="EL163" s="13" t="e">
        <f t="shared" si="179"/>
        <v>#NUM!</v>
      </c>
      <c r="EM163" s="20" t="e">
        <f t="shared" si="180"/>
        <v>#NUM!</v>
      </c>
      <c r="EN163" s="59" t="e">
        <f t="shared" si="128"/>
        <v>#NUM!</v>
      </c>
      <c r="EO163" s="59">
        <f ca="1">AVERAGE(OFFSET($EN$3,0,0,'Données projet'!$E$15+1,1))-AVERAGE(OFFSET($H$3,0,0,'Données projet'!$E$15+1,1))</f>
        <v>212.00478362779876</v>
      </c>
      <c r="EP163" s="59">
        <f t="shared" si="154"/>
        <v>133.62262474506707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>
        <f>EXP(-LN(2)/35)*EV162+(1-EXP(-LN(2)/35))/(LN(2)/35)*ER163*ES163*VLOOKUP('Données projet'!$B$15,Paramètres!$A$1:$I$89,3,0)*0.475*44/12</f>
        <v>7.0925719779916321</v>
      </c>
      <c r="EW163" s="21">
        <f>EXP(-LN(2)/25)*EW162+(1-EXP(-LN(2)/25))/(LN(2)/25)*Calculateur!ER163*Calculateur!ET163*VLOOKUP('Données projet'!$B$15,Paramètres!$A$1:$I$89,3,0)*0.475*44/12</f>
        <v>6.7529090262152121</v>
      </c>
      <c r="EX163" s="21">
        <f>EXP(-LN(2)/2)*EX162+(1-EXP(-LN(2)/2))/(LN(2)/2)*ER163*EU163*VLOOKUP('Données projet'!$B$15,Paramètres!$A$1:$I$89,3,0)*0.475*44/12</f>
        <v>2.9979861114414145E-5</v>
      </c>
      <c r="EY163" s="22">
        <f t="shared" si="181"/>
        <v>13.845510984067959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68.570963528307374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-9.9475983006414026E-14</v>
      </c>
      <c r="FF163" s="17">
        <f>FE163*VLOOKUP('Données projet'!$B$16,Paramètres!$A$1:$I$89,3,0)*VLOOKUP('Données projet'!$B$16,Paramètres!$A$1:$I$89,5,0)</f>
        <v>-9.6213170763803652E-14</v>
      </c>
      <c r="FG163" s="13" t="e">
        <f t="shared" si="182"/>
        <v>#NUM!</v>
      </c>
      <c r="FH163" s="20" t="e">
        <f t="shared" si="183"/>
        <v>#NUM!</v>
      </c>
      <c r="FI163" s="59" t="e">
        <f t="shared" si="131"/>
        <v>#NUM!</v>
      </c>
      <c r="FJ163" s="59">
        <f ca="1">AVERAGE(OFFSET($FI$3,0,0,'Données projet'!$E$16+1,1))-AVERAGE(OFFSET($H$3,0,0,'Données projet'!$E$16+1,1))</f>
        <v>196.65742339093146</v>
      </c>
      <c r="FK163" s="59">
        <f t="shared" si="156"/>
        <v>125.41980634506001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>
        <f>EXP(-LN(2)/35)*FQ162+(1-EXP(-LN(2)/35))/(LN(2)/35)*FM163*FN163*VLOOKUP('Données projet'!$B$16,Paramètres!$A$1:$I$89,3,0)*0.475*44/12</f>
        <v>6.373035690369294</v>
      </c>
      <c r="FR163" s="21">
        <f>EXP(-LN(2)/25)*FR162+(1-EXP(-LN(2)/25))/(LN(2)/25)*Calculateur!FM163*Calculateur!FO163*VLOOKUP('Données projet'!$B$16,Paramètres!$A$1:$I$89,3,0)*0.475*44/12</f>
        <v>6.0678312989180201</v>
      </c>
      <c r="FS163" s="21">
        <f>EXP(-LN(2)/2)*FS162+(1-EXP(-LN(2)/2))/(LN(2)/2)*FM163*FP163*VLOOKUP('Données projet'!$B$16,Paramètres!$A$1:$I$89,3,0)*0.475*44/12</f>
        <v>2.6938425928893814E-5</v>
      </c>
      <c r="FT163" s="22">
        <f t="shared" si="184"/>
        <v>12.440893927713244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68.570963528307374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68.570963528307374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>
      <c r="A164" s="10">
        <f t="shared" si="161"/>
        <v>161</v>
      </c>
      <c r="B164" s="73">
        <f>'Scénario référence'!$B$16*5+'Scénario référence'!$B$17*0+'Scénario référence'!$B$18*5</f>
        <v>4.6999999999999993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8.5896720000000197</v>
      </c>
      <c r="D164" s="11">
        <f t="shared" si="140"/>
        <v>3.0818661401182821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21.60509836665128</v>
      </c>
      <c r="H164" s="67">
        <f t="shared" si="110"/>
        <v>208.06126226070606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68.595754116244322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-2.2737367544323206E-13</v>
      </c>
      <c r="O164" s="13">
        <f>N164*VLOOKUP('Données projet'!$B$9,Paramètres!$A$1:$I$89,3,0)*VLOOKUP('Données projet'!$B$9,Paramètres!$A$1:$I$89,5,0)</f>
        <v>-1.3596945791505279E-13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366.93249569585623</v>
      </c>
      <c r="T164" s="59">
        <f t="shared" si="142"/>
        <v>272.47262353368501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30.816305504452949</v>
      </c>
      <c r="AA164" s="21">
        <f>EXP(-LN(2)/25)*AA163+(1-EXP(-LN(2)/25))/(LN(2)/25)*Calculateur!V164*Calculateur!X164*VLOOKUP('Données projet'!$B$9,Paramètres!$A$1:$I$89,3,0)*0.475*44/12</f>
        <v>5.4767881363953697</v>
      </c>
      <c r="AB164" s="21">
        <f>EXP(-LN(2)/2)*AB163+(1-EXP(-LN(2)/2))/(LN(2)/2)*V164*Y164*VLOOKUP('Données projet'!$B$9,Paramètres!$A$1:$I$89,3,0)*0.475*44/12</f>
        <v>4.54785710348747E-11</v>
      </c>
      <c r="AC164" s="22">
        <f t="shared" si="163"/>
        <v>36.293093640893801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68.595754116244322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1.1368683772161603E-13</v>
      </c>
      <c r="AJ164" s="13">
        <f>AI164*VLOOKUP('Données projet'!$B$10,Paramètres!$A$1:$I$89,3,0)*VLOOKUP('Données projet'!$B$10,Paramètres!$A$1:$I$89,5,0)</f>
        <v>5.3205440053716299E-14</v>
      </c>
      <c r="AK164" s="13">
        <f t="shared" si="164"/>
        <v>8.602146238565607E-13</v>
      </c>
      <c r="AL164" s="20">
        <f t="shared" si="165"/>
        <v>1.590873277977066E-12</v>
      </c>
      <c r="AM164" s="59">
        <f t="shared" si="113"/>
        <v>288.18443175956412</v>
      </c>
      <c r="AN164" s="59">
        <f ca="1">AVERAGE(OFFSET($AM$3,0,0,'Données projet'!$E$10+1,1))-AVERAGE(OFFSET($H$3,0,0,'Données projet'!$E$10+1,1))</f>
        <v>382.89338473200229</v>
      </c>
      <c r="AO164" s="59">
        <f t="shared" si="144"/>
        <v>360.46248248971744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60.780388120523718</v>
      </c>
      <c r="AV164" s="21">
        <f>EXP(-LN(2)/25)*AV163+(1-EXP(-LN(2)/25))/(LN(2)/25)*Calculateur!AQ164*Calculateur!AS164*VLOOKUP('Données projet'!$B$10,Paramètres!$A$1:$I$89,3,0)*0.475*44/12</f>
        <v>11.527606157233274</v>
      </c>
      <c r="AW164" s="21">
        <f>EXP(-LN(2)/2)*AW163+(1-EXP(-LN(2)/2))/(LN(2)/2)*AQ164*AT164*VLOOKUP('Données projet'!$B$10,Paramètres!$A$1:$I$89,3,0)*0.475*44/12</f>
        <v>1.4613597107841678E-7</v>
      </c>
      <c r="AX164" s="21">
        <f t="shared" si="166"/>
        <v>72.307994423892964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68.595754116244322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>
        <f>BD164*VLOOKUP('Données projet'!$B$11,Paramètres!$A$1:$I$89,3,0)*VLOOKUP('Données projet'!$B$11,Paramètres!$A$1:$I$89,5,0)</f>
        <v>0</v>
      </c>
      <c r="BF164" s="13" t="e">
        <f t="shared" si="167"/>
        <v>#NUM!</v>
      </c>
      <c r="BG164" s="20" t="e">
        <f t="shared" si="168"/>
        <v>#NUM!</v>
      </c>
      <c r="BH164" s="59" t="e">
        <f t="shared" si="116"/>
        <v>#NUM!</v>
      </c>
      <c r="BI164" s="59">
        <f ca="1">AVERAGE(OFFSET($BH$3,0,0,'Données projet'!$E$11+1,1))-AVERAGE(OFFSET($H$3,0,0,'Données projet'!$E$11+1,1))</f>
        <v>225.75484198243581</v>
      </c>
      <c r="BJ164" s="59">
        <f t="shared" si="146"/>
        <v>199.49566488421061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2.215343824565752</v>
      </c>
      <c r="BQ164" s="21">
        <f>EXP(-LN(2)/25)*BQ163+(1-EXP(-LN(2)/25))/(LN(2)/25)*Calculateur!BL164*Calculateur!BN164*VLOOKUP('Données projet'!$B$11,Paramètres!$A$1:$I$89,3,0)*0.475*44/12</f>
        <v>7.454815670461489</v>
      </c>
      <c r="BR164" s="21">
        <f>EXP(-LN(2)/2)*BR163+(1-EXP(-LN(2)/2))/(LN(2)/2)*BL164*BO164*VLOOKUP('Données projet'!$B$11,Paramètres!$A$1:$I$89,3,0)*0.475*44/12</f>
        <v>0</v>
      </c>
      <c r="BS164" s="22">
        <f t="shared" si="169"/>
        <v>9.6701594950272405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68.595754116244322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1.1368683772161603E-13</v>
      </c>
      <c r="BZ164" s="13">
        <f>BY164*VLOOKUP('Données projet'!$B$12,Paramètres!$A$1:$I$89,3,0)*VLOOKUP('Données projet'!$B$12,Paramètres!$A$1:$I$89,5,0)</f>
        <v>1.0818439477588981E-13</v>
      </c>
      <c r="CA164" s="13">
        <f t="shared" si="170"/>
        <v>1.6104228458716316E-12</v>
      </c>
      <c r="CB164" s="20">
        <f t="shared" si="171"/>
        <v>2.9932409441277661E-12</v>
      </c>
      <c r="CC164" s="59">
        <f t="shared" si="119"/>
        <v>288.18443175956554</v>
      </c>
      <c r="CD164" s="59">
        <f ca="1">AVERAGE(OFFSET($CC$3,0,0,'Données projet'!$E$12+1,1))-AVERAGE(OFFSET($H$3,0,0,'Données projet'!$E$12+1,1))</f>
        <v>413.9352601863377</v>
      </c>
      <c r="CE164" s="59">
        <f t="shared" si="148"/>
        <v>255.13997349799286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20.419633272185532</v>
      </c>
      <c r="CL164" s="21">
        <f>EXP(-LN(2)/25)*CL163+(1-EXP(-LN(2)/25))/(LN(2)/25)*Calculateur!CG164*Calculateur!CI164*VLOOKUP('Données projet'!$B$12,Paramètres!$A$1:$I$89,3,0)*0.475*44/12</f>
        <v>14.831285524939737</v>
      </c>
      <c r="CM164" s="21">
        <f>EXP(-LN(2)/2)*CM163+(1-EXP(-LN(2)/2))/(LN(2)/2)*CG164*CJ164*VLOOKUP('Données projet'!$B$12,Paramètres!$A$1:$I$89,3,0)*0.475*44/12</f>
        <v>4.3731874520222777E-5</v>
      </c>
      <c r="CN164" s="22">
        <f t="shared" si="172"/>
        <v>35.250962528999786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68.595754116244322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2.8421709430404007E-14</v>
      </c>
      <c r="CU164" s="17">
        <f>CT164*VLOOKUP('Données projet'!$B$13,Paramètres!$A$1:$I$89,3,0)*VLOOKUP('Données projet'!$B$13,Paramètres!$A$1:$I$89,5,0)</f>
        <v>2.4829205358400945E-14</v>
      </c>
      <c r="CV164" s="13">
        <f t="shared" si="173"/>
        <v>4.3867331143352915E-13</v>
      </c>
      <c r="CW164" s="20">
        <f t="shared" si="174"/>
        <v>8.0726688341261168E-13</v>
      </c>
      <c r="CX164" s="59">
        <f t="shared" si="122"/>
        <v>288.18443175956332</v>
      </c>
      <c r="CY164" s="59">
        <f ca="1">AVERAGE(OFFSET($CX$3,0,0,'Données projet'!$E$13+1,1))-AVERAGE(OFFSET($H$3,0,0,'Données projet'!$E$13+1,1))</f>
        <v>280.59827778697775</v>
      </c>
      <c r="CZ164" s="59">
        <f t="shared" si="150"/>
        <v>270.86588231964726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>
        <f>EXP(-LN(2)/35)*DF163+(1-EXP(-LN(2)/35))/(LN(2)/35)*DB164*DC164*VLOOKUP('Données projet'!$B$13,Paramètres!$A$1:$I$89,3,0)*0.475*44/12</f>
        <v>6.6322804760042207</v>
      </c>
      <c r="DG164" s="21">
        <f>EXP(-LN(2)/25)*DG163+(1-EXP(-LN(2)/25))/(LN(2)/25)*Calculateur!DB164*Calculateur!DD164*VLOOKUP('Données projet'!$B$13,Paramètres!$A$1:$I$89,3,0)*0.475*44/12</f>
        <v>3.8628490570961609</v>
      </c>
      <c r="DH164" s="21">
        <f>EXP(-LN(2)/2)*DH163+(1-EXP(-LN(2)/2))/(LN(2)/2)*DB164*DE164*VLOOKUP('Données projet'!$B$13,Paramètres!$A$1:$I$89,3,0)*0.475*44/12</f>
        <v>2.9227055224407042E-11</v>
      </c>
      <c r="DI164" s="22">
        <f t="shared" si="175"/>
        <v>10.495129533129608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68.595754116244322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>
        <f>DO164*VLOOKUP('Données projet'!$B$14,Paramètres!$A$1:$I$89,3,0)*VLOOKUP('Données projet'!$B$14,Paramètres!$A$1:$I$89,5,0)</f>
        <v>0</v>
      </c>
      <c r="DQ164" s="13" t="e">
        <f t="shared" si="176"/>
        <v>#NUM!</v>
      </c>
      <c r="DR164" s="20" t="e">
        <f t="shared" si="177"/>
        <v>#NUM!</v>
      </c>
      <c r="DS164" s="59" t="e">
        <f t="shared" si="125"/>
        <v>#NUM!</v>
      </c>
      <c r="DT164" s="59">
        <f ca="1">AVERAGE(OFFSET($DS$3,0,0,'Données projet'!$E$14+1,1))-AVERAGE(OFFSET($H$3,0,0,'Données projet'!$E$14+1,1))</f>
        <v>211.42385430331873</v>
      </c>
      <c r="DU164" s="59">
        <f t="shared" si="152"/>
        <v>146.84623106782686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>
        <f>EXP(-LN(2)/35)*EA163+(1-EXP(-LN(2)/35))/(LN(2)/35)*DW164*DX164*VLOOKUP('Données projet'!$B$14,Paramètres!$A$1:$I$89,3,0)*0.475*44/12</f>
        <v>9.7560701112308283</v>
      </c>
      <c r="EB164" s="21">
        <f>EXP(-LN(2)/25)*EB163+(1-EXP(-LN(2)/25))/(LN(2)/25)*Calculateur!DW164*Calculateur!DY164*VLOOKUP('Données projet'!$B$14,Paramètres!$A$1:$I$89,3,0)*0.475*44/12</f>
        <v>7.1148252329816577</v>
      </c>
      <c r="EC164" s="21">
        <f>EXP(-LN(2)/2)*EC163+(1-EXP(-LN(2)/2))/(LN(2)/2)*DW164*DZ164*VLOOKUP('Données projet'!$B$14,Paramètres!$A$1:$I$89,3,0)*0.475*44/12</f>
        <v>3.5023484755083778E-6</v>
      </c>
      <c r="ED164" s="22">
        <f t="shared" si="178"/>
        <v>16.870898846560962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68.595754116244322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-9.9475983006414026E-14</v>
      </c>
      <c r="EK164" s="17">
        <f>EJ164*VLOOKUP('Données projet'!$B$15,Paramètres!$A$1:$I$89,3,0)*VLOOKUP('Données projet'!$B$15,Paramètres!$A$1:$I$89,5,0)</f>
        <v>-1.0707594810810407E-13</v>
      </c>
      <c r="EL164" s="13" t="e">
        <f t="shared" si="179"/>
        <v>#NUM!</v>
      </c>
      <c r="EM164" s="20" t="e">
        <f t="shared" si="180"/>
        <v>#NUM!</v>
      </c>
      <c r="EN164" s="59" t="e">
        <f t="shared" si="128"/>
        <v>#NUM!</v>
      </c>
      <c r="EO164" s="59">
        <f ca="1">AVERAGE(OFFSET($EN$3,0,0,'Données projet'!$E$15+1,1))-AVERAGE(OFFSET($H$3,0,0,'Données projet'!$E$15+1,1))</f>
        <v>212.00478362779876</v>
      </c>
      <c r="EP164" s="59">
        <f t="shared" si="154"/>
        <v>133.62262474506707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>
        <f>EXP(-LN(2)/35)*EV163+(1-EXP(-LN(2)/35))/(LN(2)/35)*ER164*ES164*VLOOKUP('Données projet'!$B$15,Paramètres!$A$1:$I$89,3,0)*0.475*44/12</f>
        <v>6.9534909675449619</v>
      </c>
      <c r="EW164" s="21">
        <f>EXP(-LN(2)/25)*EW163+(1-EXP(-LN(2)/25))/(LN(2)/25)*Calculateur!ER164*Calculateur!ET164*VLOOKUP('Données projet'!$B$15,Paramètres!$A$1:$I$89,3,0)*0.475*44/12</f>
        <v>6.5682503737733056</v>
      </c>
      <c r="EX164" s="21">
        <f>EXP(-LN(2)/2)*EX163+(1-EXP(-LN(2)/2))/(LN(2)/2)*ER164*EU164*VLOOKUP('Données projet'!$B$15,Paramètres!$A$1:$I$89,3,0)*0.475*44/12</f>
        <v>2.1198963093033129E-5</v>
      </c>
      <c r="EY164" s="22">
        <f t="shared" si="181"/>
        <v>13.521762540281362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68.595754116244322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-9.9475983006414026E-14</v>
      </c>
      <c r="FF164" s="17">
        <f>FE164*VLOOKUP('Données projet'!$B$16,Paramètres!$A$1:$I$89,3,0)*VLOOKUP('Données projet'!$B$16,Paramètres!$A$1:$I$89,5,0)</f>
        <v>-9.6213170763803652E-14</v>
      </c>
      <c r="FG164" s="13" t="e">
        <f t="shared" si="182"/>
        <v>#NUM!</v>
      </c>
      <c r="FH164" s="20" t="e">
        <f t="shared" si="183"/>
        <v>#NUM!</v>
      </c>
      <c r="FI164" s="59" t="e">
        <f t="shared" si="131"/>
        <v>#NUM!</v>
      </c>
      <c r="FJ164" s="59">
        <f ca="1">AVERAGE(OFFSET($FI$3,0,0,'Données projet'!$E$16+1,1))-AVERAGE(OFFSET($H$3,0,0,'Données projet'!$E$16+1,1))</f>
        <v>196.65742339093146</v>
      </c>
      <c r="FK164" s="59">
        <f t="shared" si="156"/>
        <v>125.41980634506001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>
        <f>EXP(-LN(2)/35)*FQ163+(1-EXP(-LN(2)/35))/(LN(2)/35)*FM164*FN164*VLOOKUP('Données projet'!$B$16,Paramètres!$A$1:$I$89,3,0)*0.475*44/12</f>
        <v>6.2480643476490973</v>
      </c>
      <c r="FR164" s="21">
        <f>EXP(-LN(2)/25)*FR163+(1-EXP(-LN(2)/25))/(LN(2)/25)*Calculateur!FM164*Calculateur!FO164*VLOOKUP('Données projet'!$B$16,Paramètres!$A$1:$I$89,3,0)*0.475*44/12</f>
        <v>5.9019061329557267</v>
      </c>
      <c r="FS164" s="21">
        <f>EXP(-LN(2)/2)*FS163+(1-EXP(-LN(2)/2))/(LN(2)/2)*FM164*FP164*VLOOKUP('Données projet'!$B$16,Paramètres!$A$1:$I$89,3,0)*0.475*44/12</f>
        <v>1.9048343648812336E-5</v>
      </c>
      <c r="FT164" s="22">
        <f t="shared" si="184"/>
        <v>12.149989528948474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68.595754116244322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68.595754116244322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>
      <c r="A165" s="10">
        <f t="shared" si="161"/>
        <v>162</v>
      </c>
      <c r="B165" s="73">
        <f>'Scénario référence'!$B$16*5+'Scénario référence'!$B$17*0+'Scénario référence'!$B$18*5</f>
        <v>4.6999999999999993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8.64302400000002</v>
      </c>
      <c r="D165" s="11">
        <f t="shared" si="140"/>
        <v>3.0987739339110574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21.637639744828988</v>
      </c>
      <c r="H165" s="67">
        <f t="shared" si="110"/>
        <v>208.1836314015618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68.620114642903999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-2.2737367544323206E-13</v>
      </c>
      <c r="O165" s="13">
        <f>N165*VLOOKUP('Données projet'!$B$9,Paramètres!$A$1:$I$89,3,0)*VLOOKUP('Données projet'!$B$9,Paramètres!$A$1:$I$89,5,0)</f>
        <v>-1.3596945791505279E-13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366.93249569585623</v>
      </c>
      <c r="T165" s="59">
        <f t="shared" si="142"/>
        <v>272.47262353368501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30.212016549601024</v>
      </c>
      <c r="AA165" s="21">
        <f>EXP(-LN(2)/25)*AA164+(1-EXP(-LN(2)/25))/(LN(2)/25)*Calculateur!V165*Calculateur!X165*VLOOKUP('Données projet'!$B$9,Paramètres!$A$1:$I$89,3,0)*0.475*44/12</f>
        <v>5.3270250767938672</v>
      </c>
      <c r="AB165" s="21">
        <f>EXP(-LN(2)/2)*AB164+(1-EXP(-LN(2)/2))/(LN(2)/2)*V165*Y165*VLOOKUP('Données projet'!$B$9,Paramètres!$A$1:$I$89,3,0)*0.475*44/12</f>
        <v>3.2158205977434003E-11</v>
      </c>
      <c r="AC165" s="22">
        <f t="shared" si="163"/>
        <v>35.53904162642705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68.620114642903999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1.1368683772161603E-13</v>
      </c>
      <c r="AJ165" s="13">
        <f>AI165*VLOOKUP('Données projet'!$B$10,Paramètres!$A$1:$I$89,3,0)*VLOOKUP('Données projet'!$B$10,Paramètres!$A$1:$I$89,5,0)</f>
        <v>5.3205440053716299E-14</v>
      </c>
      <c r="AK165" s="13">
        <f t="shared" si="164"/>
        <v>8.602146238565607E-13</v>
      </c>
      <c r="AL165" s="20">
        <f t="shared" si="165"/>
        <v>1.590873277977066E-12</v>
      </c>
      <c r="AM165" s="59">
        <f t="shared" si="113"/>
        <v>288.27375369064958</v>
      </c>
      <c r="AN165" s="59">
        <f ca="1">AVERAGE(OFFSET($AM$3,0,0,'Données projet'!$E$10+1,1))-AVERAGE(OFFSET($H$3,0,0,'Données projet'!$E$10+1,1))</f>
        <v>382.89338473200229</v>
      </c>
      <c r="AO165" s="59">
        <f t="shared" si="144"/>
        <v>360.46248248971744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59.588521781856407</v>
      </c>
      <c r="AV165" s="21">
        <f>EXP(-LN(2)/25)*AV164+(1-EXP(-LN(2)/25))/(LN(2)/25)*Calculateur!AQ165*Calculateur!AS165*VLOOKUP('Données projet'!$B$10,Paramètres!$A$1:$I$89,3,0)*0.475*44/12</f>
        <v>11.212383160653269</v>
      </c>
      <c r="AW165" s="21">
        <f>EXP(-LN(2)/2)*AW164+(1-EXP(-LN(2)/2))/(LN(2)/2)*AQ165*AT165*VLOOKUP('Données projet'!$B$10,Paramètres!$A$1:$I$89,3,0)*0.475*44/12</f>
        <v>1.0333373612482969E-7</v>
      </c>
      <c r="AX165" s="21">
        <f t="shared" si="166"/>
        <v>70.800905045843407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68.620114642903999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>
        <f>BD165*VLOOKUP('Données projet'!$B$11,Paramètres!$A$1:$I$89,3,0)*VLOOKUP('Données projet'!$B$11,Paramètres!$A$1:$I$89,5,0)</f>
        <v>0</v>
      </c>
      <c r="BF165" s="13" t="e">
        <f t="shared" si="167"/>
        <v>#NUM!</v>
      </c>
      <c r="BG165" s="20" t="e">
        <f t="shared" si="168"/>
        <v>#NUM!</v>
      </c>
      <c r="BH165" s="59" t="e">
        <f t="shared" si="116"/>
        <v>#NUM!</v>
      </c>
      <c r="BI165" s="59">
        <f ca="1">AVERAGE(OFFSET($BH$3,0,0,'Données projet'!$E$11+1,1))-AVERAGE(OFFSET($H$3,0,0,'Données projet'!$E$11+1,1))</f>
        <v>225.75484198243581</v>
      </c>
      <c r="BJ165" s="59">
        <f t="shared" si="146"/>
        <v>199.49566488421061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2.171902283392328</v>
      </c>
      <c r="BQ165" s="21">
        <f>EXP(-LN(2)/25)*BQ164+(1-EXP(-LN(2)/25))/(LN(2)/25)*Calculateur!BL165*Calculateur!BN165*VLOOKUP('Données projet'!$B$11,Paramètres!$A$1:$I$89,3,0)*0.475*44/12</f>
        <v>7.2509633439210015</v>
      </c>
      <c r="BR165" s="21">
        <f>EXP(-LN(2)/2)*BR164+(1-EXP(-LN(2)/2))/(LN(2)/2)*BL165*BO165*VLOOKUP('Données projet'!$B$11,Paramètres!$A$1:$I$89,3,0)*0.475*44/12</f>
        <v>0</v>
      </c>
      <c r="BS165" s="22">
        <f t="shared" si="169"/>
        <v>9.42286562731333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68.620114642903999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1.1368683772161603E-13</v>
      </c>
      <c r="BZ165" s="13">
        <f>BY165*VLOOKUP('Données projet'!$B$12,Paramètres!$A$1:$I$89,3,0)*VLOOKUP('Données projet'!$B$12,Paramètres!$A$1:$I$89,5,0)</f>
        <v>1.0818439477588981E-13</v>
      </c>
      <c r="CA165" s="13">
        <f t="shared" si="170"/>
        <v>1.6104228458716316E-12</v>
      </c>
      <c r="CB165" s="20">
        <f t="shared" si="171"/>
        <v>2.9932409441277661E-12</v>
      </c>
      <c r="CC165" s="59">
        <f t="shared" si="119"/>
        <v>288.27375369065101</v>
      </c>
      <c r="CD165" s="59">
        <f ca="1">AVERAGE(OFFSET($CC$3,0,0,'Données projet'!$E$12+1,1))-AVERAGE(OFFSET($H$3,0,0,'Données projet'!$E$12+1,1))</f>
        <v>413.9352601863377</v>
      </c>
      <c r="CE165" s="59">
        <f t="shared" si="148"/>
        <v>255.13997349799286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20.019216718464467</v>
      </c>
      <c r="CL165" s="21">
        <f>EXP(-LN(2)/25)*CL164+(1-EXP(-LN(2)/25))/(LN(2)/25)*Calculateur!CG165*Calculateur!CI165*VLOOKUP('Données projet'!$B$12,Paramètres!$A$1:$I$89,3,0)*0.475*44/12</f>
        <v>14.425723242316852</v>
      </c>
      <c r="CM165" s="21">
        <f>EXP(-LN(2)/2)*CM164+(1-EXP(-LN(2)/2))/(LN(2)/2)*CG165*CJ165*VLOOKUP('Données projet'!$B$12,Paramètres!$A$1:$I$89,3,0)*0.475*44/12</f>
        <v>3.092310502724872E-5</v>
      </c>
      <c r="CN165" s="22">
        <f t="shared" si="172"/>
        <v>34.444970883886349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68.620114642903999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2.8421709430404007E-14</v>
      </c>
      <c r="CU165" s="17">
        <f>CT165*VLOOKUP('Données projet'!$B$13,Paramètres!$A$1:$I$89,3,0)*VLOOKUP('Données projet'!$B$13,Paramètres!$A$1:$I$89,5,0)</f>
        <v>2.4829205358400945E-14</v>
      </c>
      <c r="CV165" s="13">
        <f t="shared" si="173"/>
        <v>4.3867331143352915E-13</v>
      </c>
      <c r="CW165" s="20">
        <f t="shared" si="174"/>
        <v>8.0726688341261168E-13</v>
      </c>
      <c r="CX165" s="59">
        <f t="shared" si="122"/>
        <v>288.27375369064879</v>
      </c>
      <c r="CY165" s="59">
        <f ca="1">AVERAGE(OFFSET($CX$3,0,0,'Données projet'!$E$13+1,1))-AVERAGE(OFFSET($H$3,0,0,'Données projet'!$E$13+1,1))</f>
        <v>280.59827778697775</v>
      </c>
      <c r="CZ165" s="59">
        <f t="shared" si="150"/>
        <v>270.86588231964726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>
        <f>EXP(-LN(2)/35)*DF164+(1-EXP(-LN(2)/35))/(LN(2)/35)*DB165*DC165*VLOOKUP('Données projet'!$B$13,Paramètres!$A$1:$I$89,3,0)*0.475*44/12</f>
        <v>6.5022255011614289</v>
      </c>
      <c r="DG165" s="21">
        <f>EXP(-LN(2)/25)*DG164+(1-EXP(-LN(2)/25))/(LN(2)/25)*Calculateur!DB165*Calculateur!DD165*VLOOKUP('Données projet'!$B$13,Paramètres!$A$1:$I$89,3,0)*0.475*44/12</f>
        <v>3.7572192464914633</v>
      </c>
      <c r="DH165" s="21">
        <f>EXP(-LN(2)/2)*DH164+(1-EXP(-LN(2)/2))/(LN(2)/2)*DB165*DE165*VLOOKUP('Données projet'!$B$13,Paramètres!$A$1:$I$89,3,0)*0.475*44/12</f>
        <v>2.0666648943291931E-11</v>
      </c>
      <c r="DI165" s="22">
        <f t="shared" si="175"/>
        <v>10.259444747673559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68.620114642903999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>
        <f>DO165*VLOOKUP('Données projet'!$B$14,Paramètres!$A$1:$I$89,3,0)*VLOOKUP('Données projet'!$B$14,Paramètres!$A$1:$I$89,5,0)</f>
        <v>0</v>
      </c>
      <c r="DQ165" s="13" t="e">
        <f t="shared" si="176"/>
        <v>#NUM!</v>
      </c>
      <c r="DR165" s="20" t="e">
        <f t="shared" si="177"/>
        <v>#NUM!</v>
      </c>
      <c r="DS165" s="59" t="e">
        <f t="shared" si="125"/>
        <v>#NUM!</v>
      </c>
      <c r="DT165" s="59">
        <f ca="1">AVERAGE(OFFSET($DS$3,0,0,'Données projet'!$E$14+1,1))-AVERAGE(OFFSET($H$3,0,0,'Données projet'!$E$14+1,1))</f>
        <v>211.42385430331873</v>
      </c>
      <c r="DU165" s="59">
        <f t="shared" si="152"/>
        <v>146.84623106782686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>
        <f>EXP(-LN(2)/35)*EA164+(1-EXP(-LN(2)/35))/(LN(2)/35)*DW165*DX165*VLOOKUP('Données projet'!$B$14,Paramètres!$A$1:$I$89,3,0)*0.475*44/12</f>
        <v>9.5647595269647852</v>
      </c>
      <c r="EB165" s="21">
        <f>EXP(-LN(2)/25)*EB164+(1-EXP(-LN(2)/25))/(LN(2)/25)*Calculateur!DW165*Calculateur!DY165*VLOOKUP('Données projet'!$B$14,Paramètres!$A$1:$I$89,3,0)*0.475*44/12</f>
        <v>6.9202699628333768</v>
      </c>
      <c r="EC165" s="21">
        <f>EXP(-LN(2)/2)*EC164+(1-EXP(-LN(2)/2))/(LN(2)/2)*DW165*DZ165*VLOOKUP('Données projet'!$B$14,Paramètres!$A$1:$I$89,3,0)*0.475*44/12</f>
        <v>2.4765343571103408E-6</v>
      </c>
      <c r="ED165" s="22">
        <f t="shared" si="178"/>
        <v>16.485031966332517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68.620114642903999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-9.9475983006414026E-14</v>
      </c>
      <c r="EK165" s="17">
        <f>EJ165*VLOOKUP('Données projet'!$B$15,Paramètres!$A$1:$I$89,3,0)*VLOOKUP('Données projet'!$B$15,Paramètres!$A$1:$I$89,5,0)</f>
        <v>-1.0707594810810407E-13</v>
      </c>
      <c r="EL165" s="13" t="e">
        <f t="shared" si="179"/>
        <v>#NUM!</v>
      </c>
      <c r="EM165" s="20" t="e">
        <f t="shared" si="180"/>
        <v>#NUM!</v>
      </c>
      <c r="EN165" s="59" t="e">
        <f t="shared" si="128"/>
        <v>#NUM!</v>
      </c>
      <c r="EO165" s="59">
        <f ca="1">AVERAGE(OFFSET($EN$3,0,0,'Données projet'!$E$15+1,1))-AVERAGE(OFFSET($H$3,0,0,'Données projet'!$E$15+1,1))</f>
        <v>212.00478362779876</v>
      </c>
      <c r="EP165" s="59">
        <f t="shared" si="154"/>
        <v>133.62262474506707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>
        <f>EXP(-LN(2)/35)*EV164+(1-EXP(-LN(2)/35))/(LN(2)/35)*ER165*ES165*VLOOKUP('Données projet'!$B$15,Paramètres!$A$1:$I$89,3,0)*0.475*44/12</f>
        <v>6.8171372508821104</v>
      </c>
      <c r="EW165" s="21">
        <f>EXP(-LN(2)/25)*EW164+(1-EXP(-LN(2)/25))/(LN(2)/25)*Calculateur!ER165*Calculateur!ET165*VLOOKUP('Données projet'!$B$15,Paramètres!$A$1:$I$89,3,0)*0.475*44/12</f>
        <v>6.3886412218931996</v>
      </c>
      <c r="EX165" s="21">
        <f>EXP(-LN(2)/2)*EX164+(1-EXP(-LN(2)/2))/(LN(2)/2)*ER165*EU165*VLOOKUP('Données projet'!$B$15,Paramètres!$A$1:$I$89,3,0)*0.475*44/12</f>
        <v>1.4989930557207074E-5</v>
      </c>
      <c r="EY165" s="22">
        <f t="shared" si="181"/>
        <v>13.205793462705868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68.620114642903999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-9.9475983006414026E-14</v>
      </c>
      <c r="FF165" s="17">
        <f>FE165*VLOOKUP('Données projet'!$B$16,Paramètres!$A$1:$I$89,3,0)*VLOOKUP('Données projet'!$B$16,Paramètres!$A$1:$I$89,5,0)</f>
        <v>-9.6213170763803652E-14</v>
      </c>
      <c r="FG165" s="13" t="e">
        <f t="shared" si="182"/>
        <v>#NUM!</v>
      </c>
      <c r="FH165" s="20" t="e">
        <f t="shared" si="183"/>
        <v>#NUM!</v>
      </c>
      <c r="FI165" s="59" t="e">
        <f t="shared" si="131"/>
        <v>#NUM!</v>
      </c>
      <c r="FJ165" s="59">
        <f ca="1">AVERAGE(OFFSET($FI$3,0,0,'Données projet'!$E$16+1,1))-AVERAGE(OFFSET($H$3,0,0,'Données projet'!$E$16+1,1))</f>
        <v>196.65742339093146</v>
      </c>
      <c r="FK165" s="59">
        <f t="shared" si="156"/>
        <v>125.41980634506001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>
        <f>EXP(-LN(2)/35)*FQ164+(1-EXP(-LN(2)/35))/(LN(2)/35)*FM165*FN165*VLOOKUP('Données projet'!$B$16,Paramètres!$A$1:$I$89,3,0)*0.475*44/12</f>
        <v>6.1255436167346513</v>
      </c>
      <c r="FR165" s="21">
        <f>EXP(-LN(2)/25)*FR164+(1-EXP(-LN(2)/25))/(LN(2)/25)*Calculateur!FM165*Calculateur!FO165*VLOOKUP('Données projet'!$B$16,Paramètres!$A$1:$I$89,3,0)*0.475*44/12</f>
        <v>5.740518199382298</v>
      </c>
      <c r="FS165" s="21">
        <f>EXP(-LN(2)/2)*FS164+(1-EXP(-LN(2)/2))/(LN(2)/2)*FM165*FP165*VLOOKUP('Données projet'!$B$16,Paramètres!$A$1:$I$89,3,0)*0.475*44/12</f>
        <v>1.3469212964446907E-5</v>
      </c>
      <c r="FT165" s="22">
        <f t="shared" si="184"/>
        <v>11.866075285329915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68.620114642903999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68.620114642903999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>
      <c r="A166" s="10">
        <f t="shared" si="161"/>
        <v>163</v>
      </c>
      <c r="B166" s="73">
        <f>'Scénario référence'!$B$16*5+'Scénario référence'!$B$17*0+'Scénario référence'!$B$18*5</f>
        <v>4.6999999999999993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8.6963760000000203</v>
      </c>
      <c r="D166" s="11">
        <f t="shared" si="140"/>
        <v>3.1156695834227404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21.67017549828703</v>
      </c>
      <c r="H166" s="67">
        <f t="shared" si="110"/>
        <v>208.30597939112798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68.644052568888114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-2.2737367544323206E-13</v>
      </c>
      <c r="O166" s="13">
        <f>N166*VLOOKUP('Données projet'!$B$9,Paramètres!$A$1:$I$89,3,0)*VLOOKUP('Données projet'!$B$9,Paramètres!$A$1:$I$89,5,0)</f>
        <v>-1.3596945791505279E-13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366.93249569585623</v>
      </c>
      <c r="T166" s="59">
        <f t="shared" si="142"/>
        <v>272.47262353368501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29.619577332573879</v>
      </c>
      <c r="AA166" s="21">
        <f>EXP(-LN(2)/25)*AA165+(1-EXP(-LN(2)/25))/(LN(2)/25)*Calculateur!V166*Calculateur!X166*VLOOKUP('Données projet'!$B$9,Paramètres!$A$1:$I$89,3,0)*0.475*44/12</f>
        <v>5.1813572959328651</v>
      </c>
      <c r="AB166" s="21">
        <f>EXP(-LN(2)/2)*AB165+(1-EXP(-LN(2)/2))/(LN(2)/2)*V166*Y166*VLOOKUP('Données projet'!$B$9,Paramètres!$A$1:$I$89,3,0)*0.475*44/12</f>
        <v>2.273928551743735E-11</v>
      </c>
      <c r="AC166" s="22">
        <f t="shared" si="163"/>
        <v>34.800934628529482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68.644052568888114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1.1368683772161603E-13</v>
      </c>
      <c r="AJ166" s="13">
        <f>AI166*VLOOKUP('Données projet'!$B$10,Paramètres!$A$1:$I$89,3,0)*VLOOKUP('Données projet'!$B$10,Paramètres!$A$1:$I$89,5,0)</f>
        <v>5.3205440053716299E-14</v>
      </c>
      <c r="AK166" s="13">
        <f t="shared" si="164"/>
        <v>8.602146238565607E-13</v>
      </c>
      <c r="AL166" s="20">
        <f t="shared" si="165"/>
        <v>1.590873277977066E-12</v>
      </c>
      <c r="AM166" s="59">
        <f t="shared" si="113"/>
        <v>288.36152608592471</v>
      </c>
      <c r="AN166" s="59">
        <f ca="1">AVERAGE(OFFSET($AM$3,0,0,'Données projet'!$E$10+1,1))-AVERAGE(OFFSET($H$3,0,0,'Données projet'!$E$10+1,1))</f>
        <v>382.89338473200229</v>
      </c>
      <c r="AO166" s="59">
        <f t="shared" si="144"/>
        <v>360.46248248971744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58.420027215123682</v>
      </c>
      <c r="AV166" s="21">
        <f>EXP(-LN(2)/25)*AV165+(1-EXP(-LN(2)/25))/(LN(2)/25)*Calculateur!AQ166*Calculateur!AS166*VLOOKUP('Données projet'!$B$10,Paramètres!$A$1:$I$89,3,0)*0.475*44/12</f>
        <v>10.905779953491601</v>
      </c>
      <c r="AW166" s="21">
        <f>EXP(-LN(2)/2)*AW165+(1-EXP(-LN(2)/2))/(LN(2)/2)*AQ166*AT166*VLOOKUP('Données projet'!$B$10,Paramètres!$A$1:$I$89,3,0)*0.475*44/12</f>
        <v>7.3067985539208391E-8</v>
      </c>
      <c r="AX166" s="21">
        <f t="shared" si="166"/>
        <v>69.325807241683265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68.644052568888114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>
        <f>BD166*VLOOKUP('Données projet'!$B$11,Paramètres!$A$1:$I$89,3,0)*VLOOKUP('Données projet'!$B$11,Paramètres!$A$1:$I$89,5,0)</f>
        <v>0</v>
      </c>
      <c r="BF166" s="13" t="e">
        <f t="shared" si="167"/>
        <v>#NUM!</v>
      </c>
      <c r="BG166" s="20" t="e">
        <f t="shared" si="168"/>
        <v>#NUM!</v>
      </c>
      <c r="BH166" s="59" t="e">
        <f t="shared" si="116"/>
        <v>#NUM!</v>
      </c>
      <c r="BI166" s="59">
        <f ca="1">AVERAGE(OFFSET($BH$3,0,0,'Données projet'!$E$11+1,1))-AVERAGE(OFFSET($H$3,0,0,'Données projet'!$E$11+1,1))</f>
        <v>225.75484198243581</v>
      </c>
      <c r="BJ166" s="59">
        <f t="shared" si="146"/>
        <v>199.49566488421061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2.1293126043445914</v>
      </c>
      <c r="BQ166" s="21">
        <f>EXP(-LN(2)/25)*BQ165+(1-EXP(-LN(2)/25))/(LN(2)/25)*Calculateur!BL166*Calculateur!BN166*VLOOKUP('Données projet'!$B$11,Paramètres!$A$1:$I$89,3,0)*0.475*44/12</f>
        <v>7.0526853699698915</v>
      </c>
      <c r="BR166" s="21">
        <f>EXP(-LN(2)/2)*BR165+(1-EXP(-LN(2)/2))/(LN(2)/2)*BL166*BO166*VLOOKUP('Données projet'!$B$11,Paramètres!$A$1:$I$89,3,0)*0.475*44/12</f>
        <v>0</v>
      </c>
      <c r="BS166" s="22">
        <f t="shared" si="169"/>
        <v>9.1819979743144824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68.644052568888114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1.1368683772161603E-13</v>
      </c>
      <c r="BZ166" s="13">
        <f>BY166*VLOOKUP('Données projet'!$B$12,Paramètres!$A$1:$I$89,3,0)*VLOOKUP('Données projet'!$B$12,Paramètres!$A$1:$I$89,5,0)</f>
        <v>1.0818439477588981E-13</v>
      </c>
      <c r="CA166" s="13">
        <f t="shared" si="170"/>
        <v>1.6104228458716316E-12</v>
      </c>
      <c r="CB166" s="20">
        <f t="shared" si="171"/>
        <v>2.9932409441277661E-12</v>
      </c>
      <c r="CC166" s="59">
        <f t="shared" si="119"/>
        <v>288.36152608592613</v>
      </c>
      <c r="CD166" s="59">
        <f ca="1">AVERAGE(OFFSET($CC$3,0,0,'Données projet'!$E$12+1,1))-AVERAGE(OFFSET($H$3,0,0,'Données projet'!$E$12+1,1))</f>
        <v>413.9352601863377</v>
      </c>
      <c r="CE166" s="59">
        <f t="shared" si="148"/>
        <v>255.13997349799286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19.626652089131888</v>
      </c>
      <c r="CL166" s="21">
        <f>EXP(-LN(2)/25)*CL165+(1-EXP(-LN(2)/25))/(LN(2)/25)*Calculateur!CG166*Calculateur!CI166*VLOOKUP('Données projet'!$B$12,Paramètres!$A$1:$I$89,3,0)*0.475*44/12</f>
        <v>14.031251081639883</v>
      </c>
      <c r="CM166" s="21">
        <f>EXP(-LN(2)/2)*CM165+(1-EXP(-LN(2)/2))/(LN(2)/2)*CG166*CJ166*VLOOKUP('Données projet'!$B$12,Paramètres!$A$1:$I$89,3,0)*0.475*44/12</f>
        <v>2.1865937260111388E-5</v>
      </c>
      <c r="CN166" s="22">
        <f t="shared" si="172"/>
        <v>33.657925036709038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68.644052568888114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2.8421709430404007E-14</v>
      </c>
      <c r="CU166" s="17">
        <f>CT166*VLOOKUP('Données projet'!$B$13,Paramètres!$A$1:$I$89,3,0)*VLOOKUP('Données projet'!$B$13,Paramètres!$A$1:$I$89,5,0)</f>
        <v>2.4829205358400945E-14</v>
      </c>
      <c r="CV166" s="13">
        <f t="shared" si="173"/>
        <v>4.3867331143352915E-13</v>
      </c>
      <c r="CW166" s="20">
        <f t="shared" si="174"/>
        <v>8.0726688341261168E-13</v>
      </c>
      <c r="CX166" s="59">
        <f t="shared" si="122"/>
        <v>288.36152608592391</v>
      </c>
      <c r="CY166" s="59">
        <f ca="1">AVERAGE(OFFSET($CX$3,0,0,'Données projet'!$E$13+1,1))-AVERAGE(OFFSET($H$3,0,0,'Données projet'!$E$13+1,1))</f>
        <v>280.59827778697775</v>
      </c>
      <c r="CZ166" s="59">
        <f t="shared" si="150"/>
        <v>270.86588231964726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>
        <f>EXP(-LN(2)/35)*DF165+(1-EXP(-LN(2)/35))/(LN(2)/35)*DB166*DC166*VLOOKUP('Données projet'!$B$13,Paramètres!$A$1:$I$89,3,0)*0.475*44/12</f>
        <v>6.3747208250496028</v>
      </c>
      <c r="DG166" s="21">
        <f>EXP(-LN(2)/25)*DG165+(1-EXP(-LN(2)/25))/(LN(2)/25)*Calculateur!DB166*Calculateur!DD166*VLOOKUP('Données projet'!$B$13,Paramètres!$A$1:$I$89,3,0)*0.475*44/12</f>
        <v>3.6544778886125813</v>
      </c>
      <c r="DH166" s="21">
        <f>EXP(-LN(2)/2)*DH165+(1-EXP(-LN(2)/2))/(LN(2)/2)*DB166*DE166*VLOOKUP('Données projet'!$B$13,Paramètres!$A$1:$I$89,3,0)*0.475*44/12</f>
        <v>1.4613527612203521E-11</v>
      </c>
      <c r="DI166" s="22">
        <f t="shared" si="175"/>
        <v>10.029198713676799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68.644052568888114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>
        <f>DO166*VLOOKUP('Données projet'!$B$14,Paramètres!$A$1:$I$89,3,0)*VLOOKUP('Données projet'!$B$14,Paramètres!$A$1:$I$89,5,0)</f>
        <v>0</v>
      </c>
      <c r="DQ166" s="13" t="e">
        <f t="shared" si="176"/>
        <v>#NUM!</v>
      </c>
      <c r="DR166" s="20" t="e">
        <f t="shared" si="177"/>
        <v>#NUM!</v>
      </c>
      <c r="DS166" s="59" t="e">
        <f t="shared" si="125"/>
        <v>#NUM!</v>
      </c>
      <c r="DT166" s="59">
        <f ca="1">AVERAGE(OFFSET($DS$3,0,0,'Données projet'!$E$14+1,1))-AVERAGE(OFFSET($H$3,0,0,'Données projet'!$E$14+1,1))</f>
        <v>211.42385430331873</v>
      </c>
      <c r="DU166" s="59">
        <f t="shared" si="152"/>
        <v>146.84623106782686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>
        <f>EXP(-LN(2)/35)*EA165+(1-EXP(-LN(2)/35))/(LN(2)/35)*DW166*DX166*VLOOKUP('Données projet'!$B$14,Paramètres!$A$1:$I$89,3,0)*0.475*44/12</f>
        <v>9.3772004265682654</v>
      </c>
      <c r="EB166" s="21">
        <f>EXP(-LN(2)/25)*EB165+(1-EXP(-LN(2)/25))/(LN(2)/25)*Calculateur!DW166*Calculateur!DY166*VLOOKUP('Données projet'!$B$14,Paramètres!$A$1:$I$89,3,0)*0.475*44/12</f>
        <v>6.731034816778517</v>
      </c>
      <c r="EC166" s="21">
        <f>EXP(-LN(2)/2)*EC165+(1-EXP(-LN(2)/2))/(LN(2)/2)*DW166*DZ166*VLOOKUP('Données projet'!$B$14,Paramètres!$A$1:$I$89,3,0)*0.475*44/12</f>
        <v>1.7511742377541889E-6</v>
      </c>
      <c r="ED166" s="22">
        <f t="shared" si="178"/>
        <v>16.108236994521022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68.644052568888114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-9.9475983006414026E-14</v>
      </c>
      <c r="EK166" s="17">
        <f>EJ166*VLOOKUP('Données projet'!$B$15,Paramètres!$A$1:$I$89,3,0)*VLOOKUP('Données projet'!$B$15,Paramètres!$A$1:$I$89,5,0)</f>
        <v>-1.0707594810810407E-13</v>
      </c>
      <c r="EL166" s="13" t="e">
        <f t="shared" si="179"/>
        <v>#NUM!</v>
      </c>
      <c r="EM166" s="20" t="e">
        <f t="shared" si="180"/>
        <v>#NUM!</v>
      </c>
      <c r="EN166" s="59" t="e">
        <f t="shared" si="128"/>
        <v>#NUM!</v>
      </c>
      <c r="EO166" s="59">
        <f ca="1">AVERAGE(OFFSET($EN$3,0,0,'Données projet'!$E$15+1,1))-AVERAGE(OFFSET($H$3,0,0,'Données projet'!$E$15+1,1))</f>
        <v>212.00478362779876</v>
      </c>
      <c r="EP166" s="59">
        <f t="shared" si="154"/>
        <v>133.62262474506707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>
        <f>EXP(-LN(2)/35)*EV165+(1-EXP(-LN(2)/35))/(LN(2)/35)*ER166*ES166*VLOOKUP('Données projet'!$B$15,Paramètres!$A$1:$I$89,3,0)*0.475*44/12</f>
        <v>6.6834573474354624</v>
      </c>
      <c r="EW166" s="21">
        <f>EXP(-LN(2)/25)*EW165+(1-EXP(-LN(2)/25))/(LN(2)/25)*Calculateur!ER166*Calculateur!ET166*VLOOKUP('Données projet'!$B$15,Paramètres!$A$1:$I$89,3,0)*0.475*44/12</f>
        <v>6.2139434917164893</v>
      </c>
      <c r="EX166" s="21">
        <f>EXP(-LN(2)/2)*EX165+(1-EXP(-LN(2)/2))/(LN(2)/2)*ER166*EU166*VLOOKUP('Données projet'!$B$15,Paramètres!$A$1:$I$89,3,0)*0.475*44/12</f>
        <v>1.0599481546516566E-5</v>
      </c>
      <c r="EY166" s="22">
        <f t="shared" si="181"/>
        <v>12.897411438633499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68.644052568888114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-9.9475983006414026E-14</v>
      </c>
      <c r="FF166" s="17">
        <f>FE166*VLOOKUP('Données projet'!$B$16,Paramètres!$A$1:$I$89,3,0)*VLOOKUP('Données projet'!$B$16,Paramètres!$A$1:$I$89,5,0)</f>
        <v>-9.6213170763803652E-14</v>
      </c>
      <c r="FG166" s="13" t="e">
        <f t="shared" si="182"/>
        <v>#NUM!</v>
      </c>
      <c r="FH166" s="20" t="e">
        <f t="shared" si="183"/>
        <v>#NUM!</v>
      </c>
      <c r="FI166" s="59" t="e">
        <f t="shared" si="131"/>
        <v>#NUM!</v>
      </c>
      <c r="FJ166" s="59">
        <f ca="1">AVERAGE(OFFSET($FI$3,0,0,'Données projet'!$E$16+1,1))-AVERAGE(OFFSET($H$3,0,0,'Données projet'!$E$16+1,1))</f>
        <v>196.65742339093146</v>
      </c>
      <c r="FK166" s="59">
        <f t="shared" si="156"/>
        <v>125.41980634506001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>
        <f>EXP(-LN(2)/35)*FQ165+(1-EXP(-LN(2)/35))/(LN(2)/35)*FM166*FN166*VLOOKUP('Données projet'!$B$16,Paramètres!$A$1:$I$89,3,0)*0.475*44/12</f>
        <v>6.0054254426231708</v>
      </c>
      <c r="FR166" s="21">
        <f>EXP(-LN(2)/25)*FR165+(1-EXP(-LN(2)/25))/(LN(2)/25)*Calculateur!FM166*Calculateur!FO166*VLOOKUP('Données projet'!$B$16,Paramètres!$A$1:$I$89,3,0)*0.475*44/12</f>
        <v>5.5835434273394569</v>
      </c>
      <c r="FS166" s="21">
        <f>EXP(-LN(2)/2)*FS165+(1-EXP(-LN(2)/2))/(LN(2)/2)*FM166*FP166*VLOOKUP('Données projet'!$B$16,Paramètres!$A$1:$I$89,3,0)*0.475*44/12</f>
        <v>9.5241718244061681E-6</v>
      </c>
      <c r="FT166" s="22">
        <f t="shared" si="184"/>
        <v>11.588978394134452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68.644052568888114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68.644052568888114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>
      <c r="A167" s="10">
        <f t="shared" si="161"/>
        <v>164</v>
      </c>
      <c r="B167" s="73">
        <f>'Scénario référence'!$B$16*5+'Scénario référence'!$B$17*0+'Scénario référence'!$B$18*5</f>
        <v>4.6999999999999993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8.7497280000000206</v>
      </c>
      <c r="D167" s="11">
        <f t="shared" si="140"/>
        <v>3.1325531718018333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21.702705665536296</v>
      </c>
      <c r="H167" s="67">
        <f t="shared" si="110"/>
        <v>208.42830637422156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68.667575225373596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-2.2737367544323206E-13</v>
      </c>
      <c r="O167" s="13">
        <f>N167*VLOOKUP('Données projet'!$B$9,Paramètres!$A$1:$I$89,3,0)*VLOOKUP('Données projet'!$B$9,Paramètres!$A$1:$I$89,5,0)</f>
        <v>-1.3596945791505279E-13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366.93249569585623</v>
      </c>
      <c r="T167" s="59">
        <f t="shared" si="142"/>
        <v>272.47262353368501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29.038755487240394</v>
      </c>
      <c r="AA167" s="21">
        <f>EXP(-LN(2)/25)*AA166+(1-EXP(-LN(2)/25))/(LN(2)/25)*Calculateur!V167*Calculateur!X167*VLOOKUP('Données projet'!$B$9,Paramètres!$A$1:$I$89,3,0)*0.475*44/12</f>
        <v>5.0396728081998425</v>
      </c>
      <c r="AB167" s="21">
        <f>EXP(-LN(2)/2)*AB166+(1-EXP(-LN(2)/2))/(LN(2)/2)*V167*Y167*VLOOKUP('Données projet'!$B$9,Paramètres!$A$1:$I$89,3,0)*0.475*44/12</f>
        <v>1.6079102988717001E-11</v>
      </c>
      <c r="AC167" s="22">
        <f t="shared" si="163"/>
        <v>34.078428295456312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68.667575225373596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1.1368683772161603E-13</v>
      </c>
      <c r="AJ167" s="13">
        <f>AI167*VLOOKUP('Données projet'!$B$10,Paramètres!$A$1:$I$89,3,0)*VLOOKUP('Données projet'!$B$10,Paramètres!$A$1:$I$89,5,0)</f>
        <v>5.3205440053716299E-14</v>
      </c>
      <c r="AK167" s="13">
        <f t="shared" si="164"/>
        <v>8.602146238565607E-13</v>
      </c>
      <c r="AL167" s="20">
        <f t="shared" si="165"/>
        <v>1.590873277977066E-12</v>
      </c>
      <c r="AM167" s="59">
        <f t="shared" si="113"/>
        <v>288.44777582637147</v>
      </c>
      <c r="AN167" s="59">
        <f ca="1">AVERAGE(OFFSET($AM$3,0,0,'Données projet'!$E$10+1,1))-AVERAGE(OFFSET($H$3,0,0,'Données projet'!$E$10+1,1))</f>
        <v>382.89338473200229</v>
      </c>
      <c r="AO167" s="59">
        <f t="shared" si="144"/>
        <v>360.46248248971744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57.274446114133269</v>
      </c>
      <c r="AV167" s="21">
        <f>EXP(-LN(2)/25)*AV166+(1-EXP(-LN(2)/25))/(LN(2)/25)*Calculateur!AQ167*Calculateur!AS167*VLOOKUP('Données projet'!$B$10,Paramètres!$A$1:$I$89,3,0)*0.475*44/12</f>
        <v>10.60756082715333</v>
      </c>
      <c r="AW167" s="21">
        <f>EXP(-LN(2)/2)*AW166+(1-EXP(-LN(2)/2))/(LN(2)/2)*AQ167*AT167*VLOOKUP('Données projet'!$B$10,Paramètres!$A$1:$I$89,3,0)*0.475*44/12</f>
        <v>5.1666868062414847E-8</v>
      </c>
      <c r="AX167" s="21">
        <f t="shared" si="166"/>
        <v>67.882006992953478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68.667575225373596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>
        <f>BD167*VLOOKUP('Données projet'!$B$11,Paramètres!$A$1:$I$89,3,0)*VLOOKUP('Données projet'!$B$11,Paramètres!$A$1:$I$89,5,0)</f>
        <v>0</v>
      </c>
      <c r="BF167" s="13" t="e">
        <f t="shared" si="167"/>
        <v>#NUM!</v>
      </c>
      <c r="BG167" s="20" t="e">
        <f t="shared" si="168"/>
        <v>#NUM!</v>
      </c>
      <c r="BH167" s="59" t="e">
        <f t="shared" si="116"/>
        <v>#NUM!</v>
      </c>
      <c r="BI167" s="59">
        <f ca="1">AVERAGE(OFFSET($BH$3,0,0,'Données projet'!$E$11+1,1))-AVERAGE(OFFSET($H$3,0,0,'Données projet'!$E$11+1,1))</f>
        <v>225.75484198243581</v>
      </c>
      <c r="BJ167" s="59">
        <f t="shared" si="146"/>
        <v>199.49566488421061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2.0875580829258413</v>
      </c>
      <c r="BQ167" s="21">
        <f>EXP(-LN(2)/25)*BQ166+(1-EXP(-LN(2)/25))/(LN(2)/25)*Calculateur!BL167*Calculateur!BN167*VLOOKUP('Données projet'!$B$11,Paramètres!$A$1:$I$89,3,0)*0.475*44/12</f>
        <v>6.8598293176434604</v>
      </c>
      <c r="BR167" s="21">
        <f>EXP(-LN(2)/2)*BR166+(1-EXP(-LN(2)/2))/(LN(2)/2)*BL167*BO167*VLOOKUP('Données projet'!$B$11,Paramètres!$A$1:$I$89,3,0)*0.475*44/12</f>
        <v>0</v>
      </c>
      <c r="BS167" s="22">
        <f t="shared" si="169"/>
        <v>8.9473874005693013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68.667575225373596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1.1368683772161603E-13</v>
      </c>
      <c r="BZ167" s="13">
        <f>BY167*VLOOKUP('Données projet'!$B$12,Paramètres!$A$1:$I$89,3,0)*VLOOKUP('Données projet'!$B$12,Paramètres!$A$1:$I$89,5,0)</f>
        <v>1.0818439477588981E-13</v>
      </c>
      <c r="CA167" s="13">
        <f t="shared" si="170"/>
        <v>1.6104228458716316E-12</v>
      </c>
      <c r="CB167" s="20">
        <f t="shared" si="171"/>
        <v>2.9932409441277661E-12</v>
      </c>
      <c r="CC167" s="59">
        <f t="shared" si="119"/>
        <v>288.44777582637289</v>
      </c>
      <c r="CD167" s="59">
        <f ca="1">AVERAGE(OFFSET($CC$3,0,0,'Données projet'!$E$12+1,1))-AVERAGE(OFFSET($H$3,0,0,'Données projet'!$E$12+1,1))</f>
        <v>413.9352601863377</v>
      </c>
      <c r="CE167" s="59">
        <f t="shared" si="148"/>
        <v>255.13997349799286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19.241785412739741</v>
      </c>
      <c r="CL167" s="21">
        <f>EXP(-LN(2)/25)*CL166+(1-EXP(-LN(2)/25))/(LN(2)/25)*Calculateur!CG167*Calculateur!CI167*VLOOKUP('Données projet'!$B$12,Paramètres!$A$1:$I$89,3,0)*0.475*44/12</f>
        <v>13.647565782941015</v>
      </c>
      <c r="CM167" s="21">
        <f>EXP(-LN(2)/2)*CM166+(1-EXP(-LN(2)/2))/(LN(2)/2)*CG167*CJ167*VLOOKUP('Données projet'!$B$12,Paramètres!$A$1:$I$89,3,0)*0.475*44/12</f>
        <v>1.546155251362436E-5</v>
      </c>
      <c r="CN167" s="22">
        <f t="shared" si="172"/>
        <v>32.889366657233275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68.667575225373596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2.8421709430404007E-14</v>
      </c>
      <c r="CU167" s="17">
        <f>CT167*VLOOKUP('Données projet'!$B$13,Paramètres!$A$1:$I$89,3,0)*VLOOKUP('Données projet'!$B$13,Paramètres!$A$1:$I$89,5,0)</f>
        <v>2.4829205358400945E-14</v>
      </c>
      <c r="CV167" s="13">
        <f t="shared" si="173"/>
        <v>4.3867331143352915E-13</v>
      </c>
      <c r="CW167" s="20">
        <f t="shared" si="174"/>
        <v>8.0726688341261168E-13</v>
      </c>
      <c r="CX167" s="59">
        <f t="shared" si="122"/>
        <v>288.44777582637067</v>
      </c>
      <c r="CY167" s="59">
        <f ca="1">AVERAGE(OFFSET($CX$3,0,0,'Données projet'!$E$13+1,1))-AVERAGE(OFFSET($H$3,0,0,'Données projet'!$E$13+1,1))</f>
        <v>280.59827778697775</v>
      </c>
      <c r="CZ167" s="59">
        <f t="shared" si="150"/>
        <v>270.86588231964726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>
        <f>EXP(-LN(2)/35)*DF166+(1-EXP(-LN(2)/35))/(LN(2)/35)*DB167*DC167*VLOOKUP('Données projet'!$B$13,Paramètres!$A$1:$I$89,3,0)*0.475*44/12</f>
        <v>6.249716437866156</v>
      </c>
      <c r="DG167" s="21">
        <f>EXP(-LN(2)/25)*DG166+(1-EXP(-LN(2)/25))/(LN(2)/25)*Calculateur!DB167*Calculateur!DD167*VLOOKUP('Données projet'!$B$13,Paramètres!$A$1:$I$89,3,0)*0.475*44/12</f>
        <v>3.5545459985678307</v>
      </c>
      <c r="DH167" s="21">
        <f>EXP(-LN(2)/2)*DH166+(1-EXP(-LN(2)/2))/(LN(2)/2)*DB167*DE167*VLOOKUP('Données projet'!$B$13,Paramètres!$A$1:$I$89,3,0)*0.475*44/12</f>
        <v>1.0333324471645966E-11</v>
      </c>
      <c r="DI167" s="22">
        <f t="shared" si="175"/>
        <v>9.8042624364443203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68.667575225373596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>
        <f>DO167*VLOOKUP('Données projet'!$B$14,Paramètres!$A$1:$I$89,3,0)*VLOOKUP('Données projet'!$B$14,Paramètres!$A$1:$I$89,5,0)</f>
        <v>0</v>
      </c>
      <c r="DQ167" s="13" t="e">
        <f t="shared" si="176"/>
        <v>#NUM!</v>
      </c>
      <c r="DR167" s="20" t="e">
        <f t="shared" si="177"/>
        <v>#NUM!</v>
      </c>
      <c r="DS167" s="59" t="e">
        <f t="shared" si="125"/>
        <v>#NUM!</v>
      </c>
      <c r="DT167" s="59">
        <f ca="1">AVERAGE(OFFSET($DS$3,0,0,'Données projet'!$E$14+1,1))-AVERAGE(OFFSET($H$3,0,0,'Données projet'!$E$14+1,1))</f>
        <v>211.42385430331873</v>
      </c>
      <c r="DU167" s="59">
        <f t="shared" si="152"/>
        <v>146.84623106782686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>
        <f>EXP(-LN(2)/35)*EA166+(1-EXP(-LN(2)/35))/(LN(2)/35)*DW167*DX167*VLOOKUP('Données projet'!$B$14,Paramètres!$A$1:$I$89,3,0)*0.475*44/12</f>
        <v>9.1933192457307662</v>
      </c>
      <c r="EB167" s="21">
        <f>EXP(-LN(2)/25)*EB166+(1-EXP(-LN(2)/25))/(LN(2)/25)*Calculateur!DW167*Calculateur!DY167*VLOOKUP('Données projet'!$B$14,Paramètres!$A$1:$I$89,3,0)*0.475*44/12</f>
        <v>6.546974315743971</v>
      </c>
      <c r="EC167" s="21">
        <f>EXP(-LN(2)/2)*EC166+(1-EXP(-LN(2)/2))/(LN(2)/2)*DW167*DZ167*VLOOKUP('Données projet'!$B$14,Paramètres!$A$1:$I$89,3,0)*0.475*44/12</f>
        <v>1.2382671785551704E-6</v>
      </c>
      <c r="ED167" s="22">
        <f t="shared" si="178"/>
        <v>15.740294799741914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68.667575225373596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-9.9475983006414026E-14</v>
      </c>
      <c r="EK167" s="17">
        <f>EJ167*VLOOKUP('Données projet'!$B$15,Paramètres!$A$1:$I$89,3,0)*VLOOKUP('Données projet'!$B$15,Paramètres!$A$1:$I$89,5,0)</f>
        <v>-1.0707594810810407E-13</v>
      </c>
      <c r="EL167" s="13" t="e">
        <f t="shared" si="179"/>
        <v>#NUM!</v>
      </c>
      <c r="EM167" s="20" t="e">
        <f t="shared" si="180"/>
        <v>#NUM!</v>
      </c>
      <c r="EN167" s="59" t="e">
        <f t="shared" si="128"/>
        <v>#NUM!</v>
      </c>
      <c r="EO167" s="59">
        <f ca="1">AVERAGE(OFFSET($EN$3,0,0,'Données projet'!$E$15+1,1))-AVERAGE(OFFSET($H$3,0,0,'Données projet'!$E$15+1,1))</f>
        <v>212.00478362779876</v>
      </c>
      <c r="EP167" s="59">
        <f t="shared" si="154"/>
        <v>133.62262474506707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>
        <f>EXP(-LN(2)/35)*EV166+(1-EXP(-LN(2)/35))/(LN(2)/35)*ER167*ES167*VLOOKUP('Données projet'!$B$15,Paramètres!$A$1:$I$89,3,0)*0.475*44/12</f>
        <v>6.5523988253587131</v>
      </c>
      <c r="EW167" s="21">
        <f>EXP(-LN(2)/25)*EW166+(1-EXP(-LN(2)/25))/(LN(2)/25)*Calculateur!ER167*Calculateur!ET167*VLOOKUP('Données projet'!$B$15,Paramètres!$A$1:$I$89,3,0)*0.475*44/12</f>
        <v>6.0440228801584155</v>
      </c>
      <c r="EX167" s="21">
        <f>EXP(-LN(2)/2)*EX166+(1-EXP(-LN(2)/2))/(LN(2)/2)*ER167*EU167*VLOOKUP('Données projet'!$B$15,Paramètres!$A$1:$I$89,3,0)*0.475*44/12</f>
        <v>7.4949652786035388E-6</v>
      </c>
      <c r="EY167" s="22">
        <f t="shared" si="181"/>
        <v>12.596429200482406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68.667575225373596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-9.9475983006414026E-14</v>
      </c>
      <c r="FF167" s="17">
        <f>FE167*VLOOKUP('Données projet'!$B$16,Paramètres!$A$1:$I$89,3,0)*VLOOKUP('Données projet'!$B$16,Paramètres!$A$1:$I$89,5,0)</f>
        <v>-9.6213170763803652E-14</v>
      </c>
      <c r="FG167" s="13" t="e">
        <f t="shared" si="182"/>
        <v>#NUM!</v>
      </c>
      <c r="FH167" s="20" t="e">
        <f t="shared" si="183"/>
        <v>#NUM!</v>
      </c>
      <c r="FI167" s="59" t="e">
        <f t="shared" si="131"/>
        <v>#NUM!</v>
      </c>
      <c r="FJ167" s="59">
        <f ca="1">AVERAGE(OFFSET($FI$3,0,0,'Données projet'!$E$16+1,1))-AVERAGE(OFFSET($H$3,0,0,'Données projet'!$E$16+1,1))</f>
        <v>196.65742339093146</v>
      </c>
      <c r="FK167" s="59">
        <f t="shared" si="156"/>
        <v>125.41980634506001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>
        <f>EXP(-LN(2)/35)*FQ166+(1-EXP(-LN(2)/35))/(LN(2)/35)*FM167*FN167*VLOOKUP('Données projet'!$B$16,Paramètres!$A$1:$I$89,3,0)*0.475*44/12</f>
        <v>5.8876627126411645</v>
      </c>
      <c r="FR167" s="21">
        <f>EXP(-LN(2)/25)*FR166+(1-EXP(-LN(2)/25))/(LN(2)/25)*Calculateur!FM167*Calculateur!FO167*VLOOKUP('Données projet'!$B$16,Paramètres!$A$1:$I$89,3,0)*0.475*44/12</f>
        <v>5.4308611386930723</v>
      </c>
      <c r="FS167" s="21">
        <f>EXP(-LN(2)/2)*FS166+(1-EXP(-LN(2)/2))/(LN(2)/2)*FM167*FP167*VLOOKUP('Données projet'!$B$16,Paramètres!$A$1:$I$89,3,0)*0.475*44/12</f>
        <v>6.7346064822234535E-6</v>
      </c>
      <c r="FT167" s="22">
        <f t="shared" si="184"/>
        <v>11.318530585940719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68.667575225373596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68.667575225373596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>
      <c r="A168" s="10">
        <f t="shared" si="161"/>
        <v>165</v>
      </c>
      <c r="B168" s="73">
        <f>'Scénario référence'!$B$16*5+'Scénario référence'!$B$17*0+'Scénario référence'!$B$18*5</f>
        <v>4.6999999999999993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8.8030800000000209</v>
      </c>
      <c r="D168" s="11">
        <f t="shared" si="140"/>
        <v>3.1494247811241829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21.735230284590859</v>
      </c>
      <c r="H168" s="67">
        <f t="shared" si="110"/>
        <v>208.55061249379133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68.690689816357832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-2.2737367544323206E-13</v>
      </c>
      <c r="O168" s="13">
        <f>N168*VLOOKUP('Données projet'!$B$9,Paramètres!$A$1:$I$89,3,0)*VLOOKUP('Données projet'!$B$9,Paramètres!$A$1:$I$89,5,0)</f>
        <v>-1.3596945791505279E-13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366.93249569585623</v>
      </c>
      <c r="T168" s="59">
        <f t="shared" si="142"/>
        <v>272.47262353368501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28.469323204027553</v>
      </c>
      <c r="AA168" s="21">
        <f>EXP(-LN(2)/25)*AA167+(1-EXP(-LN(2)/25))/(LN(2)/25)*Calculateur!V168*Calculateur!X168*VLOOKUP('Données projet'!$B$9,Paramètres!$A$1:$I$89,3,0)*0.475*44/12</f>
        <v>4.9018626902347435</v>
      </c>
      <c r="AB168" s="21">
        <f>EXP(-LN(2)/2)*AB167+(1-EXP(-LN(2)/2))/(LN(2)/2)*V168*Y168*VLOOKUP('Données projet'!$B$9,Paramètres!$A$1:$I$89,3,0)*0.475*44/12</f>
        <v>1.1369642758718675E-11</v>
      </c>
      <c r="AC168" s="22">
        <f t="shared" si="163"/>
        <v>33.371185894273665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68.690689816357832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1.1368683772161603E-13</v>
      </c>
      <c r="AJ168" s="13">
        <f>AI168*VLOOKUP('Données projet'!$B$10,Paramètres!$A$1:$I$89,3,0)*VLOOKUP('Données projet'!$B$10,Paramètres!$A$1:$I$89,5,0)</f>
        <v>5.3205440053716299E-14</v>
      </c>
      <c r="AK168" s="13">
        <f t="shared" si="164"/>
        <v>8.602146238565607E-13</v>
      </c>
      <c r="AL168" s="20">
        <f t="shared" si="165"/>
        <v>1.590873277977066E-12</v>
      </c>
      <c r="AM168" s="59">
        <f t="shared" si="113"/>
        <v>288.53252932664697</v>
      </c>
      <c r="AN168" s="59">
        <f ca="1">AVERAGE(OFFSET($AM$3,0,0,'Données projet'!$E$10+1,1))-AVERAGE(OFFSET($H$3,0,0,'Données projet'!$E$10+1,1))</f>
        <v>382.89338473200229</v>
      </c>
      <c r="AO168" s="59">
        <f t="shared" si="144"/>
        <v>360.46248248971744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56.151329159797804</v>
      </c>
      <c r="AV168" s="21">
        <f>EXP(-LN(2)/25)*AV167+(1-EXP(-LN(2)/25))/(LN(2)/25)*Calculateur!AQ168*Calculateur!AS168*VLOOKUP('Données projet'!$B$10,Paramètres!$A$1:$I$89,3,0)*0.475*44/12</f>
        <v>10.317496518507442</v>
      </c>
      <c r="AW168" s="21">
        <f>EXP(-LN(2)/2)*AW167+(1-EXP(-LN(2)/2))/(LN(2)/2)*AQ168*AT168*VLOOKUP('Données projet'!$B$10,Paramètres!$A$1:$I$89,3,0)*0.475*44/12</f>
        <v>3.6533992769604195E-8</v>
      </c>
      <c r="AX168" s="21">
        <f t="shared" si="166"/>
        <v>66.468825714839241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68.690689816357832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>
        <f>BD168*VLOOKUP('Données projet'!$B$11,Paramètres!$A$1:$I$89,3,0)*VLOOKUP('Données projet'!$B$11,Paramètres!$A$1:$I$89,5,0)</f>
        <v>0</v>
      </c>
      <c r="BF168" s="13" t="e">
        <f t="shared" si="167"/>
        <v>#NUM!</v>
      </c>
      <c r="BG168" s="20" t="e">
        <f t="shared" si="168"/>
        <v>#NUM!</v>
      </c>
      <c r="BH168" s="59" t="e">
        <f t="shared" si="116"/>
        <v>#NUM!</v>
      </c>
      <c r="BI168" s="59">
        <f ca="1">AVERAGE(OFFSET($BH$3,0,0,'Données projet'!$E$11+1,1))-AVERAGE(OFFSET($H$3,0,0,'Données projet'!$E$11+1,1))</f>
        <v>225.75484198243581</v>
      </c>
      <c r="BJ168" s="59">
        <f t="shared" si="146"/>
        <v>199.49566488421061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2.0466223422043699</v>
      </c>
      <c r="BQ168" s="21">
        <f>EXP(-LN(2)/25)*BQ167+(1-EXP(-LN(2)/25))/(LN(2)/25)*Calculateur!BL168*Calculateur!BN168*VLOOKUP('Données projet'!$B$11,Paramètres!$A$1:$I$89,3,0)*0.475*44/12</f>
        <v>6.6722469242097544</v>
      </c>
      <c r="BR168" s="21">
        <f>EXP(-LN(2)/2)*BR167+(1-EXP(-LN(2)/2))/(LN(2)/2)*BL168*BO168*VLOOKUP('Données projet'!$B$11,Paramètres!$A$1:$I$89,3,0)*0.475*44/12</f>
        <v>0</v>
      </c>
      <c r="BS168" s="22">
        <f t="shared" si="169"/>
        <v>8.7188692664141243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68.690689816357832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1.1368683772161603E-13</v>
      </c>
      <c r="BZ168" s="13">
        <f>BY168*VLOOKUP('Données projet'!$B$12,Paramètres!$A$1:$I$89,3,0)*VLOOKUP('Données projet'!$B$12,Paramètres!$A$1:$I$89,5,0)</f>
        <v>1.0818439477588981E-13</v>
      </c>
      <c r="CA168" s="13">
        <f t="shared" si="170"/>
        <v>1.6104228458716316E-12</v>
      </c>
      <c r="CB168" s="20">
        <f t="shared" si="171"/>
        <v>2.9932409441277661E-12</v>
      </c>
      <c r="CC168" s="59">
        <f t="shared" si="119"/>
        <v>288.53252932664839</v>
      </c>
      <c r="CD168" s="59">
        <f ca="1">AVERAGE(OFFSET($CC$3,0,0,'Données projet'!$E$12+1,1))-AVERAGE(OFFSET($H$3,0,0,'Données projet'!$E$12+1,1))</f>
        <v>413.9352601863377</v>
      </c>
      <c r="CE168" s="59">
        <f t="shared" si="148"/>
        <v>255.13997349799286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18.864465737126149</v>
      </c>
      <c r="CL168" s="21">
        <f>EXP(-LN(2)/25)*CL167+(1-EXP(-LN(2)/25))/(LN(2)/25)*Calculateur!CG168*Calculateur!CI168*VLOOKUP('Données projet'!$B$12,Paramètres!$A$1:$I$89,3,0)*0.475*44/12</f>
        <v>13.274372378912201</v>
      </c>
      <c r="CM168" s="21">
        <f>EXP(-LN(2)/2)*CM167+(1-EXP(-LN(2)/2))/(LN(2)/2)*CG168*CJ168*VLOOKUP('Données projet'!$B$12,Paramètres!$A$1:$I$89,3,0)*0.475*44/12</f>
        <v>1.0932968630055694E-5</v>
      </c>
      <c r="CN168" s="22">
        <f t="shared" si="172"/>
        <v>32.138849049006978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68.690689816357832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2.8421709430404007E-14</v>
      </c>
      <c r="CU168" s="17">
        <f>CT168*VLOOKUP('Données projet'!$B$13,Paramètres!$A$1:$I$89,3,0)*VLOOKUP('Données projet'!$B$13,Paramètres!$A$1:$I$89,5,0)</f>
        <v>2.4829205358400945E-14</v>
      </c>
      <c r="CV168" s="13">
        <f t="shared" si="173"/>
        <v>4.3867331143352915E-13</v>
      </c>
      <c r="CW168" s="20">
        <f t="shared" si="174"/>
        <v>8.0726688341261168E-13</v>
      </c>
      <c r="CX168" s="59">
        <f t="shared" si="122"/>
        <v>288.53252932664617</v>
      </c>
      <c r="CY168" s="59">
        <f ca="1">AVERAGE(OFFSET($CX$3,0,0,'Données projet'!$E$13+1,1))-AVERAGE(OFFSET($H$3,0,0,'Données projet'!$E$13+1,1))</f>
        <v>280.59827778697775</v>
      </c>
      <c r="CZ168" s="59">
        <f t="shared" si="150"/>
        <v>270.86588231964726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>
        <f>EXP(-LN(2)/35)*DF167+(1-EXP(-LN(2)/35))/(LN(2)/35)*DB168*DC168*VLOOKUP('Données projet'!$B$13,Paramètres!$A$1:$I$89,3,0)*0.475*44/12</f>
        <v>6.1271633104702286</v>
      </c>
      <c r="DG168" s="21">
        <f>EXP(-LN(2)/25)*DG167+(1-EXP(-LN(2)/25))/(LN(2)/25)*Calculateur!DB168*Calculateur!DD168*VLOOKUP('Données projet'!$B$13,Paramètres!$A$1:$I$89,3,0)*0.475*44/12</f>
        <v>3.4573467513115435</v>
      </c>
      <c r="DH168" s="21">
        <f>EXP(-LN(2)/2)*DH167+(1-EXP(-LN(2)/2))/(LN(2)/2)*DB168*DE168*VLOOKUP('Données projet'!$B$13,Paramètres!$A$1:$I$89,3,0)*0.475*44/12</f>
        <v>7.3067638061017604E-12</v>
      </c>
      <c r="DI168" s="22">
        <f t="shared" si="175"/>
        <v>9.5845100617890786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68.690689816357832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>
        <f>DO168*VLOOKUP('Données projet'!$B$14,Paramètres!$A$1:$I$89,3,0)*VLOOKUP('Données projet'!$B$14,Paramètres!$A$1:$I$89,5,0)</f>
        <v>0</v>
      </c>
      <c r="DQ168" s="13" t="e">
        <f t="shared" si="176"/>
        <v>#NUM!</v>
      </c>
      <c r="DR168" s="20" t="e">
        <f t="shared" si="177"/>
        <v>#NUM!</v>
      </c>
      <c r="DS168" s="59" t="e">
        <f t="shared" si="125"/>
        <v>#NUM!</v>
      </c>
      <c r="DT168" s="59">
        <f ca="1">AVERAGE(OFFSET($DS$3,0,0,'Données projet'!$E$14+1,1))-AVERAGE(OFFSET($H$3,0,0,'Données projet'!$E$14+1,1))</f>
        <v>211.42385430331873</v>
      </c>
      <c r="DU168" s="59">
        <f t="shared" si="152"/>
        <v>146.84623106782686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>
        <f>EXP(-LN(2)/35)*EA167+(1-EXP(-LN(2)/35))/(LN(2)/35)*DW168*DX168*VLOOKUP('Données projet'!$B$14,Paramètres!$A$1:$I$89,3,0)*0.475*44/12</f>
        <v>9.0130438626930438</v>
      </c>
      <c r="EB168" s="21">
        <f>EXP(-LN(2)/25)*EB167+(1-EXP(-LN(2)/25))/(LN(2)/25)*Calculateur!DW168*Calculateur!DY168*VLOOKUP('Données projet'!$B$14,Paramètres!$A$1:$I$89,3,0)*0.475*44/12</f>
        <v>6.3679469587895365</v>
      </c>
      <c r="EC168" s="21">
        <f>EXP(-LN(2)/2)*EC167+(1-EXP(-LN(2)/2))/(LN(2)/2)*DW168*DZ168*VLOOKUP('Données projet'!$B$14,Paramètres!$A$1:$I$89,3,0)*0.475*44/12</f>
        <v>8.7558711887709446E-7</v>
      </c>
      <c r="ED168" s="22">
        <f t="shared" si="178"/>
        <v>15.3809916970697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68.690689816357832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-9.9475983006414026E-14</v>
      </c>
      <c r="EK168" s="17">
        <f>EJ168*VLOOKUP('Données projet'!$B$15,Paramètres!$A$1:$I$89,3,0)*VLOOKUP('Données projet'!$B$15,Paramètres!$A$1:$I$89,5,0)</f>
        <v>-1.0707594810810407E-13</v>
      </c>
      <c r="EL168" s="13" t="e">
        <f t="shared" si="179"/>
        <v>#NUM!</v>
      </c>
      <c r="EM168" s="20" t="e">
        <f t="shared" si="180"/>
        <v>#NUM!</v>
      </c>
      <c r="EN168" s="59" t="e">
        <f t="shared" si="128"/>
        <v>#NUM!</v>
      </c>
      <c r="EO168" s="59">
        <f ca="1">AVERAGE(OFFSET($EN$3,0,0,'Données projet'!$E$15+1,1))-AVERAGE(OFFSET($H$3,0,0,'Données projet'!$E$15+1,1))</f>
        <v>212.00478362779876</v>
      </c>
      <c r="EP168" s="59">
        <f t="shared" si="154"/>
        <v>133.62262474506707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>
        <f>EXP(-LN(2)/35)*EV167+(1-EXP(-LN(2)/35))/(LN(2)/35)*ER168*ES168*VLOOKUP('Données projet'!$B$15,Paramètres!$A$1:$I$89,3,0)*0.475*44/12</f>
        <v>6.4239102809620841</v>
      </c>
      <c r="EW168" s="21">
        <f>EXP(-LN(2)/25)*EW167+(1-EXP(-LN(2)/25))/(LN(2)/25)*Calculateur!ER168*Calculateur!ET168*VLOOKUP('Données projet'!$B$15,Paramètres!$A$1:$I$89,3,0)*0.475*44/12</f>
        <v>5.8787487566591343</v>
      </c>
      <c r="EX168" s="21">
        <f>EXP(-LN(2)/2)*EX167+(1-EXP(-LN(2)/2))/(LN(2)/2)*ER168*EU168*VLOOKUP('Données projet'!$B$15,Paramètres!$A$1:$I$89,3,0)*0.475*44/12</f>
        <v>5.2997407732582839E-6</v>
      </c>
      <c r="EY168" s="22">
        <f t="shared" si="181"/>
        <v>12.302664337361991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68.690689816357832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-9.9475983006414026E-14</v>
      </c>
      <c r="FF168" s="17">
        <f>FE168*VLOOKUP('Données projet'!$B$16,Paramètres!$A$1:$I$89,3,0)*VLOOKUP('Données projet'!$B$16,Paramètres!$A$1:$I$89,5,0)</f>
        <v>-9.6213170763803652E-14</v>
      </c>
      <c r="FG168" s="13" t="e">
        <f t="shared" si="182"/>
        <v>#NUM!</v>
      </c>
      <c r="FH168" s="20" t="e">
        <f t="shared" si="183"/>
        <v>#NUM!</v>
      </c>
      <c r="FI168" s="59" t="e">
        <f t="shared" si="131"/>
        <v>#NUM!</v>
      </c>
      <c r="FJ168" s="59">
        <f ca="1">AVERAGE(OFFSET($FI$3,0,0,'Données projet'!$E$16+1,1))-AVERAGE(OFFSET($H$3,0,0,'Données projet'!$E$16+1,1))</f>
        <v>196.65742339093146</v>
      </c>
      <c r="FK168" s="59">
        <f t="shared" si="156"/>
        <v>125.41980634506001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>
        <f>EXP(-LN(2)/35)*FQ167+(1-EXP(-LN(2)/35))/(LN(2)/35)*FM168*FN168*VLOOKUP('Données projet'!$B$16,Paramètres!$A$1:$I$89,3,0)*0.475*44/12</f>
        <v>5.7722092379659324</v>
      </c>
      <c r="FR168" s="21">
        <f>EXP(-LN(2)/25)*FR167+(1-EXP(-LN(2)/25))/(LN(2)/25)*Calculateur!FM168*Calculateur!FO168*VLOOKUP('Données projet'!$B$16,Paramètres!$A$1:$I$89,3,0)*0.475*44/12</f>
        <v>5.2823539552589356</v>
      </c>
      <c r="FS168" s="21">
        <f>EXP(-LN(2)/2)*FS167+(1-EXP(-LN(2)/2))/(LN(2)/2)*FM168*FP168*VLOOKUP('Données projet'!$B$16,Paramètres!$A$1:$I$89,3,0)*0.475*44/12</f>
        <v>4.762085912203084E-6</v>
      </c>
      <c r="FT168" s="22">
        <f t="shared" si="184"/>
        <v>11.05456795531078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68.690689816357832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68.690689816357832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>
      <c r="A169" s="10">
        <f t="shared" si="161"/>
        <v>166</v>
      </c>
      <c r="B169" s="73">
        <f>'Scénario référence'!$B$16*5+'Scénario référence'!$B$17*0+'Scénario référence'!$B$18*5</f>
        <v>4.6999999999999993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8.8564320000000212</v>
      </c>
      <c r="D169" s="11">
        <f t="shared" si="140"/>
        <v>3.1662844924132219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21.767749392977361</v>
      </c>
      <c r="H169" s="67">
        <f t="shared" si="110"/>
        <v>208.6728978909531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68.713403420864978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-2.2737367544323206E-13</v>
      </c>
      <c r="O169" s="13">
        <f>N169*VLOOKUP('Données projet'!$B$9,Paramètres!$A$1:$I$89,3,0)*VLOOKUP('Données projet'!$B$9,Paramètres!$A$1:$I$89,5,0)</f>
        <v>-1.3596945791505279E-13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366.93249569585623</v>
      </c>
      <c r="T169" s="59">
        <f t="shared" si="142"/>
        <v>272.47262353368501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27.911057140569117</v>
      </c>
      <c r="AA169" s="21">
        <f>EXP(-LN(2)/25)*AA168+(1-EXP(-LN(2)/25))/(LN(2)/25)*Calculateur!V169*Calculateur!X169*VLOOKUP('Données projet'!$B$9,Paramètres!$A$1:$I$89,3,0)*0.475*44/12</f>
        <v>4.7678209971925192</v>
      </c>
      <c r="AB169" s="21">
        <f>EXP(-LN(2)/2)*AB168+(1-EXP(-LN(2)/2))/(LN(2)/2)*V169*Y169*VLOOKUP('Données projet'!$B$9,Paramètres!$A$1:$I$89,3,0)*0.475*44/12</f>
        <v>8.0395514943585007E-12</v>
      </c>
      <c r="AC169" s="22">
        <f t="shared" si="163"/>
        <v>32.678878137769672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68.713403420864978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1.1368683772161603E-13</v>
      </c>
      <c r="AJ169" s="13">
        <f>AI169*VLOOKUP('Données projet'!$B$10,Paramètres!$A$1:$I$89,3,0)*VLOOKUP('Données projet'!$B$10,Paramètres!$A$1:$I$89,5,0)</f>
        <v>5.3205440053716299E-14</v>
      </c>
      <c r="AK169" s="13">
        <f t="shared" si="164"/>
        <v>8.602146238565607E-13</v>
      </c>
      <c r="AL169" s="20">
        <f t="shared" si="165"/>
        <v>1.590873277977066E-12</v>
      </c>
      <c r="AM169" s="59">
        <f t="shared" si="113"/>
        <v>288.61581254317315</v>
      </c>
      <c r="AN169" s="59">
        <f ca="1">AVERAGE(OFFSET($AM$3,0,0,'Données projet'!$E$10+1,1))-AVERAGE(OFFSET($H$3,0,0,'Données projet'!$E$10+1,1))</f>
        <v>382.89338473200229</v>
      </c>
      <c r="AO169" s="59">
        <f t="shared" si="144"/>
        <v>360.46248248971744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55.050235843903152</v>
      </c>
      <c r="AV169" s="21">
        <f>EXP(-LN(2)/25)*AV168+(1-EXP(-LN(2)/25))/(LN(2)/25)*Calculateur!AQ169*Calculateur!AS169*VLOOKUP('Données projet'!$B$10,Paramètres!$A$1:$I$89,3,0)*0.475*44/12</f>
        <v>10.035364033635295</v>
      </c>
      <c r="AW169" s="21">
        <f>EXP(-LN(2)/2)*AW168+(1-EXP(-LN(2)/2))/(LN(2)/2)*AQ169*AT169*VLOOKUP('Données projet'!$B$10,Paramètres!$A$1:$I$89,3,0)*0.475*44/12</f>
        <v>2.5833434031207423E-8</v>
      </c>
      <c r="AX169" s="21">
        <f t="shared" si="166"/>
        <v>65.085599903371872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68.713403420864978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>
        <f>BD169*VLOOKUP('Données projet'!$B$11,Paramètres!$A$1:$I$89,3,0)*VLOOKUP('Données projet'!$B$11,Paramètres!$A$1:$I$89,5,0)</f>
        <v>0</v>
      </c>
      <c r="BF169" s="13" t="e">
        <f t="shared" si="167"/>
        <v>#NUM!</v>
      </c>
      <c r="BG169" s="20" t="e">
        <f t="shared" si="168"/>
        <v>#NUM!</v>
      </c>
      <c r="BH169" s="59" t="e">
        <f t="shared" si="116"/>
        <v>#NUM!</v>
      </c>
      <c r="BI169" s="59">
        <f ca="1">AVERAGE(OFFSET($BH$3,0,0,'Données projet'!$E$11+1,1))-AVERAGE(OFFSET($H$3,0,0,'Données projet'!$E$11+1,1))</f>
        <v>225.75484198243581</v>
      </c>
      <c r="BJ169" s="59">
        <f t="shared" si="146"/>
        <v>199.49566488421061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2.0064893263901098</v>
      </c>
      <c r="BQ169" s="21">
        <f>EXP(-LN(2)/25)*BQ168+(1-EXP(-LN(2)/25))/(LN(2)/25)*Calculateur!BL169*Calculateur!BN169*VLOOKUP('Données projet'!$B$11,Paramètres!$A$1:$I$89,3,0)*0.475*44/12</f>
        <v>6.4897939811890222</v>
      </c>
      <c r="BR169" s="21">
        <f>EXP(-LN(2)/2)*BR168+(1-EXP(-LN(2)/2))/(LN(2)/2)*BL169*BO169*VLOOKUP('Données projet'!$B$11,Paramètres!$A$1:$I$89,3,0)*0.475*44/12</f>
        <v>0</v>
      </c>
      <c r="BS169" s="22">
        <f t="shared" si="169"/>
        <v>8.496283307579132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68.713403420864978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1.1368683772161603E-13</v>
      </c>
      <c r="BZ169" s="13">
        <f>BY169*VLOOKUP('Données projet'!$B$12,Paramètres!$A$1:$I$89,3,0)*VLOOKUP('Données projet'!$B$12,Paramètres!$A$1:$I$89,5,0)</f>
        <v>1.0818439477588981E-13</v>
      </c>
      <c r="CA169" s="13">
        <f t="shared" si="170"/>
        <v>1.6104228458716316E-12</v>
      </c>
      <c r="CB169" s="20">
        <f t="shared" si="171"/>
        <v>2.9932409441277661E-12</v>
      </c>
      <c r="CC169" s="59">
        <f t="shared" si="119"/>
        <v>288.61581254317457</v>
      </c>
      <c r="CD169" s="59">
        <f ca="1">AVERAGE(OFFSET($CC$3,0,0,'Données projet'!$E$12+1,1))-AVERAGE(OFFSET($H$3,0,0,'Données projet'!$E$12+1,1))</f>
        <v>413.9352601863377</v>
      </c>
      <c r="CE169" s="59">
        <f t="shared" si="148"/>
        <v>255.13997349799286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18.494545070209064</v>
      </c>
      <c r="CL169" s="21">
        <f>EXP(-LN(2)/25)*CL168+(1-EXP(-LN(2)/25))/(LN(2)/25)*Calculateur!CG169*Calculateur!CI169*VLOOKUP('Données projet'!$B$12,Paramètres!$A$1:$I$89,3,0)*0.475*44/12</f>
        <v>12.911383968141942</v>
      </c>
      <c r="CM169" s="21">
        <f>EXP(-LN(2)/2)*CM168+(1-EXP(-LN(2)/2))/(LN(2)/2)*CG169*CJ169*VLOOKUP('Données projet'!$B$12,Paramètres!$A$1:$I$89,3,0)*0.475*44/12</f>
        <v>7.7307762568121801E-6</v>
      </c>
      <c r="CN169" s="22">
        <f t="shared" si="172"/>
        <v>31.405936769127262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68.713403420864978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2.8421709430404007E-14</v>
      </c>
      <c r="CU169" s="17">
        <f>CT169*VLOOKUP('Données projet'!$B$13,Paramètres!$A$1:$I$89,3,0)*VLOOKUP('Données projet'!$B$13,Paramètres!$A$1:$I$89,5,0)</f>
        <v>2.4829205358400945E-14</v>
      </c>
      <c r="CV169" s="13">
        <f t="shared" si="173"/>
        <v>4.3867331143352915E-13</v>
      </c>
      <c r="CW169" s="20">
        <f t="shared" si="174"/>
        <v>8.0726688341261168E-13</v>
      </c>
      <c r="CX169" s="59">
        <f t="shared" si="122"/>
        <v>288.61581254317235</v>
      </c>
      <c r="CY169" s="59">
        <f ca="1">AVERAGE(OFFSET($CX$3,0,0,'Données projet'!$E$13+1,1))-AVERAGE(OFFSET($H$3,0,0,'Données projet'!$E$13+1,1))</f>
        <v>280.59827778697775</v>
      </c>
      <c r="CZ169" s="59">
        <f t="shared" si="150"/>
        <v>270.86588231964726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>
        <f>EXP(-LN(2)/35)*DF168+(1-EXP(-LN(2)/35))/(LN(2)/35)*DB169*DC169*VLOOKUP('Données projet'!$B$13,Paramètres!$A$1:$I$89,3,0)*0.475*44/12</f>
        <v>6.0070133751525088</v>
      </c>
      <c r="DG169" s="21">
        <f>EXP(-LN(2)/25)*DG168+(1-EXP(-LN(2)/25))/(LN(2)/25)*Calculateur!DB169*Calculateur!DD169*VLOOKUP('Données projet'!$B$13,Paramètres!$A$1:$I$89,3,0)*0.475*44/12</f>
        <v>3.3628054225829653</v>
      </c>
      <c r="DH169" s="21">
        <f>EXP(-LN(2)/2)*DH168+(1-EXP(-LN(2)/2))/(LN(2)/2)*DB169*DE169*VLOOKUP('Données projet'!$B$13,Paramètres!$A$1:$I$89,3,0)*0.475*44/12</f>
        <v>5.1666622358229828E-12</v>
      </c>
      <c r="DI169" s="22">
        <f t="shared" si="175"/>
        <v>9.369818797740642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68.713403420864978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>
        <f>DO169*VLOOKUP('Données projet'!$B$14,Paramètres!$A$1:$I$89,3,0)*VLOOKUP('Données projet'!$B$14,Paramètres!$A$1:$I$89,5,0)</f>
        <v>0</v>
      </c>
      <c r="DQ169" s="13" t="e">
        <f t="shared" si="176"/>
        <v>#NUM!</v>
      </c>
      <c r="DR169" s="20" t="e">
        <f t="shared" si="177"/>
        <v>#NUM!</v>
      </c>
      <c r="DS169" s="59" t="e">
        <f t="shared" si="125"/>
        <v>#NUM!</v>
      </c>
      <c r="DT169" s="59">
        <f ca="1">AVERAGE(OFFSET($DS$3,0,0,'Données projet'!$E$14+1,1))-AVERAGE(OFFSET($H$3,0,0,'Données projet'!$E$14+1,1))</f>
        <v>211.42385430331873</v>
      </c>
      <c r="DU169" s="59">
        <f t="shared" si="152"/>
        <v>146.84623106782686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>
        <f>EXP(-LN(2)/35)*EA168+(1-EXP(-LN(2)/35))/(LN(2)/35)*DW169*DX169*VLOOKUP('Données projet'!$B$14,Paramètres!$A$1:$I$89,3,0)*0.475*44/12</f>
        <v>8.8363035699595649</v>
      </c>
      <c r="EB169" s="21">
        <f>EXP(-LN(2)/25)*EB168+(1-EXP(-LN(2)/25))/(LN(2)/25)*Calculateur!DW169*Calculateur!DY169*VLOOKUP('Données projet'!$B$14,Paramètres!$A$1:$I$89,3,0)*0.475*44/12</f>
        <v>6.1938151143256599</v>
      </c>
      <c r="EC169" s="21">
        <f>EXP(-LN(2)/2)*EC168+(1-EXP(-LN(2)/2))/(LN(2)/2)*DW169*DZ169*VLOOKUP('Données projet'!$B$14,Paramètres!$A$1:$I$89,3,0)*0.475*44/12</f>
        <v>6.191335892775852E-7</v>
      </c>
      <c r="ED169" s="22">
        <f t="shared" si="178"/>
        <v>15.030119303418813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68.713403420864978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-9.9475983006414026E-14</v>
      </c>
      <c r="EK169" s="17">
        <f>EJ169*VLOOKUP('Données projet'!$B$15,Paramètres!$A$1:$I$89,3,0)*VLOOKUP('Données projet'!$B$15,Paramètres!$A$1:$I$89,5,0)</f>
        <v>-1.0707594810810407E-13</v>
      </c>
      <c r="EL169" s="13" t="e">
        <f t="shared" si="179"/>
        <v>#NUM!</v>
      </c>
      <c r="EM169" s="20" t="e">
        <f t="shared" si="180"/>
        <v>#NUM!</v>
      </c>
      <c r="EN169" s="59" t="e">
        <f t="shared" si="128"/>
        <v>#NUM!</v>
      </c>
      <c r="EO169" s="59">
        <f ca="1">AVERAGE(OFFSET($EN$3,0,0,'Données projet'!$E$15+1,1))-AVERAGE(OFFSET($H$3,0,0,'Données projet'!$E$15+1,1))</f>
        <v>212.00478362779876</v>
      </c>
      <c r="EP169" s="59">
        <f t="shared" si="154"/>
        <v>133.62262474506707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>
        <f>EXP(-LN(2)/35)*EV168+(1-EXP(-LN(2)/35))/(LN(2)/35)*ER169*ES169*VLOOKUP('Données projet'!$B$15,Paramètres!$A$1:$I$89,3,0)*0.475*44/12</f>
        <v>6.2979413185507989</v>
      </c>
      <c r="EW169" s="21">
        <f>EXP(-LN(2)/25)*EW168+(1-EXP(-LN(2)/25))/(LN(2)/25)*Calculateur!ER169*Calculateur!ET169*VLOOKUP('Données projet'!$B$15,Paramètres!$A$1:$I$89,3,0)*0.475*44/12</f>
        <v>5.7179940627583292</v>
      </c>
      <c r="EX169" s="21">
        <f>EXP(-LN(2)/2)*EX168+(1-EXP(-LN(2)/2))/(LN(2)/2)*ER169*EU169*VLOOKUP('Données projet'!$B$15,Paramètres!$A$1:$I$89,3,0)*0.475*44/12</f>
        <v>3.7474826393017698E-6</v>
      </c>
      <c r="EY169" s="22">
        <f t="shared" si="181"/>
        <v>12.015939128791766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68.713403420864978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-9.9475983006414026E-14</v>
      </c>
      <c r="FF169" s="17">
        <f>FE169*VLOOKUP('Données projet'!$B$16,Paramètres!$A$1:$I$89,3,0)*VLOOKUP('Données projet'!$B$16,Paramètres!$A$1:$I$89,5,0)</f>
        <v>-9.6213170763803652E-14</v>
      </c>
      <c r="FG169" s="13" t="e">
        <f t="shared" si="182"/>
        <v>#NUM!</v>
      </c>
      <c r="FH169" s="20" t="e">
        <f t="shared" si="183"/>
        <v>#NUM!</v>
      </c>
      <c r="FI169" s="59" t="e">
        <f t="shared" si="131"/>
        <v>#NUM!</v>
      </c>
      <c r="FJ169" s="59">
        <f ca="1">AVERAGE(OFFSET($FI$3,0,0,'Données projet'!$E$16+1,1))-AVERAGE(OFFSET($H$3,0,0,'Données projet'!$E$16+1,1))</f>
        <v>196.65742339093146</v>
      </c>
      <c r="FK169" s="59">
        <f t="shared" si="156"/>
        <v>125.41980634506001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>
        <f>EXP(-LN(2)/35)*FQ168+(1-EXP(-LN(2)/35))/(LN(2)/35)*FM169*FN169*VLOOKUP('Données projet'!$B$16,Paramètres!$A$1:$I$89,3,0)*0.475*44/12</f>
        <v>5.6590197355094158</v>
      </c>
      <c r="FR169" s="21">
        <f>EXP(-LN(2)/25)*FR168+(1-EXP(-LN(2)/25))/(LN(2)/25)*Calculateur!FM169*Calculateur!FO169*VLOOKUP('Données projet'!$B$16,Paramètres!$A$1:$I$89,3,0)*0.475*44/12</f>
        <v>5.1379077085654581</v>
      </c>
      <c r="FS169" s="21">
        <f>EXP(-LN(2)/2)*FS168+(1-EXP(-LN(2)/2))/(LN(2)/2)*FM169*FP169*VLOOKUP('Données projet'!$B$16,Paramètres!$A$1:$I$89,3,0)*0.475*44/12</f>
        <v>3.3673032411117268E-6</v>
      </c>
      <c r="FT169" s="22">
        <f t="shared" si="184"/>
        <v>10.796930811378116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68.713403420864978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68.713403420864978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>
      <c r="A170" s="10">
        <f t="shared" si="161"/>
        <v>167</v>
      </c>
      <c r="B170" s="73">
        <f>'Scénario référence'!$B$16*5+'Scénario référence'!$B$17*0+'Scénario référence'!$B$18*5</f>
        <v>4.6999999999999993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8.9097840000000215</v>
      </c>
      <c r="D170" s="11">
        <f t="shared" si="140"/>
        <v>3.1831323856597331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21.800263027744165</v>
      </c>
      <c r="H170" s="67">
        <f t="shared" si="110"/>
        <v>208.7951627050241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68.735722995113932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-2.2737367544323206E-13</v>
      </c>
      <c r="O170" s="13">
        <f>N170*VLOOKUP('Données projet'!$B$9,Paramètres!$A$1:$I$89,3,0)*VLOOKUP('Données projet'!$B$9,Paramètres!$A$1:$I$89,5,0)</f>
        <v>-1.3596945791505279E-13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366.93249569585623</v>
      </c>
      <c r="T170" s="59">
        <f t="shared" si="142"/>
        <v>272.47262353368501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27.363738334106426</v>
      </c>
      <c r="AA170" s="21">
        <f>EXP(-LN(2)/25)*AA169+(1-EXP(-LN(2)/25))/(LN(2)/25)*Calculateur!V170*Calculateur!X170*VLOOKUP('Données projet'!$B$9,Paramètres!$A$1:$I$89,3,0)*0.475*44/12</f>
        <v>4.6374446812954808</v>
      </c>
      <c r="AB170" s="21">
        <f>EXP(-LN(2)/2)*AB169+(1-EXP(-LN(2)/2))/(LN(2)/2)*V170*Y170*VLOOKUP('Données projet'!$B$9,Paramètres!$A$1:$I$89,3,0)*0.475*44/12</f>
        <v>5.6848213793593375E-12</v>
      </c>
      <c r="AC170" s="22">
        <f t="shared" si="163"/>
        <v>32.001183015407591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68.735722995113932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1.1368683772161603E-13</v>
      </c>
      <c r="AJ170" s="13">
        <f>AI170*VLOOKUP('Données projet'!$B$10,Paramètres!$A$1:$I$89,3,0)*VLOOKUP('Données projet'!$B$10,Paramètres!$A$1:$I$89,5,0)</f>
        <v>5.3205440053716299E-14</v>
      </c>
      <c r="AK170" s="13">
        <f t="shared" si="164"/>
        <v>8.602146238565607E-13</v>
      </c>
      <c r="AL170" s="20">
        <f t="shared" si="165"/>
        <v>1.590873277977066E-12</v>
      </c>
      <c r="AM170" s="59">
        <f t="shared" si="113"/>
        <v>288.69765098208603</v>
      </c>
      <c r="AN170" s="59">
        <f ca="1">AVERAGE(OFFSET($AM$3,0,0,'Données projet'!$E$10+1,1))-AVERAGE(OFFSET($H$3,0,0,'Données projet'!$E$10+1,1))</f>
        <v>382.89338473200229</v>
      </c>
      <c r="AO170" s="59">
        <f t="shared" si="144"/>
        <v>360.46248248971744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53.970734296332587</v>
      </c>
      <c r="AV170" s="21">
        <f>EXP(-LN(2)/25)*AV169+(1-EXP(-LN(2)/25))/(LN(2)/25)*Calculateur!AQ170*Calculateur!AS170*VLOOKUP('Données projet'!$B$10,Paramètres!$A$1:$I$89,3,0)*0.475*44/12</f>
        <v>9.7609464763986793</v>
      </c>
      <c r="AW170" s="21">
        <f>EXP(-LN(2)/2)*AW169+(1-EXP(-LN(2)/2))/(LN(2)/2)*AQ170*AT170*VLOOKUP('Données projet'!$B$10,Paramètres!$A$1:$I$89,3,0)*0.475*44/12</f>
        <v>1.8266996384802098E-8</v>
      </c>
      <c r="AX170" s="21">
        <f t="shared" si="166"/>
        <v>63.731680790998261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68.735722995113932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>
        <f>BD170*VLOOKUP('Données projet'!$B$11,Paramètres!$A$1:$I$89,3,0)*VLOOKUP('Données projet'!$B$11,Paramètres!$A$1:$I$89,5,0)</f>
        <v>0</v>
      </c>
      <c r="BF170" s="13" t="e">
        <f t="shared" si="167"/>
        <v>#NUM!</v>
      </c>
      <c r="BG170" s="20" t="e">
        <f t="shared" si="168"/>
        <v>#NUM!</v>
      </c>
      <c r="BH170" s="59" t="e">
        <f t="shared" si="116"/>
        <v>#NUM!</v>
      </c>
      <c r="BI170" s="59">
        <f ca="1">AVERAGE(OFFSET($BH$3,0,0,'Données projet'!$E$11+1,1))-AVERAGE(OFFSET($H$3,0,0,'Données projet'!$E$11+1,1))</f>
        <v>225.75484198243581</v>
      </c>
      <c r="BJ170" s="59">
        <f t="shared" si="146"/>
        <v>199.49566488421061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1.9671432945372449</v>
      </c>
      <c r="BQ170" s="21">
        <f>EXP(-LN(2)/25)*BQ169+(1-EXP(-LN(2)/25))/(LN(2)/25)*Calculateur!BL170*Calculateur!BN170*VLOOKUP('Données projet'!$B$11,Paramètres!$A$1:$I$89,3,0)*0.475*44/12</f>
        <v>6.3123302234899752</v>
      </c>
      <c r="BR170" s="21">
        <f>EXP(-LN(2)/2)*BR169+(1-EXP(-LN(2)/2))/(LN(2)/2)*BL170*BO170*VLOOKUP('Données projet'!$B$11,Paramètres!$A$1:$I$89,3,0)*0.475*44/12</f>
        <v>0</v>
      </c>
      <c r="BS170" s="22">
        <f t="shared" si="169"/>
        <v>8.2794735180272205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68.735722995113932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1.1368683772161603E-13</v>
      </c>
      <c r="BZ170" s="13">
        <f>BY170*VLOOKUP('Données projet'!$B$12,Paramètres!$A$1:$I$89,3,0)*VLOOKUP('Données projet'!$B$12,Paramètres!$A$1:$I$89,5,0)</f>
        <v>1.0818439477588981E-13</v>
      </c>
      <c r="CA170" s="13">
        <f t="shared" si="170"/>
        <v>1.6104228458716316E-12</v>
      </c>
      <c r="CB170" s="20">
        <f t="shared" si="171"/>
        <v>2.9932409441277661E-12</v>
      </c>
      <c r="CC170" s="59">
        <f t="shared" si="119"/>
        <v>288.69765098208745</v>
      </c>
      <c r="CD170" s="59">
        <f ca="1">AVERAGE(OFFSET($CC$3,0,0,'Données projet'!$E$12+1,1))-AVERAGE(OFFSET($H$3,0,0,'Données projet'!$E$12+1,1))</f>
        <v>413.9352601863377</v>
      </c>
      <c r="CE170" s="59">
        <f t="shared" si="148"/>
        <v>255.13997349799286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18.131878321940896</v>
      </c>
      <c r="CL170" s="21">
        <f>EXP(-LN(2)/25)*CL169+(1-EXP(-LN(2)/25))/(LN(2)/25)*Calculateur!CG170*Calculateur!CI170*VLOOKUP('Données projet'!$B$12,Paramètres!$A$1:$I$89,3,0)*0.475*44/12</f>
        <v>12.558321494552928</v>
      </c>
      <c r="CM170" s="21">
        <f>EXP(-LN(2)/2)*CM169+(1-EXP(-LN(2)/2))/(LN(2)/2)*CG170*CJ170*VLOOKUP('Données projet'!$B$12,Paramètres!$A$1:$I$89,3,0)*0.475*44/12</f>
        <v>5.4664843150278471E-6</v>
      </c>
      <c r="CN170" s="22">
        <f t="shared" si="172"/>
        <v>30.690205282978138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68.735722995113932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2.8421709430404007E-14</v>
      </c>
      <c r="CU170" s="17">
        <f>CT170*VLOOKUP('Données projet'!$B$13,Paramètres!$A$1:$I$89,3,0)*VLOOKUP('Données projet'!$B$13,Paramètres!$A$1:$I$89,5,0)</f>
        <v>2.4829205358400945E-14</v>
      </c>
      <c r="CV170" s="13">
        <f t="shared" si="173"/>
        <v>4.3867331143352915E-13</v>
      </c>
      <c r="CW170" s="20">
        <f t="shared" si="174"/>
        <v>8.0726688341261168E-13</v>
      </c>
      <c r="CX170" s="59">
        <f t="shared" si="122"/>
        <v>288.69765098208524</v>
      </c>
      <c r="CY170" s="59">
        <f ca="1">AVERAGE(OFFSET($CX$3,0,0,'Données projet'!$E$13+1,1))-AVERAGE(OFFSET($H$3,0,0,'Données projet'!$E$13+1,1))</f>
        <v>280.59827778697775</v>
      </c>
      <c r="CZ170" s="59">
        <f t="shared" si="150"/>
        <v>270.86588231964726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>
        <f>EXP(-LN(2)/35)*DF169+(1-EXP(-LN(2)/35))/(LN(2)/35)*DB170*DC170*VLOOKUP('Données projet'!$B$13,Paramètres!$A$1:$I$89,3,0)*0.475*44/12</f>
        <v>5.8892195067821449</v>
      </c>
      <c r="DG170" s="21">
        <f>EXP(-LN(2)/25)*DG169+(1-EXP(-LN(2)/25))/(LN(2)/25)*Calculateur!DB170*Calculateur!DD170*VLOOKUP('Données projet'!$B$13,Paramètres!$A$1:$I$89,3,0)*0.475*44/12</f>
        <v>3.270849331460183</v>
      </c>
      <c r="DH170" s="21">
        <f>EXP(-LN(2)/2)*DH169+(1-EXP(-LN(2)/2))/(LN(2)/2)*DB170*DE170*VLOOKUP('Données projet'!$B$13,Paramètres!$A$1:$I$89,3,0)*0.475*44/12</f>
        <v>3.6533819030508802E-12</v>
      </c>
      <c r="DI170" s="22">
        <f t="shared" si="175"/>
        <v>9.1600688382459818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68.735722995113932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>
        <f>DO170*VLOOKUP('Données projet'!$B$14,Paramètres!$A$1:$I$89,3,0)*VLOOKUP('Données projet'!$B$14,Paramètres!$A$1:$I$89,5,0)</f>
        <v>0</v>
      </c>
      <c r="DQ170" s="13" t="e">
        <f t="shared" si="176"/>
        <v>#NUM!</v>
      </c>
      <c r="DR170" s="20" t="e">
        <f t="shared" si="177"/>
        <v>#NUM!</v>
      </c>
      <c r="DS170" s="59" t="e">
        <f t="shared" si="125"/>
        <v>#NUM!</v>
      </c>
      <c r="DT170" s="59">
        <f ca="1">AVERAGE(OFFSET($DS$3,0,0,'Données projet'!$E$14+1,1))-AVERAGE(OFFSET($H$3,0,0,'Données projet'!$E$14+1,1))</f>
        <v>211.42385430331873</v>
      </c>
      <c r="DU170" s="59">
        <f t="shared" si="152"/>
        <v>146.84623106782686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>
        <f>EXP(-LN(2)/35)*EA169+(1-EXP(-LN(2)/35))/(LN(2)/35)*DW170*DX170*VLOOKUP('Données projet'!$B$14,Paramètres!$A$1:$I$89,3,0)*0.475*44/12</f>
        <v>8.6630290465656561</v>
      </c>
      <c r="EB170" s="21">
        <f>EXP(-LN(2)/25)*EB169+(1-EXP(-LN(2)/25))/(LN(2)/25)*Calculateur!DW170*Calculateur!DY170*VLOOKUP('Données projet'!$B$14,Paramètres!$A$1:$I$89,3,0)*0.475*44/12</f>
        <v>6.0244449143058443</v>
      </c>
      <c r="EC170" s="21">
        <f>EXP(-LN(2)/2)*EC169+(1-EXP(-LN(2)/2))/(LN(2)/2)*DW170*DZ170*VLOOKUP('Données projet'!$B$14,Paramètres!$A$1:$I$89,3,0)*0.475*44/12</f>
        <v>4.3779355943854723E-7</v>
      </c>
      <c r="ED170" s="22">
        <f t="shared" si="178"/>
        <v>14.68747439866506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68.735722995113932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-9.9475983006414026E-14</v>
      </c>
      <c r="EK170" s="17">
        <f>EJ170*VLOOKUP('Données projet'!$B$15,Paramètres!$A$1:$I$89,3,0)*VLOOKUP('Données projet'!$B$15,Paramètres!$A$1:$I$89,5,0)</f>
        <v>-1.0707594810810407E-13</v>
      </c>
      <c r="EL170" s="13" t="e">
        <f t="shared" si="179"/>
        <v>#NUM!</v>
      </c>
      <c r="EM170" s="20" t="e">
        <f t="shared" si="180"/>
        <v>#NUM!</v>
      </c>
      <c r="EN170" s="59" t="e">
        <f t="shared" si="128"/>
        <v>#NUM!</v>
      </c>
      <c r="EO170" s="59">
        <f ca="1">AVERAGE(OFFSET($EN$3,0,0,'Données projet'!$E$15+1,1))-AVERAGE(OFFSET($H$3,0,0,'Données projet'!$E$15+1,1))</f>
        <v>212.00478362779876</v>
      </c>
      <c r="EP170" s="59">
        <f t="shared" si="154"/>
        <v>133.62262474506707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>
        <f>EXP(-LN(2)/35)*EV169+(1-EXP(-LN(2)/35))/(LN(2)/35)*ER170*ES170*VLOOKUP('Données projet'!$B$15,Paramètres!$A$1:$I$89,3,0)*0.475*44/12</f>
        <v>6.1744425306589186</v>
      </c>
      <c r="EW170" s="21">
        <f>EXP(-LN(2)/25)*EW169+(1-EXP(-LN(2)/25))/(LN(2)/25)*Calculateur!ER170*Calculateur!ET170*VLOOKUP('Données projet'!$B$15,Paramètres!$A$1:$I$89,3,0)*0.475*44/12</f>
        <v>5.561635214415964</v>
      </c>
      <c r="EX170" s="21">
        <f>EXP(-LN(2)/2)*EX169+(1-EXP(-LN(2)/2))/(LN(2)/2)*ER170*EU170*VLOOKUP('Données projet'!$B$15,Paramètres!$A$1:$I$89,3,0)*0.475*44/12</f>
        <v>2.6498703866291424E-6</v>
      </c>
      <c r="EY170" s="22">
        <f t="shared" si="181"/>
        <v>11.736080394945271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68.735722995113932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-9.9475983006414026E-14</v>
      </c>
      <c r="FF170" s="17">
        <f>FE170*VLOOKUP('Données projet'!$B$16,Paramètres!$A$1:$I$89,3,0)*VLOOKUP('Données projet'!$B$16,Paramètres!$A$1:$I$89,5,0)</f>
        <v>-9.6213170763803652E-14</v>
      </c>
      <c r="FG170" s="13" t="e">
        <f t="shared" si="182"/>
        <v>#NUM!</v>
      </c>
      <c r="FH170" s="20" t="e">
        <f t="shared" si="183"/>
        <v>#NUM!</v>
      </c>
      <c r="FI170" s="59" t="e">
        <f t="shared" si="131"/>
        <v>#NUM!</v>
      </c>
      <c r="FJ170" s="59">
        <f ca="1">AVERAGE(OFFSET($FI$3,0,0,'Données projet'!$E$16+1,1))-AVERAGE(OFFSET($H$3,0,0,'Données projet'!$E$16+1,1))</f>
        <v>196.65742339093146</v>
      </c>
      <c r="FK170" s="59">
        <f t="shared" si="156"/>
        <v>125.41980634506001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>
        <f>EXP(-LN(2)/35)*FQ169+(1-EXP(-LN(2)/35))/(LN(2)/35)*FM170*FN170*VLOOKUP('Données projet'!$B$16,Paramètres!$A$1:$I$89,3,0)*0.475*44/12</f>
        <v>5.5480498101572913</v>
      </c>
      <c r="FR170" s="21">
        <f>EXP(-LN(2)/25)*FR169+(1-EXP(-LN(2)/25))/(LN(2)/25)*Calculateur!FM170*Calculateur!FO170*VLOOKUP('Données projet'!$B$16,Paramètres!$A$1:$I$89,3,0)*0.475*44/12</f>
        <v>4.9974113520839119</v>
      </c>
      <c r="FS170" s="21">
        <f>EXP(-LN(2)/2)*FS169+(1-EXP(-LN(2)/2))/(LN(2)/2)*FM170*FP170*VLOOKUP('Données projet'!$B$16,Paramètres!$A$1:$I$89,3,0)*0.475*44/12</f>
        <v>2.381042956101542E-6</v>
      </c>
      <c r="FT170" s="22">
        <f t="shared" si="184"/>
        <v>10.545463543284159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68.735722995113932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68.735722995113932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>
      <c r="A171" s="10">
        <f t="shared" si="161"/>
        <v>168</v>
      </c>
      <c r="B171" s="73">
        <f>'Scénario référence'!$B$16*5+'Scénario référence'!$B$17*0+'Scénario référence'!$B$18*5</f>
        <v>4.6999999999999993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8.9631360000000218</v>
      </c>
      <c r="D171" s="11">
        <f t="shared" si="140"/>
        <v>3.1999685398411031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21.832771225470275</v>
      </c>
      <c r="H171" s="67">
        <f t="shared" si="110"/>
        <v>208.91740707355663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68.757655374648763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-2.2737367544323206E-13</v>
      </c>
      <c r="O171" s="13">
        <f>N171*VLOOKUP('Données projet'!$B$9,Paramètres!$A$1:$I$89,3,0)*VLOOKUP('Données projet'!$B$9,Paramètres!$A$1:$I$89,5,0)</f>
        <v>-1.3596945791505279E-13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366.93249569585623</v>
      </c>
      <c r="T171" s="59">
        <f t="shared" si="142"/>
        <v>272.47262353368501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26.82715211560696</v>
      </c>
      <c r="AA171" s="21">
        <f>EXP(-LN(2)/25)*AA170+(1-EXP(-LN(2)/25))/(LN(2)/25)*Calculateur!V171*Calculateur!X171*VLOOKUP('Données projet'!$B$9,Paramètres!$A$1:$I$89,3,0)*0.475*44/12</f>
        <v>4.5106335126128387</v>
      </c>
      <c r="AB171" s="21">
        <f>EXP(-LN(2)/2)*AB170+(1-EXP(-LN(2)/2))/(LN(2)/2)*V171*Y171*VLOOKUP('Données projet'!$B$9,Paramètres!$A$1:$I$89,3,0)*0.475*44/12</f>
        <v>4.0197757471792503E-12</v>
      </c>
      <c r="AC171" s="22">
        <f t="shared" si="163"/>
        <v>31.337785628223816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68.757655374648763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1.1368683772161603E-13</v>
      </c>
      <c r="AJ171" s="13">
        <f>AI171*VLOOKUP('Données projet'!$B$10,Paramètres!$A$1:$I$89,3,0)*VLOOKUP('Données projet'!$B$10,Paramètres!$A$1:$I$89,5,0)</f>
        <v>5.3205440053716299E-14</v>
      </c>
      <c r="AK171" s="13">
        <f t="shared" si="164"/>
        <v>8.602146238565607E-13</v>
      </c>
      <c r="AL171" s="20">
        <f t="shared" si="165"/>
        <v>1.590873277977066E-12</v>
      </c>
      <c r="AM171" s="59">
        <f t="shared" si="113"/>
        <v>288.77806970704705</v>
      </c>
      <c r="AN171" s="59">
        <f ca="1">AVERAGE(OFFSET($AM$3,0,0,'Données projet'!$E$10+1,1))-AVERAGE(OFFSET($H$3,0,0,'Données projet'!$E$10+1,1))</f>
        <v>382.89338473200229</v>
      </c>
      <c r="AO171" s="59">
        <f t="shared" si="144"/>
        <v>360.46248248971744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52.912401115678954</v>
      </c>
      <c r="AV171" s="21">
        <f>EXP(-LN(2)/25)*AV170+(1-EXP(-LN(2)/25))/(LN(2)/25)*Calculateur!AQ171*Calculateur!AS171*VLOOKUP('Données projet'!$B$10,Paramètres!$A$1:$I$89,3,0)*0.475*44/12</f>
        <v>9.4940328816956914</v>
      </c>
      <c r="AW171" s="21">
        <f>EXP(-LN(2)/2)*AW170+(1-EXP(-LN(2)/2))/(LN(2)/2)*AQ171*AT171*VLOOKUP('Données projet'!$B$10,Paramètres!$A$1:$I$89,3,0)*0.475*44/12</f>
        <v>1.2916717015603712E-8</v>
      </c>
      <c r="AX171" s="21">
        <f t="shared" si="166"/>
        <v>62.406434010291363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68.757655374648763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>
        <f>BD171*VLOOKUP('Données projet'!$B$11,Paramètres!$A$1:$I$89,3,0)*VLOOKUP('Données projet'!$B$11,Paramètres!$A$1:$I$89,5,0)</f>
        <v>0</v>
      </c>
      <c r="BF171" s="13" t="e">
        <f t="shared" si="167"/>
        <v>#NUM!</v>
      </c>
      <c r="BG171" s="20" t="e">
        <f t="shared" si="168"/>
        <v>#NUM!</v>
      </c>
      <c r="BH171" s="59" t="e">
        <f t="shared" si="116"/>
        <v>#NUM!</v>
      </c>
      <c r="BI171" s="59">
        <f ca="1">AVERAGE(OFFSET($BH$3,0,0,'Données projet'!$E$11+1,1))-AVERAGE(OFFSET($H$3,0,0,'Données projet'!$E$11+1,1))</f>
        <v>225.75484198243581</v>
      </c>
      <c r="BJ171" s="59">
        <f t="shared" si="146"/>
        <v>199.49566488421061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1.928568814370305</v>
      </c>
      <c r="BQ171" s="21">
        <f>EXP(-LN(2)/25)*BQ170+(1-EXP(-LN(2)/25))/(LN(2)/25)*Calculateur!BL171*Calculateur!BN171*VLOOKUP('Données projet'!$B$11,Paramètres!$A$1:$I$89,3,0)*0.475*44/12</f>
        <v>6.1397192215776224</v>
      </c>
      <c r="BR171" s="21">
        <f>EXP(-LN(2)/2)*BR170+(1-EXP(-LN(2)/2))/(LN(2)/2)*BL171*BO171*VLOOKUP('Données projet'!$B$11,Paramètres!$A$1:$I$89,3,0)*0.475*44/12</f>
        <v>0</v>
      </c>
      <c r="BS171" s="22">
        <f t="shared" si="169"/>
        <v>8.0682880359479281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68.757655374648763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1.1368683772161603E-13</v>
      </c>
      <c r="BZ171" s="13">
        <f>BY171*VLOOKUP('Données projet'!$B$12,Paramètres!$A$1:$I$89,3,0)*VLOOKUP('Données projet'!$B$12,Paramètres!$A$1:$I$89,5,0)</f>
        <v>1.0818439477588981E-13</v>
      </c>
      <c r="CA171" s="13">
        <f t="shared" si="170"/>
        <v>1.6104228458716316E-12</v>
      </c>
      <c r="CB171" s="20">
        <f t="shared" si="171"/>
        <v>2.9932409441277661E-12</v>
      </c>
      <c r="CC171" s="59">
        <f t="shared" si="119"/>
        <v>288.77806970704847</v>
      </c>
      <c r="CD171" s="59">
        <f ca="1">AVERAGE(OFFSET($CC$3,0,0,'Données projet'!$E$12+1,1))-AVERAGE(OFFSET($H$3,0,0,'Données projet'!$E$12+1,1))</f>
        <v>413.9352601863377</v>
      </c>
      <c r="CE171" s="59">
        <f t="shared" si="148"/>
        <v>255.13997349799286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17.77632324740139</v>
      </c>
      <c r="CL171" s="21">
        <f>EXP(-LN(2)/25)*CL170+(1-EXP(-LN(2)/25))/(LN(2)/25)*Calculateur!CG171*Calculateur!CI171*VLOOKUP('Données projet'!$B$12,Paramètres!$A$1:$I$89,3,0)*0.475*44/12</f>
        <v>12.214913532870954</v>
      </c>
      <c r="CM171" s="21">
        <f>EXP(-LN(2)/2)*CM170+(1-EXP(-LN(2)/2))/(LN(2)/2)*CG171*CJ171*VLOOKUP('Données projet'!$B$12,Paramètres!$A$1:$I$89,3,0)*0.475*44/12</f>
        <v>3.86538812840609E-6</v>
      </c>
      <c r="CN171" s="22">
        <f t="shared" si="172"/>
        <v>29.991240645660472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68.757655374648763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2.8421709430404007E-14</v>
      </c>
      <c r="CU171" s="17">
        <f>CT171*VLOOKUP('Données projet'!$B$13,Paramètres!$A$1:$I$89,3,0)*VLOOKUP('Données projet'!$B$13,Paramètres!$A$1:$I$89,5,0)</f>
        <v>2.4829205358400945E-14</v>
      </c>
      <c r="CV171" s="13">
        <f t="shared" si="173"/>
        <v>4.3867331143352915E-13</v>
      </c>
      <c r="CW171" s="20">
        <f t="shared" si="174"/>
        <v>8.0726688341261168E-13</v>
      </c>
      <c r="CX171" s="59">
        <f t="shared" si="122"/>
        <v>288.77806970704626</v>
      </c>
      <c r="CY171" s="59">
        <f ca="1">AVERAGE(OFFSET($CX$3,0,0,'Données projet'!$E$13+1,1))-AVERAGE(OFFSET($H$3,0,0,'Données projet'!$E$13+1,1))</f>
        <v>280.59827778697775</v>
      </c>
      <c r="CZ171" s="59">
        <f t="shared" si="150"/>
        <v>270.86588231964726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>
        <f>EXP(-LN(2)/35)*DF170+(1-EXP(-LN(2)/35))/(LN(2)/35)*DB171*DC171*VLOOKUP('Données projet'!$B$13,Paramètres!$A$1:$I$89,3,0)*0.475*44/12</f>
        <v>5.7737355043233585</v>
      </c>
      <c r="DG171" s="21">
        <f>EXP(-LN(2)/25)*DG170+(1-EXP(-LN(2)/25))/(LN(2)/25)*Calculateur!DB171*Calculateur!DD171*VLOOKUP('Données projet'!$B$13,Paramètres!$A$1:$I$89,3,0)*0.475*44/12</f>
        <v>3.1814077844849136</v>
      </c>
      <c r="DH171" s="21">
        <f>EXP(-LN(2)/2)*DH170+(1-EXP(-LN(2)/2))/(LN(2)/2)*DB171*DE171*VLOOKUP('Données projet'!$B$13,Paramètres!$A$1:$I$89,3,0)*0.475*44/12</f>
        <v>2.5833311179114914E-12</v>
      </c>
      <c r="DI171" s="22">
        <f t="shared" si="175"/>
        <v>8.9551432888108558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68.757655374648763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>
        <f>DO171*VLOOKUP('Données projet'!$B$14,Paramètres!$A$1:$I$89,3,0)*VLOOKUP('Données projet'!$B$14,Paramètres!$A$1:$I$89,5,0)</f>
        <v>0</v>
      </c>
      <c r="DQ171" s="13" t="e">
        <f t="shared" si="176"/>
        <v>#NUM!</v>
      </c>
      <c r="DR171" s="20" t="e">
        <f t="shared" si="177"/>
        <v>#NUM!</v>
      </c>
      <c r="DS171" s="59" t="e">
        <f t="shared" si="125"/>
        <v>#NUM!</v>
      </c>
      <c r="DT171" s="59">
        <f ca="1">AVERAGE(OFFSET($DS$3,0,0,'Données projet'!$E$14+1,1))-AVERAGE(OFFSET($H$3,0,0,'Données projet'!$E$14+1,1))</f>
        <v>211.42385430331873</v>
      </c>
      <c r="DU171" s="59">
        <f t="shared" si="152"/>
        <v>146.84623106782686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>
        <f>EXP(-LN(2)/35)*EA170+(1-EXP(-LN(2)/35))/(LN(2)/35)*DW171*DX171*VLOOKUP('Données projet'!$B$14,Paramètres!$A$1:$I$89,3,0)*0.475*44/12</f>
        <v>8.4931523308884778</v>
      </c>
      <c r="EB171" s="21">
        <f>EXP(-LN(2)/25)*EB170+(1-EXP(-LN(2)/25))/(LN(2)/25)*Calculateur!DW171*Calculateur!DY171*VLOOKUP('Données projet'!$B$14,Paramètres!$A$1:$I$89,3,0)*0.475*44/12</f>
        <v>5.8597061513123618</v>
      </c>
      <c r="EC171" s="21">
        <f>EXP(-LN(2)/2)*EC170+(1-EXP(-LN(2)/2))/(LN(2)/2)*DW171*DZ171*VLOOKUP('Données projet'!$B$14,Paramètres!$A$1:$I$89,3,0)*0.475*44/12</f>
        <v>3.095667946387926E-7</v>
      </c>
      <c r="ED171" s="22">
        <f t="shared" si="178"/>
        <v>14.352858791767636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68.757655374648763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-9.9475983006414026E-14</v>
      </c>
      <c r="EK171" s="17">
        <f>EJ171*VLOOKUP('Données projet'!$B$15,Paramètres!$A$1:$I$89,3,0)*VLOOKUP('Données projet'!$B$15,Paramètres!$A$1:$I$89,5,0)</f>
        <v>-1.0707594810810407E-13</v>
      </c>
      <c r="EL171" s="13" t="e">
        <f t="shared" si="179"/>
        <v>#NUM!</v>
      </c>
      <c r="EM171" s="20" t="e">
        <f t="shared" si="180"/>
        <v>#NUM!</v>
      </c>
      <c r="EN171" s="59" t="e">
        <f t="shared" si="128"/>
        <v>#NUM!</v>
      </c>
      <c r="EO171" s="59">
        <f ca="1">AVERAGE(OFFSET($EN$3,0,0,'Données projet'!$E$15+1,1))-AVERAGE(OFFSET($H$3,0,0,'Données projet'!$E$15+1,1))</f>
        <v>212.00478362779876</v>
      </c>
      <c r="EP171" s="59">
        <f t="shared" si="154"/>
        <v>133.62262474506707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>
        <f>EXP(-LN(2)/35)*EV170+(1-EXP(-LN(2)/35))/(LN(2)/35)*ER171*ES171*VLOOKUP('Données projet'!$B$15,Paramètres!$A$1:$I$89,3,0)*0.475*44/12</f>
        <v>6.0533654786707753</v>
      </c>
      <c r="EW171" s="21">
        <f>EXP(-LN(2)/25)*EW170+(1-EXP(-LN(2)/25))/(LN(2)/25)*Calculateur!ER171*Calculateur!ET171*VLOOKUP('Données projet'!$B$15,Paramètres!$A$1:$I$89,3,0)*0.475*44/12</f>
        <v>5.4095520070040752</v>
      </c>
      <c r="EX171" s="21">
        <f>EXP(-LN(2)/2)*EX170+(1-EXP(-LN(2)/2))/(LN(2)/2)*ER171*EU171*VLOOKUP('Données projet'!$B$15,Paramètres!$A$1:$I$89,3,0)*0.475*44/12</f>
        <v>1.8737413196508851E-6</v>
      </c>
      <c r="EY171" s="22">
        <f t="shared" si="181"/>
        <v>11.462919359416171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68.757655374648763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-9.9475983006414026E-14</v>
      </c>
      <c r="FF171" s="17">
        <f>FE171*VLOOKUP('Données projet'!$B$16,Paramètres!$A$1:$I$89,3,0)*VLOOKUP('Données projet'!$B$16,Paramètres!$A$1:$I$89,5,0)</f>
        <v>-9.6213170763803652E-14</v>
      </c>
      <c r="FG171" s="13" t="e">
        <f t="shared" si="182"/>
        <v>#NUM!</v>
      </c>
      <c r="FH171" s="20" t="e">
        <f t="shared" si="183"/>
        <v>#NUM!</v>
      </c>
      <c r="FI171" s="59" t="e">
        <f t="shared" si="131"/>
        <v>#NUM!</v>
      </c>
      <c r="FJ171" s="59">
        <f ca="1">AVERAGE(OFFSET($FI$3,0,0,'Données projet'!$E$16+1,1))-AVERAGE(OFFSET($H$3,0,0,'Données projet'!$E$16+1,1))</f>
        <v>196.65742339093146</v>
      </c>
      <c r="FK171" s="59">
        <f t="shared" si="156"/>
        <v>125.41980634506001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>
        <f>EXP(-LN(2)/35)*FQ170+(1-EXP(-LN(2)/35))/(LN(2)/35)*FM171*FN171*VLOOKUP('Données projet'!$B$16,Paramètres!$A$1:$I$89,3,0)*0.475*44/12</f>
        <v>5.4392559373563509</v>
      </c>
      <c r="FR171" s="21">
        <f>EXP(-LN(2)/25)*FR170+(1-EXP(-LN(2)/25))/(LN(2)/25)*Calculateur!FM171*Calculateur!FO171*VLOOKUP('Données projet'!$B$16,Paramètres!$A$1:$I$89,3,0)*0.475*44/12</f>
        <v>4.8607568758587361</v>
      </c>
      <c r="FS171" s="21">
        <f>EXP(-LN(2)/2)*FS170+(1-EXP(-LN(2)/2))/(LN(2)/2)*FM171*FP171*VLOOKUP('Données projet'!$B$16,Paramètres!$A$1:$I$89,3,0)*0.475*44/12</f>
        <v>1.6836516205558634E-6</v>
      </c>
      <c r="FT171" s="22">
        <f t="shared" si="184"/>
        <v>10.300014496866707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68.757655374648763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68.757655374648763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>
      <c r="A172" s="10">
        <f t="shared" si="161"/>
        <v>169</v>
      </c>
      <c r="B172" s="73">
        <f>'Scénario référence'!$B$16*5+'Scénario référence'!$B$17*0+'Scénario référence'!$B$18*5</f>
        <v>4.6999999999999993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9.016488000000022</v>
      </c>
      <c r="D172" s="11">
        <f t="shared" si="140"/>
        <v>3.2167930329401204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21.865274022274029</v>
      </c>
      <c r="H172" s="67">
        <f t="shared" si="110"/>
        <v>209.03963113237077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68.779207276432132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-2.2737367544323206E-13</v>
      </c>
      <c r="O172" s="13">
        <f>N172*VLOOKUP('Données projet'!$B$9,Paramètres!$A$1:$I$89,3,0)*VLOOKUP('Données projet'!$B$9,Paramètres!$A$1:$I$89,5,0)</f>
        <v>-1.3596945791505279E-13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366.93249569585623</v>
      </c>
      <c r="T172" s="59">
        <f t="shared" si="142"/>
        <v>272.47262353368501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26.30108802556699</v>
      </c>
      <c r="AA172" s="21">
        <f>EXP(-LN(2)/25)*AA171+(1-EXP(-LN(2)/25))/(LN(2)/25)*Calculateur!V172*Calculateur!X172*VLOOKUP('Données projet'!$B$9,Paramètres!$A$1:$I$89,3,0)*0.475*44/12</f>
        <v>4.3872900020065337</v>
      </c>
      <c r="AB172" s="21">
        <f>EXP(-LN(2)/2)*AB171+(1-EXP(-LN(2)/2))/(LN(2)/2)*V172*Y172*VLOOKUP('Données projet'!$B$9,Paramètres!$A$1:$I$89,3,0)*0.475*44/12</f>
        <v>2.8424106896796688E-12</v>
      </c>
      <c r="AC172" s="22">
        <f t="shared" si="163"/>
        <v>30.688378027576366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68.779207276432132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1.1368683772161603E-13</v>
      </c>
      <c r="AJ172" s="13">
        <f>AI172*VLOOKUP('Données projet'!$B$10,Paramètres!$A$1:$I$89,3,0)*VLOOKUP('Données projet'!$B$10,Paramètres!$A$1:$I$89,5,0)</f>
        <v>5.3205440053716299E-14</v>
      </c>
      <c r="AK172" s="13">
        <f t="shared" si="164"/>
        <v>8.602146238565607E-13</v>
      </c>
      <c r="AL172" s="20">
        <f t="shared" si="165"/>
        <v>1.590873277977066E-12</v>
      </c>
      <c r="AM172" s="59">
        <f t="shared" si="113"/>
        <v>288.85709334691938</v>
      </c>
      <c r="AN172" s="59">
        <f ca="1">AVERAGE(OFFSET($AM$3,0,0,'Données projet'!$E$10+1,1))-AVERAGE(OFFSET($H$3,0,0,'Données projet'!$E$10+1,1))</f>
        <v>382.89338473200229</v>
      </c>
      <c r="AO172" s="59">
        <f t="shared" si="144"/>
        <v>360.46248248971744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51.874821203178442</v>
      </c>
      <c r="AV172" s="21">
        <f>EXP(-LN(2)/25)*AV171+(1-EXP(-LN(2)/25))/(LN(2)/25)*Calculateur!AQ172*Calculateur!AS172*VLOOKUP('Données projet'!$B$10,Paramètres!$A$1:$I$89,3,0)*0.475*44/12</f>
        <v>9.234418053276233</v>
      </c>
      <c r="AW172" s="21">
        <f>EXP(-LN(2)/2)*AW171+(1-EXP(-LN(2)/2))/(LN(2)/2)*AQ172*AT172*VLOOKUP('Données projet'!$B$10,Paramètres!$A$1:$I$89,3,0)*0.475*44/12</f>
        <v>9.1334981924010488E-9</v>
      </c>
      <c r="AX172" s="21">
        <f t="shared" si="166"/>
        <v>61.109239265588172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68.779207276432132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>
        <f>BD172*VLOOKUP('Données projet'!$B$11,Paramètres!$A$1:$I$89,3,0)*VLOOKUP('Données projet'!$B$11,Paramètres!$A$1:$I$89,5,0)</f>
        <v>0</v>
      </c>
      <c r="BF172" s="13" t="e">
        <f t="shared" si="167"/>
        <v>#NUM!</v>
      </c>
      <c r="BG172" s="20" t="e">
        <f t="shared" si="168"/>
        <v>#NUM!</v>
      </c>
      <c r="BH172" s="59" t="e">
        <f t="shared" si="116"/>
        <v>#NUM!</v>
      </c>
      <c r="BI172" s="59">
        <f ca="1">AVERAGE(OFFSET($BH$3,0,0,'Données projet'!$E$11+1,1))-AVERAGE(OFFSET($H$3,0,0,'Données projet'!$E$11+1,1))</f>
        <v>225.75484198243581</v>
      </c>
      <c r="BJ172" s="59">
        <f t="shared" si="146"/>
        <v>199.49566488421061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1.890750756231329</v>
      </c>
      <c r="BQ172" s="21">
        <f>EXP(-LN(2)/25)*BQ171+(1-EXP(-LN(2)/25))/(LN(2)/25)*Calculateur!BL172*Calculateur!BN172*VLOOKUP('Données projet'!$B$11,Paramètres!$A$1:$I$89,3,0)*0.475*44/12</f>
        <v>5.9718282765897808</v>
      </c>
      <c r="BR172" s="21">
        <f>EXP(-LN(2)/2)*BR171+(1-EXP(-LN(2)/2))/(LN(2)/2)*BL172*BO172*VLOOKUP('Données projet'!$B$11,Paramètres!$A$1:$I$89,3,0)*0.475*44/12</f>
        <v>0</v>
      </c>
      <c r="BS172" s="22">
        <f t="shared" si="169"/>
        <v>7.8625790328211096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68.779207276432132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1.1368683772161603E-13</v>
      </c>
      <c r="BZ172" s="13">
        <f>BY172*VLOOKUP('Données projet'!$B$12,Paramètres!$A$1:$I$89,3,0)*VLOOKUP('Données projet'!$B$12,Paramètres!$A$1:$I$89,5,0)</f>
        <v>1.0818439477588981E-13</v>
      </c>
      <c r="CA172" s="13">
        <f t="shared" si="170"/>
        <v>1.6104228458716316E-12</v>
      </c>
      <c r="CB172" s="20">
        <f t="shared" si="171"/>
        <v>2.9932409441277661E-12</v>
      </c>
      <c r="CC172" s="59">
        <f t="shared" si="119"/>
        <v>288.85709334692081</v>
      </c>
      <c r="CD172" s="59">
        <f ca="1">AVERAGE(OFFSET($CC$3,0,0,'Données projet'!$E$12+1,1))-AVERAGE(OFFSET($H$3,0,0,'Données projet'!$E$12+1,1))</f>
        <v>413.9352601863377</v>
      </c>
      <c r="CE172" s="59">
        <f t="shared" si="148"/>
        <v>255.13997349799286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17.427740391006424</v>
      </c>
      <c r="CL172" s="21">
        <f>EXP(-LN(2)/25)*CL171+(1-EXP(-LN(2)/25))/(LN(2)/25)*Calculateur!CG172*Calculateur!CI172*VLOOKUP('Données projet'!$B$12,Paramètres!$A$1:$I$89,3,0)*0.475*44/12</f>
        <v>11.880896079960213</v>
      </c>
      <c r="CM172" s="21">
        <f>EXP(-LN(2)/2)*CM171+(1-EXP(-LN(2)/2))/(LN(2)/2)*CG172*CJ172*VLOOKUP('Données projet'!$B$12,Paramètres!$A$1:$I$89,3,0)*0.475*44/12</f>
        <v>2.7332421575139236E-6</v>
      </c>
      <c r="CN172" s="22">
        <f t="shared" si="172"/>
        <v>29.308639204208795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68.779207276432132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2.8421709430404007E-14</v>
      </c>
      <c r="CU172" s="17">
        <f>CT172*VLOOKUP('Données projet'!$B$13,Paramètres!$A$1:$I$89,3,0)*VLOOKUP('Données projet'!$B$13,Paramètres!$A$1:$I$89,5,0)</f>
        <v>2.4829205358400945E-14</v>
      </c>
      <c r="CV172" s="13">
        <f t="shared" si="173"/>
        <v>4.3867331143352915E-13</v>
      </c>
      <c r="CW172" s="20">
        <f t="shared" si="174"/>
        <v>8.0726688341261168E-13</v>
      </c>
      <c r="CX172" s="59">
        <f t="shared" si="122"/>
        <v>288.85709334691859</v>
      </c>
      <c r="CY172" s="59">
        <f ca="1">AVERAGE(OFFSET($CX$3,0,0,'Données projet'!$E$13+1,1))-AVERAGE(OFFSET($H$3,0,0,'Données projet'!$E$13+1,1))</f>
        <v>280.59827778697775</v>
      </c>
      <c r="CZ172" s="59">
        <f t="shared" si="150"/>
        <v>270.86588231964726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>
        <f>EXP(-LN(2)/35)*DF171+(1-EXP(-LN(2)/35))/(LN(2)/35)*DB172*DC172*VLOOKUP('Données projet'!$B$13,Paramètres!$A$1:$I$89,3,0)*0.475*44/12</f>
        <v>5.6605160727145032</v>
      </c>
      <c r="DG172" s="21">
        <f>EXP(-LN(2)/25)*DG171+(1-EXP(-LN(2)/25))/(LN(2)/25)*Calculateur!DB172*Calculateur!DD172*VLOOKUP('Données projet'!$B$13,Paramètres!$A$1:$I$89,3,0)*0.475*44/12</f>
        <v>3.0944120213152093</v>
      </c>
      <c r="DH172" s="21">
        <f>EXP(-LN(2)/2)*DH171+(1-EXP(-LN(2)/2))/(LN(2)/2)*DB172*DE172*VLOOKUP('Données projet'!$B$13,Paramètres!$A$1:$I$89,3,0)*0.475*44/12</f>
        <v>1.8266909515254401E-12</v>
      </c>
      <c r="DI172" s="22">
        <f t="shared" si="175"/>
        <v>8.7549280940315377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68.779207276432132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>
        <f>DO172*VLOOKUP('Données projet'!$B$14,Paramètres!$A$1:$I$89,3,0)*VLOOKUP('Données projet'!$B$14,Paramètres!$A$1:$I$89,5,0)</f>
        <v>0</v>
      </c>
      <c r="DQ172" s="13" t="e">
        <f t="shared" si="176"/>
        <v>#NUM!</v>
      </c>
      <c r="DR172" s="20" t="e">
        <f t="shared" si="177"/>
        <v>#NUM!</v>
      </c>
      <c r="DS172" s="59" t="e">
        <f t="shared" si="125"/>
        <v>#NUM!</v>
      </c>
      <c r="DT172" s="59">
        <f ca="1">AVERAGE(OFFSET($DS$3,0,0,'Données projet'!$E$14+1,1))-AVERAGE(OFFSET($H$3,0,0,'Données projet'!$E$14+1,1))</f>
        <v>211.42385430331873</v>
      </c>
      <c r="DU172" s="59">
        <f t="shared" si="152"/>
        <v>146.84623106782686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>
        <f>EXP(-LN(2)/35)*EA171+(1-EXP(-LN(2)/35))/(LN(2)/35)*DW172*DX172*VLOOKUP('Données projet'!$B$14,Paramètres!$A$1:$I$89,3,0)*0.475*44/12</f>
        <v>8.3266067939911625</v>
      </c>
      <c r="EB172" s="21">
        <f>EXP(-LN(2)/25)*EB171+(1-EXP(-LN(2)/25))/(LN(2)/25)*Calculateur!DW172*Calculateur!DY172*VLOOKUP('Données projet'!$B$14,Paramètres!$A$1:$I$89,3,0)*0.475*44/12</f>
        <v>5.6994721784561717</v>
      </c>
      <c r="EC172" s="21">
        <f>EXP(-LN(2)/2)*EC171+(1-EXP(-LN(2)/2))/(LN(2)/2)*DW172*DZ172*VLOOKUP('Données projet'!$B$14,Paramètres!$A$1:$I$89,3,0)*0.475*44/12</f>
        <v>2.1889677971927361E-7</v>
      </c>
      <c r="ED172" s="22">
        <f t="shared" si="178"/>
        <v>14.026079191344113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68.779207276432132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-9.9475983006414026E-14</v>
      </c>
      <c r="EK172" s="17">
        <f>EJ172*VLOOKUP('Données projet'!$B$15,Paramètres!$A$1:$I$89,3,0)*VLOOKUP('Données projet'!$B$15,Paramètres!$A$1:$I$89,5,0)</f>
        <v>-1.0707594810810407E-13</v>
      </c>
      <c r="EL172" s="13" t="e">
        <f t="shared" si="179"/>
        <v>#NUM!</v>
      </c>
      <c r="EM172" s="20" t="e">
        <f t="shared" si="180"/>
        <v>#NUM!</v>
      </c>
      <c r="EN172" s="59" t="e">
        <f t="shared" si="128"/>
        <v>#NUM!</v>
      </c>
      <c r="EO172" s="59">
        <f ca="1">AVERAGE(OFFSET($EN$3,0,0,'Données projet'!$E$15+1,1))-AVERAGE(OFFSET($H$3,0,0,'Données projet'!$E$15+1,1))</f>
        <v>212.00478362779876</v>
      </c>
      <c r="EP172" s="59">
        <f t="shared" si="154"/>
        <v>133.62262474506707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>
        <f>EXP(-LN(2)/35)*EV171+(1-EXP(-LN(2)/35))/(LN(2)/35)*ER172*ES172*VLOOKUP('Données projet'!$B$15,Paramètres!$A$1:$I$89,3,0)*0.475*44/12</f>
        <v>5.9346626738224098</v>
      </c>
      <c r="EW172" s="21">
        <f>EXP(-LN(2)/25)*EW171+(1-EXP(-LN(2)/25))/(LN(2)/25)*Calculateur!ER172*Calculateur!ET172*VLOOKUP('Données projet'!$B$15,Paramètres!$A$1:$I$89,3,0)*0.475*44/12</f>
        <v>5.2616275228965721</v>
      </c>
      <c r="EX172" s="21">
        <f>EXP(-LN(2)/2)*EX171+(1-EXP(-LN(2)/2))/(LN(2)/2)*ER172*EU172*VLOOKUP('Données projet'!$B$15,Paramètres!$A$1:$I$89,3,0)*0.475*44/12</f>
        <v>1.3249351933145714E-6</v>
      </c>
      <c r="EY172" s="22">
        <f t="shared" si="181"/>
        <v>11.196291521654175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68.779207276432132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-9.9475983006414026E-14</v>
      </c>
      <c r="FF172" s="17">
        <f>FE172*VLOOKUP('Données projet'!$B$16,Paramètres!$A$1:$I$89,3,0)*VLOOKUP('Données projet'!$B$16,Paramètres!$A$1:$I$89,5,0)</f>
        <v>-9.6213170763803652E-14</v>
      </c>
      <c r="FG172" s="13" t="e">
        <f t="shared" si="182"/>
        <v>#NUM!</v>
      </c>
      <c r="FH172" s="20" t="e">
        <f t="shared" si="183"/>
        <v>#NUM!</v>
      </c>
      <c r="FI172" s="59" t="e">
        <f t="shared" si="131"/>
        <v>#NUM!</v>
      </c>
      <c r="FJ172" s="59">
        <f ca="1">AVERAGE(OFFSET($FI$3,0,0,'Données projet'!$E$16+1,1))-AVERAGE(OFFSET($H$3,0,0,'Données projet'!$E$16+1,1))</f>
        <v>196.65742339093146</v>
      </c>
      <c r="FK172" s="59">
        <f t="shared" si="156"/>
        <v>125.41980634506001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>
        <f>EXP(-LN(2)/35)*FQ171+(1-EXP(-LN(2)/35))/(LN(2)/35)*FM172*FN172*VLOOKUP('Données projet'!$B$16,Paramètres!$A$1:$I$89,3,0)*0.475*44/12</f>
        <v>5.3325954460433271</v>
      </c>
      <c r="FR172" s="21">
        <f>EXP(-LN(2)/25)*FR171+(1-EXP(-LN(2)/25))/(LN(2)/25)*Calculateur!FM172*Calculateur!FO172*VLOOKUP('Données projet'!$B$16,Paramètres!$A$1:$I$89,3,0)*0.475*44/12</f>
        <v>4.7278392234722846</v>
      </c>
      <c r="FS172" s="21">
        <f>EXP(-LN(2)/2)*FS171+(1-EXP(-LN(2)/2))/(LN(2)/2)*FM172*FP172*VLOOKUP('Données projet'!$B$16,Paramètres!$A$1:$I$89,3,0)*0.475*44/12</f>
        <v>1.190521478050771E-6</v>
      </c>
      <c r="FT172" s="22">
        <f t="shared" si="184"/>
        <v>10.06043586003709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68.779207276432132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68.779207276432132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>
      <c r="A173" s="10">
        <f t="shared" si="161"/>
        <v>170</v>
      </c>
      <c r="B173" s="73">
        <f>'Scénario référence'!$B$16*5+'Scénario référence'!$B$17*0+'Scénario référence'!$B$18*5</f>
        <v>4.6999999999999993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9.0698400000000223</v>
      </c>
      <c r="D173" s="11">
        <f t="shared" si="140"/>
        <v>3.233605941963309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21.897771453821612</v>
      </c>
      <c r="H173" s="67">
        <f t="shared" si="110"/>
        <v>209.16183501558615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68.800385300902377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-2.2737367544323206E-13</v>
      </c>
      <c r="O173" s="13">
        <f>N173*VLOOKUP('Données projet'!$B$9,Paramètres!$A$1:$I$89,3,0)*VLOOKUP('Données projet'!$B$9,Paramètres!$A$1:$I$89,5,0)</f>
        <v>-1.3596945791505279E-13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366.93249569585623</v>
      </c>
      <c r="T173" s="59">
        <f t="shared" si="142"/>
        <v>272.47262353368501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25.785339731465292</v>
      </c>
      <c r="AA173" s="21">
        <f>EXP(-LN(2)/25)*AA172+(1-EXP(-LN(2)/25))/(LN(2)/25)*Calculateur!V173*Calculateur!X173*VLOOKUP('Données projet'!$B$9,Paramètres!$A$1:$I$89,3,0)*0.475*44/12</f>
        <v>4.2673193261841114</v>
      </c>
      <c r="AB173" s="21">
        <f>EXP(-LN(2)/2)*AB172+(1-EXP(-LN(2)/2))/(LN(2)/2)*V173*Y173*VLOOKUP('Données projet'!$B$9,Paramètres!$A$1:$I$89,3,0)*0.475*44/12</f>
        <v>2.0098878735896252E-12</v>
      </c>
      <c r="AC173" s="22">
        <f t="shared" si="163"/>
        <v>30.052659057651415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68.800385300902377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1.1368683772161603E-13</v>
      </c>
      <c r="AJ173" s="13">
        <f>AI173*VLOOKUP('Données projet'!$B$10,Paramètres!$A$1:$I$89,3,0)*VLOOKUP('Données projet'!$B$10,Paramètres!$A$1:$I$89,5,0)</f>
        <v>5.3205440053716299E-14</v>
      </c>
      <c r="AK173" s="13">
        <f t="shared" si="164"/>
        <v>8.602146238565607E-13</v>
      </c>
      <c r="AL173" s="20">
        <f t="shared" si="165"/>
        <v>1.590873277977066E-12</v>
      </c>
      <c r="AM173" s="59">
        <f t="shared" si="113"/>
        <v>288.93474610331032</v>
      </c>
      <c r="AN173" s="59">
        <f ca="1">AVERAGE(OFFSET($AM$3,0,0,'Données projet'!$E$10+1,1))-AVERAGE(OFFSET($H$3,0,0,'Données projet'!$E$10+1,1))</f>
        <v>382.89338473200229</v>
      </c>
      <c r="AO173" s="59">
        <f t="shared" si="144"/>
        <v>360.46248248971744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50.857587599900803</v>
      </c>
      <c r="AV173" s="21">
        <f>EXP(-LN(2)/25)*AV172+(1-EXP(-LN(2)/25))/(LN(2)/25)*Calculateur!AQ173*Calculateur!AS173*VLOOKUP('Données projet'!$B$10,Paramètres!$A$1:$I$89,3,0)*0.475*44/12</f>
        <v>8.9819024059924537</v>
      </c>
      <c r="AW173" s="21">
        <f>EXP(-LN(2)/2)*AW172+(1-EXP(-LN(2)/2))/(LN(2)/2)*AQ173*AT173*VLOOKUP('Données projet'!$B$10,Paramètres!$A$1:$I$89,3,0)*0.475*44/12</f>
        <v>6.4583585078018558E-9</v>
      </c>
      <c r="AX173" s="21">
        <f t="shared" si="166"/>
        <v>59.839490012351611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68.800385300902377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>
        <f>BD173*VLOOKUP('Données projet'!$B$11,Paramètres!$A$1:$I$89,3,0)*VLOOKUP('Données projet'!$B$11,Paramètres!$A$1:$I$89,5,0)</f>
        <v>0</v>
      </c>
      <c r="BF173" s="13" t="e">
        <f t="shared" si="167"/>
        <v>#NUM!</v>
      </c>
      <c r="BG173" s="20" t="e">
        <f t="shared" si="168"/>
        <v>#NUM!</v>
      </c>
      <c r="BH173" s="59" t="e">
        <f t="shared" si="116"/>
        <v>#NUM!</v>
      </c>
      <c r="BI173" s="59">
        <f ca="1">AVERAGE(OFFSET($BH$3,0,0,'Données projet'!$E$11+1,1))-AVERAGE(OFFSET($H$3,0,0,'Données projet'!$E$11+1,1))</f>
        <v>225.75484198243581</v>
      </c>
      <c r="BJ173" s="59">
        <f t="shared" si="146"/>
        <v>199.49566488421061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1.8536742871457206</v>
      </c>
      <c r="BQ173" s="21">
        <f>EXP(-LN(2)/25)*BQ172+(1-EXP(-LN(2)/25))/(LN(2)/25)*Calculateur!BL173*Calculateur!BN173*VLOOKUP('Données projet'!$B$11,Paramètres!$A$1:$I$89,3,0)*0.475*44/12</f>
        <v>5.808528318321633</v>
      </c>
      <c r="BR173" s="21">
        <f>EXP(-LN(2)/2)*BR172+(1-EXP(-LN(2)/2))/(LN(2)/2)*BL173*BO173*VLOOKUP('Données projet'!$B$11,Paramètres!$A$1:$I$89,3,0)*0.475*44/12</f>
        <v>0</v>
      </c>
      <c r="BS173" s="22">
        <f t="shared" si="169"/>
        <v>7.6622026054673533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68.800385300902377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1.1368683772161603E-13</v>
      </c>
      <c r="BZ173" s="13">
        <f>BY173*VLOOKUP('Données projet'!$B$12,Paramètres!$A$1:$I$89,3,0)*VLOOKUP('Données projet'!$B$12,Paramètres!$A$1:$I$89,5,0)</f>
        <v>1.0818439477588981E-13</v>
      </c>
      <c r="CA173" s="13">
        <f t="shared" si="170"/>
        <v>1.6104228458716316E-12</v>
      </c>
      <c r="CB173" s="20">
        <f t="shared" si="171"/>
        <v>2.9932409441277661E-12</v>
      </c>
      <c r="CC173" s="59">
        <f t="shared" si="119"/>
        <v>288.93474610331174</v>
      </c>
      <c r="CD173" s="59">
        <f ca="1">AVERAGE(OFFSET($CC$3,0,0,'Données projet'!$E$12+1,1))-AVERAGE(OFFSET($H$3,0,0,'Données projet'!$E$12+1,1))</f>
        <v>413.9352601863377</v>
      </c>
      <c r="CE173" s="59">
        <f t="shared" si="148"/>
        <v>255.13997349799286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17.085993031810812</v>
      </c>
      <c r="CL173" s="21">
        <f>EXP(-LN(2)/25)*CL172+(1-EXP(-LN(2)/25))/(LN(2)/25)*Calculateur!CG173*Calculateur!CI173*VLOOKUP('Données projet'!$B$12,Paramètres!$A$1:$I$89,3,0)*0.475*44/12</f>
        <v>11.556012351864529</v>
      </c>
      <c r="CM173" s="21">
        <f>EXP(-LN(2)/2)*CM172+(1-EXP(-LN(2)/2))/(LN(2)/2)*CG173*CJ173*VLOOKUP('Données projet'!$B$12,Paramètres!$A$1:$I$89,3,0)*0.475*44/12</f>
        <v>1.932694064203045E-6</v>
      </c>
      <c r="CN173" s="22">
        <f t="shared" si="172"/>
        <v>28.642007316369405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68.800385300902377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2.8421709430404007E-14</v>
      </c>
      <c r="CU173" s="17">
        <f>CT173*VLOOKUP('Données projet'!$B$13,Paramètres!$A$1:$I$89,3,0)*VLOOKUP('Données projet'!$B$13,Paramètres!$A$1:$I$89,5,0)</f>
        <v>2.4829205358400945E-14</v>
      </c>
      <c r="CV173" s="13">
        <f t="shared" si="173"/>
        <v>4.3867331143352915E-13</v>
      </c>
      <c r="CW173" s="20">
        <f t="shared" si="174"/>
        <v>8.0726688341261168E-13</v>
      </c>
      <c r="CX173" s="59">
        <f t="shared" si="122"/>
        <v>288.93474610330952</v>
      </c>
      <c r="CY173" s="59">
        <f ca="1">AVERAGE(OFFSET($CX$3,0,0,'Données projet'!$E$13+1,1))-AVERAGE(OFFSET($H$3,0,0,'Données projet'!$E$13+1,1))</f>
        <v>280.59827778697775</v>
      </c>
      <c r="CZ173" s="59">
        <f t="shared" si="150"/>
        <v>270.86588231964726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>
        <f>EXP(-LN(2)/35)*DF172+(1-EXP(-LN(2)/35))/(LN(2)/35)*DB173*DC173*VLOOKUP('Données projet'!$B$13,Paramètres!$A$1:$I$89,3,0)*0.475*44/12</f>
        <v>5.5495168051024626</v>
      </c>
      <c r="DG173" s="21">
        <f>EXP(-LN(2)/25)*DG172+(1-EXP(-LN(2)/25))/(LN(2)/25)*Calculateur!DB173*Calculateur!DD173*VLOOKUP('Données projet'!$B$13,Paramètres!$A$1:$I$89,3,0)*0.475*44/12</f>
        <v>3.0097951618642891</v>
      </c>
      <c r="DH173" s="21">
        <f>EXP(-LN(2)/2)*DH172+(1-EXP(-LN(2)/2))/(LN(2)/2)*DB173*DE173*VLOOKUP('Données projet'!$B$13,Paramètres!$A$1:$I$89,3,0)*0.475*44/12</f>
        <v>1.2916655589557457E-12</v>
      </c>
      <c r="DI173" s="22">
        <f t="shared" si="175"/>
        <v>8.5593119669680426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68.800385300902377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>
        <f>DO173*VLOOKUP('Données projet'!$B$14,Paramètres!$A$1:$I$89,3,0)*VLOOKUP('Données projet'!$B$14,Paramètres!$A$1:$I$89,5,0)</f>
        <v>0</v>
      </c>
      <c r="DQ173" s="13" t="e">
        <f t="shared" si="176"/>
        <v>#NUM!</v>
      </c>
      <c r="DR173" s="20" t="e">
        <f t="shared" si="177"/>
        <v>#NUM!</v>
      </c>
      <c r="DS173" s="59" t="e">
        <f t="shared" si="125"/>
        <v>#NUM!</v>
      </c>
      <c r="DT173" s="59">
        <f ca="1">AVERAGE(OFFSET($DS$3,0,0,'Données projet'!$E$14+1,1))-AVERAGE(OFFSET($H$3,0,0,'Données projet'!$E$14+1,1))</f>
        <v>211.42385430331873</v>
      </c>
      <c r="DU173" s="59">
        <f t="shared" si="152"/>
        <v>146.84623106782686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>
        <f>EXP(-LN(2)/35)*EA172+(1-EXP(-LN(2)/35))/(LN(2)/35)*DW173*DX173*VLOOKUP('Données projet'!$B$14,Paramètres!$A$1:$I$89,3,0)*0.475*44/12</f>
        <v>8.1633271134896574</v>
      </c>
      <c r="EB173" s="21">
        <f>EXP(-LN(2)/25)*EB172+(1-EXP(-LN(2)/25))/(LN(2)/25)*Calculateur!DW173*Calculateur!DY173*VLOOKUP('Données projet'!$B$14,Paramètres!$A$1:$I$89,3,0)*0.475*44/12</f>
        <v>5.5436198120140725</v>
      </c>
      <c r="EC173" s="21">
        <f>EXP(-LN(2)/2)*EC172+(1-EXP(-LN(2)/2))/(LN(2)/2)*DW173*DZ173*VLOOKUP('Données projet'!$B$14,Paramètres!$A$1:$I$89,3,0)*0.475*44/12</f>
        <v>1.547833973193963E-7</v>
      </c>
      <c r="ED173" s="22">
        <f t="shared" si="178"/>
        <v>13.706947080287126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68.800385300902377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-9.9475983006414026E-14</v>
      </c>
      <c r="EK173" s="17">
        <f>EJ173*VLOOKUP('Données projet'!$B$15,Paramètres!$A$1:$I$89,3,0)*VLOOKUP('Données projet'!$B$15,Paramètres!$A$1:$I$89,5,0)</f>
        <v>-1.0707594810810407E-13</v>
      </c>
      <c r="EL173" s="13" t="e">
        <f t="shared" si="179"/>
        <v>#NUM!</v>
      </c>
      <c r="EM173" s="20" t="e">
        <f t="shared" si="180"/>
        <v>#NUM!</v>
      </c>
      <c r="EN173" s="59" t="e">
        <f t="shared" si="128"/>
        <v>#NUM!</v>
      </c>
      <c r="EO173" s="59">
        <f ca="1">AVERAGE(OFFSET($EN$3,0,0,'Données projet'!$E$15+1,1))-AVERAGE(OFFSET($H$3,0,0,'Données projet'!$E$15+1,1))</f>
        <v>212.00478362779876</v>
      </c>
      <c r="EP173" s="59">
        <f t="shared" si="154"/>
        <v>133.62262474506707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>
        <f>EXP(-LN(2)/35)*EV172+(1-EXP(-LN(2)/35))/(LN(2)/35)*ER173*ES173*VLOOKUP('Données projet'!$B$15,Paramètres!$A$1:$I$89,3,0)*0.475*44/12</f>
        <v>5.8182875585755589</v>
      </c>
      <c r="EW173" s="21">
        <f>EXP(-LN(2)/25)*EW172+(1-EXP(-LN(2)/25))/(LN(2)/25)*Calculateur!ER173*Calculateur!ET173*VLOOKUP('Données projet'!$B$15,Paramètres!$A$1:$I$89,3,0)*0.475*44/12</f>
        <v>5.1177480415859993</v>
      </c>
      <c r="EX173" s="21">
        <f>EXP(-LN(2)/2)*EX172+(1-EXP(-LN(2)/2))/(LN(2)/2)*ER173*EU173*VLOOKUP('Données projet'!$B$15,Paramètres!$A$1:$I$89,3,0)*0.475*44/12</f>
        <v>9.3687065982544277E-7</v>
      </c>
      <c r="EY173" s="22">
        <f t="shared" si="181"/>
        <v>10.936036537032217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68.800385300902377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-9.9475983006414026E-14</v>
      </c>
      <c r="FF173" s="17">
        <f>FE173*VLOOKUP('Données projet'!$B$16,Paramètres!$A$1:$I$89,3,0)*VLOOKUP('Données projet'!$B$16,Paramètres!$A$1:$I$89,5,0)</f>
        <v>-9.6213170763803652E-14</v>
      </c>
      <c r="FG173" s="13" t="e">
        <f t="shared" si="182"/>
        <v>#NUM!</v>
      </c>
      <c r="FH173" s="20" t="e">
        <f t="shared" si="183"/>
        <v>#NUM!</v>
      </c>
      <c r="FI173" s="59" t="e">
        <f t="shared" si="131"/>
        <v>#NUM!</v>
      </c>
      <c r="FJ173" s="59">
        <f ca="1">AVERAGE(OFFSET($FI$3,0,0,'Données projet'!$E$16+1,1))-AVERAGE(OFFSET($H$3,0,0,'Données projet'!$E$16+1,1))</f>
        <v>196.65742339093146</v>
      </c>
      <c r="FK173" s="59">
        <f t="shared" si="156"/>
        <v>125.41980634506001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>
        <f>EXP(-LN(2)/35)*FQ172+(1-EXP(-LN(2)/35))/(LN(2)/35)*FM173*FN173*VLOOKUP('Données projet'!$B$16,Paramètres!$A$1:$I$89,3,0)*0.475*44/12</f>
        <v>5.2280265019084755</v>
      </c>
      <c r="FR173" s="21">
        <f>EXP(-LN(2)/25)*FR172+(1-EXP(-LN(2)/25))/(LN(2)/25)*Calculateur!FM173*Calculateur!FO173*VLOOKUP('Données projet'!$B$16,Paramètres!$A$1:$I$89,3,0)*0.475*44/12</f>
        <v>4.5985562112801759</v>
      </c>
      <c r="FS173" s="21">
        <f>EXP(-LN(2)/2)*FS172+(1-EXP(-LN(2)/2))/(LN(2)/2)*FM173*FP173*VLOOKUP('Données projet'!$B$16,Paramètres!$A$1:$I$89,3,0)*0.475*44/12</f>
        <v>8.4182581027793169E-7</v>
      </c>
      <c r="FT173" s="22">
        <f t="shared" si="184"/>
        <v>9.8265835550144622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68.800385300902377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68.800385300902377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>
      <c r="A174" s="10">
        <f t="shared" si="161"/>
        <v>171</v>
      </c>
      <c r="B174" s="73">
        <f>'Scénario référence'!$B$16*5+'Scénario référence'!$B$17*0+'Scénario référence'!$B$18*5</f>
        <v>4.6999999999999993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9.1231920000000226</v>
      </c>
      <c r="D174" s="11">
        <f t="shared" si="140"/>
        <v>3.2504073429588138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21.930263555335319</v>
      </c>
      <c r="H174" s="67">
        <f t="shared" si="110"/>
        <v>209.28401885565333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68.821195933995028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-2.2737367544323206E-13</v>
      </c>
      <c r="O174" s="13">
        <f>N174*VLOOKUP('Données projet'!$B$9,Paramètres!$A$1:$I$89,3,0)*VLOOKUP('Données projet'!$B$9,Paramètres!$A$1:$I$89,5,0)</f>
        <v>-1.3596945791505279E-13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366.93249569585623</v>
      </c>
      <c r="T174" s="59">
        <f t="shared" si="142"/>
        <v>272.47262353368501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25.279704946835533</v>
      </c>
      <c r="AA174" s="21">
        <f>EXP(-LN(2)/25)*AA173+(1-EXP(-LN(2)/25))/(LN(2)/25)*Calculateur!V174*Calculateur!X174*VLOOKUP('Données projet'!$B$9,Paramètres!$A$1:$I$89,3,0)*0.475*44/12</f>
        <v>4.1506292548010366</v>
      </c>
      <c r="AB174" s="21">
        <f>EXP(-LN(2)/2)*AB173+(1-EXP(-LN(2)/2))/(LN(2)/2)*V174*Y174*VLOOKUP('Données projet'!$B$9,Paramètres!$A$1:$I$89,3,0)*0.475*44/12</f>
        <v>1.4212053448398344E-12</v>
      </c>
      <c r="AC174" s="22">
        <f t="shared" si="163"/>
        <v>29.43033420163799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68.821195933995028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1.1368683772161603E-13</v>
      </c>
      <c r="AJ174" s="13">
        <f>AI174*VLOOKUP('Données projet'!$B$10,Paramètres!$A$1:$I$89,3,0)*VLOOKUP('Données projet'!$B$10,Paramètres!$A$1:$I$89,5,0)</f>
        <v>5.3205440053716299E-14</v>
      </c>
      <c r="AK174" s="13">
        <f t="shared" si="164"/>
        <v>8.602146238565607E-13</v>
      </c>
      <c r="AL174" s="20">
        <f t="shared" si="165"/>
        <v>1.590873277977066E-12</v>
      </c>
      <c r="AM174" s="59">
        <f t="shared" si="113"/>
        <v>289.01105175798335</v>
      </c>
      <c r="AN174" s="59">
        <f ca="1">AVERAGE(OFFSET($AM$3,0,0,'Données projet'!$E$10+1,1))-AVERAGE(OFFSET($H$3,0,0,'Données projet'!$E$10+1,1))</f>
        <v>382.89338473200229</v>
      </c>
      <c r="AO174" s="59">
        <f t="shared" si="144"/>
        <v>360.46248248971744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49.860301327132206</v>
      </c>
      <c r="AV174" s="21">
        <f>EXP(-LN(2)/25)*AV173+(1-EXP(-LN(2)/25))/(LN(2)/25)*Calculateur!AQ174*Calculateur!AS174*VLOOKUP('Données projet'!$B$10,Paramètres!$A$1:$I$89,3,0)*0.475*44/12</f>
        <v>8.7362918123628717</v>
      </c>
      <c r="AW174" s="21">
        <f>EXP(-LN(2)/2)*AW173+(1-EXP(-LN(2)/2))/(LN(2)/2)*AQ174*AT174*VLOOKUP('Données projet'!$B$10,Paramètres!$A$1:$I$89,3,0)*0.475*44/12</f>
        <v>4.5667490962005244E-9</v>
      </c>
      <c r="AX174" s="21">
        <f t="shared" si="166"/>
        <v>58.596593144061828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68.821195933995028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>
        <f>BD174*VLOOKUP('Données projet'!$B$11,Paramètres!$A$1:$I$89,3,0)*VLOOKUP('Données projet'!$B$11,Paramètres!$A$1:$I$89,5,0)</f>
        <v>0</v>
      </c>
      <c r="BF174" s="13" t="e">
        <f t="shared" si="167"/>
        <v>#NUM!</v>
      </c>
      <c r="BG174" s="20" t="e">
        <f t="shared" si="168"/>
        <v>#NUM!</v>
      </c>
      <c r="BH174" s="59" t="e">
        <f t="shared" si="116"/>
        <v>#NUM!</v>
      </c>
      <c r="BI174" s="59">
        <f ca="1">AVERAGE(OFFSET($BH$3,0,0,'Données projet'!$E$11+1,1))-AVERAGE(OFFSET($H$3,0,0,'Données projet'!$E$11+1,1))</f>
        <v>225.75484198243581</v>
      </c>
      <c r="BJ174" s="59">
        <f t="shared" si="146"/>
        <v>199.49566488421061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1.8173248650044678</v>
      </c>
      <c r="BQ174" s="21">
        <f>EXP(-LN(2)/25)*BQ173+(1-EXP(-LN(2)/25))/(LN(2)/25)*Calculateur!BL174*Calculateur!BN174*VLOOKUP('Données projet'!$B$11,Paramètres!$A$1:$I$89,3,0)*0.475*44/12</f>
        <v>5.6496938059998989</v>
      </c>
      <c r="BR174" s="21">
        <f>EXP(-LN(2)/2)*BR173+(1-EXP(-LN(2)/2))/(LN(2)/2)*BL174*BO174*VLOOKUP('Données projet'!$B$11,Paramètres!$A$1:$I$89,3,0)*0.475*44/12</f>
        <v>0</v>
      </c>
      <c r="BS174" s="22">
        <f t="shared" si="169"/>
        <v>7.4670186710043662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68.821195933995028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1.1368683772161603E-13</v>
      </c>
      <c r="BZ174" s="13">
        <f>BY174*VLOOKUP('Données projet'!$B$12,Paramètres!$A$1:$I$89,3,0)*VLOOKUP('Données projet'!$B$12,Paramètres!$A$1:$I$89,5,0)</f>
        <v>1.0818439477588981E-13</v>
      </c>
      <c r="CA174" s="13">
        <f t="shared" si="170"/>
        <v>1.6104228458716316E-12</v>
      </c>
      <c r="CB174" s="20">
        <f t="shared" si="171"/>
        <v>2.9932409441277661E-12</v>
      </c>
      <c r="CC174" s="59">
        <f t="shared" si="119"/>
        <v>289.01105175798477</v>
      </c>
      <c r="CD174" s="59">
        <f ca="1">AVERAGE(OFFSET($CC$3,0,0,'Données projet'!$E$12+1,1))-AVERAGE(OFFSET($H$3,0,0,'Données projet'!$E$12+1,1))</f>
        <v>413.9352601863377</v>
      </c>
      <c r="CE174" s="59">
        <f t="shared" si="148"/>
        <v>255.13997349799286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16.75094712988372</v>
      </c>
      <c r="CL174" s="21">
        <f>EXP(-LN(2)/25)*CL173+(1-EXP(-LN(2)/25))/(LN(2)/25)*Calculateur!CG174*Calculateur!CI174*VLOOKUP('Données projet'!$B$12,Paramètres!$A$1:$I$89,3,0)*0.475*44/12</f>
        <v>11.240012586398516</v>
      </c>
      <c r="CM174" s="21">
        <f>EXP(-LN(2)/2)*CM173+(1-EXP(-LN(2)/2))/(LN(2)/2)*CG174*CJ174*VLOOKUP('Données projet'!$B$12,Paramètres!$A$1:$I$89,3,0)*0.475*44/12</f>
        <v>1.3666210787569618E-6</v>
      </c>
      <c r="CN174" s="22">
        <f t="shared" si="172"/>
        <v>27.990961082903311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68.821195933995028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2.8421709430404007E-14</v>
      </c>
      <c r="CU174" s="17">
        <f>CT174*VLOOKUP('Données projet'!$B$13,Paramètres!$A$1:$I$89,3,0)*VLOOKUP('Données projet'!$B$13,Paramètres!$A$1:$I$89,5,0)</f>
        <v>2.4829205358400945E-14</v>
      </c>
      <c r="CV174" s="13">
        <f t="shared" si="173"/>
        <v>4.3867331143352915E-13</v>
      </c>
      <c r="CW174" s="20">
        <f t="shared" si="174"/>
        <v>8.0726688341261168E-13</v>
      </c>
      <c r="CX174" s="59">
        <f t="shared" si="122"/>
        <v>289.01105175798256</v>
      </c>
      <c r="CY174" s="59">
        <f ca="1">AVERAGE(OFFSET($CX$3,0,0,'Données projet'!$E$13+1,1))-AVERAGE(OFFSET($H$3,0,0,'Données projet'!$E$13+1,1))</f>
        <v>280.59827778697775</v>
      </c>
      <c r="CZ174" s="59">
        <f t="shared" si="150"/>
        <v>270.86588231964726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>
        <f>EXP(-LN(2)/35)*DF173+(1-EXP(-LN(2)/35))/(LN(2)/35)*DB174*DC174*VLOOKUP('Données projet'!$B$13,Paramètres!$A$1:$I$89,3,0)*0.475*44/12</f>
        <v>5.4406941654254259</v>
      </c>
      <c r="DG174" s="21">
        <f>EXP(-LN(2)/25)*DG173+(1-EXP(-LN(2)/25))/(LN(2)/25)*Calculateur!DB174*Calculateur!DD174*VLOOKUP('Données projet'!$B$13,Paramètres!$A$1:$I$89,3,0)*0.475*44/12</f>
        <v>2.9274921548848614</v>
      </c>
      <c r="DH174" s="21">
        <f>EXP(-LN(2)/2)*DH173+(1-EXP(-LN(2)/2))/(LN(2)/2)*DB174*DE174*VLOOKUP('Données projet'!$B$13,Paramètres!$A$1:$I$89,3,0)*0.475*44/12</f>
        <v>9.1334547576272005E-13</v>
      </c>
      <c r="DI174" s="22">
        <f t="shared" si="175"/>
        <v>8.3681863203111995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68.821195933995028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>
        <f>DO174*VLOOKUP('Données projet'!$B$14,Paramètres!$A$1:$I$89,3,0)*VLOOKUP('Données projet'!$B$14,Paramètres!$A$1:$I$89,5,0)</f>
        <v>0</v>
      </c>
      <c r="DQ174" s="13" t="e">
        <f t="shared" si="176"/>
        <v>#NUM!</v>
      </c>
      <c r="DR174" s="20" t="e">
        <f t="shared" si="177"/>
        <v>#NUM!</v>
      </c>
      <c r="DS174" s="59" t="e">
        <f t="shared" si="125"/>
        <v>#NUM!</v>
      </c>
      <c r="DT174" s="59">
        <f ca="1">AVERAGE(OFFSET($DS$3,0,0,'Données projet'!$E$14+1,1))-AVERAGE(OFFSET($H$3,0,0,'Données projet'!$E$14+1,1))</f>
        <v>211.42385430331873</v>
      </c>
      <c r="DU174" s="59">
        <f t="shared" si="152"/>
        <v>146.84623106782686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>
        <f>EXP(-LN(2)/35)*EA173+(1-EXP(-LN(2)/35))/(LN(2)/35)*DW174*DX174*VLOOKUP('Données projet'!$B$14,Paramètres!$A$1:$I$89,3,0)*0.475*44/12</f>
        <v>8.0032492479320148</v>
      </c>
      <c r="EB174" s="21">
        <f>EXP(-LN(2)/25)*EB173+(1-EXP(-LN(2)/25))/(LN(2)/25)*Calculateur!DW174*Calculateur!DY174*VLOOKUP('Données projet'!$B$14,Paramètres!$A$1:$I$89,3,0)*0.475*44/12</f>
        <v>5.3920292367282521</v>
      </c>
      <c r="EC174" s="21">
        <f>EXP(-LN(2)/2)*EC173+(1-EXP(-LN(2)/2))/(LN(2)/2)*DW174*DZ174*VLOOKUP('Données projet'!$B$14,Paramètres!$A$1:$I$89,3,0)*0.475*44/12</f>
        <v>1.0944838985963681E-7</v>
      </c>
      <c r="ED174" s="22">
        <f t="shared" si="178"/>
        <v>13.395278594108657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68.821195933995028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-9.9475983006414026E-14</v>
      </c>
      <c r="EK174" s="17">
        <f>EJ174*VLOOKUP('Données projet'!$B$15,Paramètres!$A$1:$I$89,3,0)*VLOOKUP('Données projet'!$B$15,Paramètres!$A$1:$I$89,5,0)</f>
        <v>-1.0707594810810407E-13</v>
      </c>
      <c r="EL174" s="13" t="e">
        <f t="shared" si="179"/>
        <v>#NUM!</v>
      </c>
      <c r="EM174" s="20" t="e">
        <f t="shared" si="180"/>
        <v>#NUM!</v>
      </c>
      <c r="EN174" s="59" t="e">
        <f t="shared" si="128"/>
        <v>#NUM!</v>
      </c>
      <c r="EO174" s="59">
        <f ca="1">AVERAGE(OFFSET($EN$3,0,0,'Données projet'!$E$15+1,1))-AVERAGE(OFFSET($H$3,0,0,'Données projet'!$E$15+1,1))</f>
        <v>212.00478362779876</v>
      </c>
      <c r="EP174" s="59">
        <f t="shared" si="154"/>
        <v>133.62262474506707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>
        <f>EXP(-LN(2)/35)*EV173+(1-EXP(-LN(2)/35))/(LN(2)/35)*ER174*ES174*VLOOKUP('Données projet'!$B$15,Paramètres!$A$1:$I$89,3,0)*0.475*44/12</f>
        <v>5.7041944883568876</v>
      </c>
      <c r="EW174" s="21">
        <f>EXP(-LN(2)/25)*EW173+(1-EXP(-LN(2)/25))/(LN(2)/25)*Calculateur!ER174*Calculateur!ET174*VLOOKUP('Données projet'!$B$15,Paramètres!$A$1:$I$89,3,0)*0.475*44/12</f>
        <v>4.9778029522581573</v>
      </c>
      <c r="EX174" s="21">
        <f>EXP(-LN(2)/2)*EX173+(1-EXP(-LN(2)/2))/(LN(2)/2)*ER174*EU174*VLOOKUP('Données projet'!$B$15,Paramètres!$A$1:$I$89,3,0)*0.475*44/12</f>
        <v>6.624675966572858E-7</v>
      </c>
      <c r="EY174" s="22">
        <f t="shared" si="181"/>
        <v>10.681998103082643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68.821195933995028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-9.9475983006414026E-14</v>
      </c>
      <c r="FF174" s="17">
        <f>FE174*VLOOKUP('Données projet'!$B$16,Paramètres!$A$1:$I$89,3,0)*VLOOKUP('Données projet'!$B$16,Paramètres!$A$1:$I$89,5,0)</f>
        <v>-9.6213170763803652E-14</v>
      </c>
      <c r="FG174" s="13" t="e">
        <f t="shared" si="182"/>
        <v>#NUM!</v>
      </c>
      <c r="FH174" s="20" t="e">
        <f t="shared" si="183"/>
        <v>#NUM!</v>
      </c>
      <c r="FI174" s="59" t="e">
        <f t="shared" si="131"/>
        <v>#NUM!</v>
      </c>
      <c r="FJ174" s="59">
        <f ca="1">AVERAGE(OFFSET($FI$3,0,0,'Données projet'!$E$16+1,1))-AVERAGE(OFFSET($H$3,0,0,'Données projet'!$E$16+1,1))</f>
        <v>196.65742339093146</v>
      </c>
      <c r="FK174" s="59">
        <f t="shared" si="156"/>
        <v>125.41980634506001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>
        <f>EXP(-LN(2)/35)*FQ173+(1-EXP(-LN(2)/35))/(LN(2)/35)*FM174*FN174*VLOOKUP('Données projet'!$B$16,Paramètres!$A$1:$I$89,3,0)*0.475*44/12</f>
        <v>5.1255080909873501</v>
      </c>
      <c r="FR174" s="21">
        <f>EXP(-LN(2)/25)*FR173+(1-EXP(-LN(2)/25))/(LN(2)/25)*Calculateur!FM174*Calculateur!FO174*VLOOKUP('Données projet'!$B$16,Paramètres!$A$1:$I$89,3,0)*0.475*44/12</f>
        <v>4.4728084498551581</v>
      </c>
      <c r="FS174" s="21">
        <f>EXP(-LN(2)/2)*FS173+(1-EXP(-LN(2)/2))/(LN(2)/2)*FM174*FP174*VLOOKUP('Données projet'!$B$16,Paramètres!$A$1:$I$89,3,0)*0.475*44/12</f>
        <v>5.952607390253855E-7</v>
      </c>
      <c r="FT174" s="22">
        <f t="shared" si="184"/>
        <v>9.5983171361032458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68.821195933995028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68.821195933995028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>
      <c r="A175" s="10">
        <f t="shared" si="161"/>
        <v>172</v>
      </c>
      <c r="B175" s="73">
        <f>'Scénario référence'!$B$16*5+'Scénario référence'!$B$17*0+'Scénario référence'!$B$18*5</f>
        <v>4.6999999999999993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9.1765440000000229</v>
      </c>
      <c r="D175" s="11">
        <f t="shared" si="140"/>
        <v>3.2671973110338755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21.962750361601664</v>
      </c>
      <c r="H175" s="67">
        <f t="shared" si="110"/>
        <v>209.40618278338405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68.84164554912914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-2.2737367544323206E-13</v>
      </c>
      <c r="O175" s="13">
        <f>N175*VLOOKUP('Données projet'!$B$9,Paramètres!$A$1:$I$89,3,0)*VLOOKUP('Données projet'!$B$9,Paramètres!$A$1:$I$89,5,0)</f>
        <v>-1.3596945791505279E-13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366.93249569585623</v>
      </c>
      <c r="T175" s="59">
        <f t="shared" si="142"/>
        <v>272.47262353368501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24.783985351925597</v>
      </c>
      <c r="AA175" s="21">
        <f>EXP(-LN(2)/25)*AA174+(1-EXP(-LN(2)/25))/(LN(2)/25)*Calculateur!V175*Calculateur!X175*VLOOKUP('Données projet'!$B$9,Paramètres!$A$1:$I$89,3,0)*0.475*44/12</f>
        <v>4.0371300795563965</v>
      </c>
      <c r="AB175" s="21">
        <f>EXP(-LN(2)/2)*AB174+(1-EXP(-LN(2)/2))/(LN(2)/2)*V175*Y175*VLOOKUP('Données projet'!$B$9,Paramètres!$A$1:$I$89,3,0)*0.475*44/12</f>
        <v>1.0049439367948126E-12</v>
      </c>
      <c r="AC175" s="22">
        <f t="shared" si="163"/>
        <v>28.821115431482998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68.84164554912914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1.1368683772161603E-13</v>
      </c>
      <c r="AJ175" s="13">
        <f>AI175*VLOOKUP('Données projet'!$B$10,Paramètres!$A$1:$I$89,3,0)*VLOOKUP('Données projet'!$B$10,Paramètres!$A$1:$I$89,5,0)</f>
        <v>5.3205440053716299E-14</v>
      </c>
      <c r="AK175" s="13">
        <f t="shared" si="164"/>
        <v>8.602146238565607E-13</v>
      </c>
      <c r="AL175" s="20">
        <f t="shared" si="165"/>
        <v>1.590873277977066E-12</v>
      </c>
      <c r="AM175" s="59">
        <f t="shared" si="113"/>
        <v>289.08603368014178</v>
      </c>
      <c r="AN175" s="59">
        <f ca="1">AVERAGE(OFFSET($AM$3,0,0,'Données projet'!$E$10+1,1))-AVERAGE(OFFSET($H$3,0,0,'Données projet'!$E$10+1,1))</f>
        <v>382.89338473200229</v>
      </c>
      <c r="AO175" s="59">
        <f t="shared" si="144"/>
        <v>360.46248248971744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48.882571229888036</v>
      </c>
      <c r="AV175" s="21">
        <f>EXP(-LN(2)/25)*AV174+(1-EXP(-LN(2)/25))/(LN(2)/25)*Calculateur!AQ175*Calculateur!AS175*VLOOKUP('Données projet'!$B$10,Paramètres!$A$1:$I$89,3,0)*0.475*44/12</f>
        <v>8.497397453332189</v>
      </c>
      <c r="AW175" s="21">
        <f>EXP(-LN(2)/2)*AW174+(1-EXP(-LN(2)/2))/(LN(2)/2)*AQ175*AT175*VLOOKUP('Données projet'!$B$10,Paramètres!$A$1:$I$89,3,0)*0.475*44/12</f>
        <v>3.2291792539009279E-9</v>
      </c>
      <c r="AX175" s="21">
        <f t="shared" si="166"/>
        <v>57.379968686449409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68.84164554912914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>
        <f>BD175*VLOOKUP('Données projet'!$B$11,Paramètres!$A$1:$I$89,3,0)*VLOOKUP('Données projet'!$B$11,Paramètres!$A$1:$I$89,5,0)</f>
        <v>0</v>
      </c>
      <c r="BF175" s="13" t="e">
        <f t="shared" si="167"/>
        <v>#NUM!</v>
      </c>
      <c r="BG175" s="20" t="e">
        <f t="shared" si="168"/>
        <v>#NUM!</v>
      </c>
      <c r="BH175" s="59" t="e">
        <f t="shared" si="116"/>
        <v>#NUM!</v>
      </c>
      <c r="BI175" s="59">
        <f ca="1">AVERAGE(OFFSET($BH$3,0,0,'Données projet'!$E$11+1,1))-AVERAGE(OFFSET($H$3,0,0,'Données projet'!$E$11+1,1))</f>
        <v>225.75484198243581</v>
      </c>
      <c r="BJ175" s="59">
        <f t="shared" si="146"/>
        <v>199.49566488421061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1.7816882328604466</v>
      </c>
      <c r="BQ175" s="21">
        <f>EXP(-LN(2)/25)*BQ174+(1-EXP(-LN(2)/25))/(LN(2)/25)*Calculateur!BL175*Calculateur!BN175*VLOOKUP('Données projet'!$B$11,Paramètres!$A$1:$I$89,3,0)*0.475*44/12</f>
        <v>5.4952026317703471</v>
      </c>
      <c r="BR175" s="21">
        <f>EXP(-LN(2)/2)*BR174+(1-EXP(-LN(2)/2))/(LN(2)/2)*BL175*BO175*VLOOKUP('Données projet'!$B$11,Paramètres!$A$1:$I$89,3,0)*0.475*44/12</f>
        <v>0</v>
      </c>
      <c r="BS175" s="22">
        <f t="shared" si="169"/>
        <v>7.2768908646307935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68.84164554912914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1.1368683772161603E-13</v>
      </c>
      <c r="BZ175" s="13">
        <f>BY175*VLOOKUP('Données projet'!$B$12,Paramètres!$A$1:$I$89,3,0)*VLOOKUP('Données projet'!$B$12,Paramètres!$A$1:$I$89,5,0)</f>
        <v>1.0818439477588981E-13</v>
      </c>
      <c r="CA175" s="13">
        <f t="shared" si="170"/>
        <v>1.6104228458716316E-12</v>
      </c>
      <c r="CB175" s="20">
        <f t="shared" si="171"/>
        <v>2.9932409441277661E-12</v>
      </c>
      <c r="CC175" s="59">
        <f t="shared" si="119"/>
        <v>289.0860336801432</v>
      </c>
      <c r="CD175" s="59">
        <f ca="1">AVERAGE(OFFSET($CC$3,0,0,'Données projet'!$E$12+1,1))-AVERAGE(OFFSET($H$3,0,0,'Données projet'!$E$12+1,1))</f>
        <v>413.9352601863377</v>
      </c>
      <c r="CE175" s="59">
        <f t="shared" si="148"/>
        <v>255.13997349799286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16.422471273735596</v>
      </c>
      <c r="CL175" s="21">
        <f>EXP(-LN(2)/25)*CL174+(1-EXP(-LN(2)/25))/(LN(2)/25)*Calculateur!CG175*Calculateur!CI175*VLOOKUP('Données projet'!$B$12,Paramètres!$A$1:$I$89,3,0)*0.475*44/12</f>
        <v>10.932653851136875</v>
      </c>
      <c r="CM175" s="21">
        <f>EXP(-LN(2)/2)*CM174+(1-EXP(-LN(2)/2))/(LN(2)/2)*CG175*CJ175*VLOOKUP('Données projet'!$B$12,Paramètres!$A$1:$I$89,3,0)*0.475*44/12</f>
        <v>9.6634703210152251E-7</v>
      </c>
      <c r="CN175" s="22">
        <f t="shared" si="172"/>
        <v>27.355126091219503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68.84164554912914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2.8421709430404007E-14</v>
      </c>
      <c r="CU175" s="17">
        <f>CT175*VLOOKUP('Données projet'!$B$13,Paramètres!$A$1:$I$89,3,0)*VLOOKUP('Données projet'!$B$13,Paramètres!$A$1:$I$89,5,0)</f>
        <v>2.4829205358400945E-14</v>
      </c>
      <c r="CV175" s="13">
        <f t="shared" si="173"/>
        <v>4.3867331143352915E-13</v>
      </c>
      <c r="CW175" s="20">
        <f t="shared" si="174"/>
        <v>8.0726688341261168E-13</v>
      </c>
      <c r="CX175" s="59">
        <f t="shared" si="122"/>
        <v>289.08603368014099</v>
      </c>
      <c r="CY175" s="59">
        <f ca="1">AVERAGE(OFFSET($CX$3,0,0,'Données projet'!$E$13+1,1))-AVERAGE(OFFSET($H$3,0,0,'Données projet'!$E$13+1,1))</f>
        <v>280.59827778697775</v>
      </c>
      <c r="CZ175" s="59">
        <f t="shared" si="150"/>
        <v>270.86588231964726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>
        <f>EXP(-LN(2)/35)*DF174+(1-EXP(-LN(2)/35))/(LN(2)/35)*DB175*DC175*VLOOKUP('Données projet'!$B$13,Paramètres!$A$1:$I$89,3,0)*0.475*44/12</f>
        <v>5.3340054713371998</v>
      </c>
      <c r="DG175" s="21">
        <f>EXP(-LN(2)/25)*DG174+(1-EXP(-LN(2)/25))/(LN(2)/25)*Calculateur!DB175*Calculateur!DD175*VLOOKUP('Données projet'!$B$13,Paramètres!$A$1:$I$89,3,0)*0.475*44/12</f>
        <v>2.8474397279594132</v>
      </c>
      <c r="DH175" s="21">
        <f>EXP(-LN(2)/2)*DH174+(1-EXP(-LN(2)/2))/(LN(2)/2)*DB175*DE175*VLOOKUP('Données projet'!$B$13,Paramètres!$A$1:$I$89,3,0)*0.475*44/12</f>
        <v>6.4583277947787285E-13</v>
      </c>
      <c r="DI175" s="22">
        <f t="shared" si="175"/>
        <v>8.1814451992972597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68.84164554912914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>
        <f>DO175*VLOOKUP('Données projet'!$B$14,Paramètres!$A$1:$I$89,3,0)*VLOOKUP('Données projet'!$B$14,Paramètres!$A$1:$I$89,5,0)</f>
        <v>0</v>
      </c>
      <c r="DQ175" s="13" t="e">
        <f t="shared" si="176"/>
        <v>#NUM!</v>
      </c>
      <c r="DR175" s="20" t="e">
        <f t="shared" si="177"/>
        <v>#NUM!</v>
      </c>
      <c r="DS175" s="59" t="e">
        <f t="shared" si="125"/>
        <v>#NUM!</v>
      </c>
      <c r="DT175" s="59">
        <f ca="1">AVERAGE(OFFSET($DS$3,0,0,'Données projet'!$E$14+1,1))-AVERAGE(OFFSET($H$3,0,0,'Données projet'!$E$14+1,1))</f>
        <v>211.42385430331873</v>
      </c>
      <c r="DU175" s="59">
        <f t="shared" si="152"/>
        <v>146.84623106782686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>
        <f>EXP(-LN(2)/35)*EA174+(1-EXP(-LN(2)/35))/(LN(2)/35)*DW175*DX175*VLOOKUP('Données projet'!$B$14,Paramètres!$A$1:$I$89,3,0)*0.475*44/12</f>
        <v>7.8463104116801015</v>
      </c>
      <c r="EB175" s="21">
        <f>EXP(-LN(2)/25)*EB174+(1-EXP(-LN(2)/25))/(LN(2)/25)*Calculateur!DW175*Calculateur!DY175*VLOOKUP('Données projet'!$B$14,Paramètres!$A$1:$I$89,3,0)*0.475*44/12</f>
        <v>5.2445839136954238</v>
      </c>
      <c r="EC175" s="21">
        <f>EXP(-LN(2)/2)*EC174+(1-EXP(-LN(2)/2))/(LN(2)/2)*DW175*DZ175*VLOOKUP('Données projet'!$B$14,Paramètres!$A$1:$I$89,3,0)*0.475*44/12</f>
        <v>7.739169865969815E-8</v>
      </c>
      <c r="ED175" s="22">
        <f t="shared" si="178"/>
        <v>13.090894402767224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68.84164554912914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-9.9475983006414026E-14</v>
      </c>
      <c r="EK175" s="17">
        <f>EJ175*VLOOKUP('Données projet'!$B$15,Paramètres!$A$1:$I$89,3,0)*VLOOKUP('Données projet'!$B$15,Paramètres!$A$1:$I$89,5,0)</f>
        <v>-1.0707594810810407E-13</v>
      </c>
      <c r="EL175" s="13" t="e">
        <f t="shared" si="179"/>
        <v>#NUM!</v>
      </c>
      <c r="EM175" s="20" t="e">
        <f t="shared" si="180"/>
        <v>#NUM!</v>
      </c>
      <c r="EN175" s="59" t="e">
        <f t="shared" si="128"/>
        <v>#NUM!</v>
      </c>
      <c r="EO175" s="59">
        <f ca="1">AVERAGE(OFFSET($EN$3,0,0,'Données projet'!$E$15+1,1))-AVERAGE(OFFSET($H$3,0,0,'Données projet'!$E$15+1,1))</f>
        <v>212.00478362779876</v>
      </c>
      <c r="EP175" s="59">
        <f t="shared" si="154"/>
        <v>133.62262474506707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>
        <f>EXP(-LN(2)/35)*EV174+(1-EXP(-LN(2)/35))/(LN(2)/35)*ER175*ES175*VLOOKUP('Données projet'!$B$15,Paramètres!$A$1:$I$89,3,0)*0.475*44/12</f>
        <v>5.5923387136553027</v>
      </c>
      <c r="EW175" s="21">
        <f>EXP(-LN(2)/25)*EW174+(1-EXP(-LN(2)/25))/(LN(2)/25)*Calculateur!ER175*Calculateur!ET175*VLOOKUP('Données projet'!$B$15,Paramètres!$A$1:$I$89,3,0)*0.475*44/12</f>
        <v>4.8416846687573774</v>
      </c>
      <c r="EX175" s="21">
        <f>EXP(-LN(2)/2)*EX174+(1-EXP(-LN(2)/2))/(LN(2)/2)*ER175*EU175*VLOOKUP('Données projet'!$B$15,Paramètres!$A$1:$I$89,3,0)*0.475*44/12</f>
        <v>4.6843532991272144E-7</v>
      </c>
      <c r="EY175" s="22">
        <f t="shared" si="181"/>
        <v>10.434023850848009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68.84164554912914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-9.9475983006414026E-14</v>
      </c>
      <c r="FF175" s="17">
        <f>FE175*VLOOKUP('Données projet'!$B$16,Paramètres!$A$1:$I$89,3,0)*VLOOKUP('Données projet'!$B$16,Paramètres!$A$1:$I$89,5,0)</f>
        <v>-9.6213170763803652E-14</v>
      </c>
      <c r="FG175" s="13" t="e">
        <f t="shared" si="182"/>
        <v>#NUM!</v>
      </c>
      <c r="FH175" s="20" t="e">
        <f t="shared" si="183"/>
        <v>#NUM!</v>
      </c>
      <c r="FI175" s="59" t="e">
        <f t="shared" si="131"/>
        <v>#NUM!</v>
      </c>
      <c r="FJ175" s="59">
        <f ca="1">AVERAGE(OFFSET($FI$3,0,0,'Données projet'!$E$16+1,1))-AVERAGE(OFFSET($H$3,0,0,'Données projet'!$E$16+1,1))</f>
        <v>196.65742339093146</v>
      </c>
      <c r="FK175" s="59">
        <f t="shared" si="156"/>
        <v>125.41980634506001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>
        <f>EXP(-LN(2)/35)*FQ174+(1-EXP(-LN(2)/35))/(LN(2)/35)*FM175*FN175*VLOOKUP('Données projet'!$B$16,Paramètres!$A$1:$I$89,3,0)*0.475*44/12</f>
        <v>5.0250000035743323</v>
      </c>
      <c r="FR175" s="21">
        <f>EXP(-LN(2)/25)*FR174+(1-EXP(-LN(2)/25))/(LN(2)/25)*Calculateur!FM175*Calculateur!FO175*VLOOKUP('Données projet'!$B$16,Paramètres!$A$1:$I$89,3,0)*0.475*44/12</f>
        <v>4.350499267579095</v>
      </c>
      <c r="FS175" s="21">
        <f>EXP(-LN(2)/2)*FS174+(1-EXP(-LN(2)/2))/(LN(2)/2)*FM175*FP175*VLOOKUP('Données projet'!$B$16,Paramètres!$A$1:$I$89,3,0)*0.475*44/12</f>
        <v>4.2091290513896584E-7</v>
      </c>
      <c r="FT175" s="22">
        <f t="shared" si="184"/>
        <v>9.3754996920663309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68.84164554912914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68.84164554912914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>
      <c r="A176" s="10">
        <f t="shared" si="161"/>
        <v>173</v>
      </c>
      <c r="B176" s="73">
        <f>'Scénario référence'!$B$16*5+'Scénario référence'!$B$17*0+'Scénario référence'!$B$18*5</f>
        <v>4.6999999999999993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9.2298960000000232</v>
      </c>
      <c r="D176" s="11">
        <f t="shared" si="140"/>
        <v>3.2839759203718546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21.995231906979253</v>
      </c>
      <c r="H176" s="67">
        <f t="shared" si="110"/>
        <v>209.52832692798103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68.861740409159154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-2.2737367544323206E-13</v>
      </c>
      <c r="O176" s="13">
        <f>N176*VLOOKUP('Données projet'!$B$9,Paramètres!$A$1:$I$89,3,0)*VLOOKUP('Données projet'!$B$9,Paramètres!$A$1:$I$89,5,0)</f>
        <v>-1.3596945791505279E-13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366.93249569585623</v>
      </c>
      <c r="T176" s="59">
        <f t="shared" si="142"/>
        <v>272.47262353368501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24.297986515912747</v>
      </c>
      <c r="AA176" s="21">
        <f>EXP(-LN(2)/25)*AA175+(1-EXP(-LN(2)/25))/(LN(2)/25)*Calculateur!V176*Calculateur!X176*VLOOKUP('Données projet'!$B$9,Paramètres!$A$1:$I$89,3,0)*0.475*44/12</f>
        <v>3.9267345452274829</v>
      </c>
      <c r="AB176" s="21">
        <f>EXP(-LN(2)/2)*AB175+(1-EXP(-LN(2)/2))/(LN(2)/2)*V176*Y176*VLOOKUP('Données projet'!$B$9,Paramètres!$A$1:$I$89,3,0)*0.475*44/12</f>
        <v>7.1060267241991719E-13</v>
      </c>
      <c r="AC176" s="22">
        <f t="shared" si="163"/>
        <v>28.22472106114094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68.861740409159154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1.1368683772161603E-13</v>
      </c>
      <c r="AJ176" s="13">
        <f>AI176*VLOOKUP('Données projet'!$B$10,Paramètres!$A$1:$I$89,3,0)*VLOOKUP('Données projet'!$B$10,Paramètres!$A$1:$I$89,5,0)</f>
        <v>5.3205440053716299E-14</v>
      </c>
      <c r="AK176" s="13">
        <f t="shared" si="164"/>
        <v>8.602146238565607E-13</v>
      </c>
      <c r="AL176" s="20">
        <f t="shared" si="165"/>
        <v>1.590873277977066E-12</v>
      </c>
      <c r="AM176" s="59">
        <f t="shared" si="113"/>
        <v>289.15971483358516</v>
      </c>
      <c r="AN176" s="59">
        <f ca="1">AVERAGE(OFFSET($AM$3,0,0,'Données projet'!$E$10+1,1))-AVERAGE(OFFSET($H$3,0,0,'Données projet'!$E$10+1,1))</f>
        <v>382.89338473200229</v>
      </c>
      <c r="AO176" s="59">
        <f t="shared" si="144"/>
        <v>360.46248248971744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47.924013823494356</v>
      </c>
      <c r="AV176" s="21">
        <f>EXP(-LN(2)/25)*AV175+(1-EXP(-LN(2)/25))/(LN(2)/25)*Calculateur!AQ176*Calculateur!AS176*VLOOKUP('Données projet'!$B$10,Paramètres!$A$1:$I$89,3,0)*0.475*44/12</f>
        <v>8.2650356731121093</v>
      </c>
      <c r="AW176" s="21">
        <f>EXP(-LN(2)/2)*AW175+(1-EXP(-LN(2)/2))/(LN(2)/2)*AQ176*AT176*VLOOKUP('Données projet'!$B$10,Paramètres!$A$1:$I$89,3,0)*0.475*44/12</f>
        <v>2.2833745481002622E-9</v>
      </c>
      <c r="AX176" s="21">
        <f t="shared" si="166"/>
        <v>56.189049498889837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68.861740409159154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>
        <f>BD176*VLOOKUP('Données projet'!$B$11,Paramètres!$A$1:$I$89,3,0)*VLOOKUP('Données projet'!$B$11,Paramètres!$A$1:$I$89,5,0)</f>
        <v>0</v>
      </c>
      <c r="BF176" s="13" t="e">
        <f t="shared" si="167"/>
        <v>#NUM!</v>
      </c>
      <c r="BG176" s="20" t="e">
        <f t="shared" si="168"/>
        <v>#NUM!</v>
      </c>
      <c r="BH176" s="59" t="e">
        <f t="shared" si="116"/>
        <v>#NUM!</v>
      </c>
      <c r="BI176" s="59">
        <f ca="1">AVERAGE(OFFSET($BH$3,0,0,'Données projet'!$E$11+1,1))-AVERAGE(OFFSET($H$3,0,0,'Données projet'!$E$11+1,1))</f>
        <v>225.75484198243581</v>
      </c>
      <c r="BJ176" s="59">
        <f t="shared" si="146"/>
        <v>199.49566488421061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1.7467504133365703</v>
      </c>
      <c r="BQ176" s="21">
        <f>EXP(-LN(2)/25)*BQ175+(1-EXP(-LN(2)/25))/(LN(2)/25)*Calculateur!BL176*Calculateur!BN176*VLOOKUP('Données projet'!$B$11,Paramètres!$A$1:$I$89,3,0)*0.475*44/12</f>
        <v>5.3449360268244401</v>
      </c>
      <c r="BR176" s="21">
        <f>EXP(-LN(2)/2)*BR175+(1-EXP(-LN(2)/2))/(LN(2)/2)*BL176*BO176*VLOOKUP('Données projet'!$B$11,Paramètres!$A$1:$I$89,3,0)*0.475*44/12</f>
        <v>0</v>
      </c>
      <c r="BS176" s="22">
        <f t="shared" si="169"/>
        <v>7.0916864401610109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68.861740409159154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1.1368683772161603E-13</v>
      </c>
      <c r="BZ176" s="13">
        <f>BY176*VLOOKUP('Données projet'!$B$12,Paramètres!$A$1:$I$89,3,0)*VLOOKUP('Données projet'!$B$12,Paramètres!$A$1:$I$89,5,0)</f>
        <v>1.0818439477588981E-13</v>
      </c>
      <c r="CA176" s="13">
        <f t="shared" si="170"/>
        <v>1.6104228458716316E-12</v>
      </c>
      <c r="CB176" s="20">
        <f t="shared" si="171"/>
        <v>2.9932409441277661E-12</v>
      </c>
      <c r="CC176" s="59">
        <f t="shared" si="119"/>
        <v>289.15971483358658</v>
      </c>
      <c r="CD176" s="59">
        <f ca="1">AVERAGE(OFFSET($CC$3,0,0,'Données projet'!$E$12+1,1))-AVERAGE(OFFSET($H$3,0,0,'Données projet'!$E$12+1,1))</f>
        <v>413.9352601863377</v>
      </c>
      <c r="CE176" s="59">
        <f t="shared" si="148"/>
        <v>255.13997349799286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16.100436628776048</v>
      </c>
      <c r="CL176" s="21">
        <f>EXP(-LN(2)/25)*CL175+(1-EXP(-LN(2)/25))/(LN(2)/25)*Calculateur!CG176*Calculateur!CI176*VLOOKUP('Données projet'!$B$12,Paramètres!$A$1:$I$89,3,0)*0.475*44/12</f>
        <v>10.633699856654259</v>
      </c>
      <c r="CM176" s="21">
        <f>EXP(-LN(2)/2)*CM175+(1-EXP(-LN(2)/2))/(LN(2)/2)*CG176*CJ176*VLOOKUP('Données projet'!$B$12,Paramètres!$A$1:$I$89,3,0)*0.475*44/12</f>
        <v>6.8331053937848089E-7</v>
      </c>
      <c r="CN176" s="22">
        <f t="shared" si="172"/>
        <v>26.734137168740844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68.861740409159154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2.8421709430404007E-14</v>
      </c>
      <c r="CU176" s="17">
        <f>CT176*VLOOKUP('Données projet'!$B$13,Paramètres!$A$1:$I$89,3,0)*VLOOKUP('Données projet'!$B$13,Paramètres!$A$1:$I$89,5,0)</f>
        <v>2.4829205358400945E-14</v>
      </c>
      <c r="CV176" s="13">
        <f t="shared" si="173"/>
        <v>4.3867331143352915E-13</v>
      </c>
      <c r="CW176" s="20">
        <f t="shared" si="174"/>
        <v>8.0726688341261168E-13</v>
      </c>
      <c r="CX176" s="59">
        <f t="shared" si="122"/>
        <v>289.15971483358436</v>
      </c>
      <c r="CY176" s="59">
        <f ca="1">AVERAGE(OFFSET($CX$3,0,0,'Données projet'!$E$13+1,1))-AVERAGE(OFFSET($H$3,0,0,'Données projet'!$E$13+1,1))</f>
        <v>280.59827778697775</v>
      </c>
      <c r="CZ176" s="59">
        <f t="shared" si="150"/>
        <v>270.86588231964726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>
        <f>EXP(-LN(2)/35)*DF175+(1-EXP(-LN(2)/35))/(LN(2)/35)*DB176*DC176*VLOOKUP('Données projet'!$B$13,Paramètres!$A$1:$I$89,3,0)*0.475*44/12</f>
        <v>5.2294088774663665</v>
      </c>
      <c r="DG176" s="21">
        <f>EXP(-LN(2)/25)*DG175+(1-EXP(-LN(2)/25))/(LN(2)/25)*Calculateur!DB176*Calculateur!DD176*VLOOKUP('Données projet'!$B$13,Paramètres!$A$1:$I$89,3,0)*0.475*44/12</f>
        <v>2.7695763388580157</v>
      </c>
      <c r="DH176" s="21">
        <f>EXP(-LN(2)/2)*DH175+(1-EXP(-LN(2)/2))/(LN(2)/2)*DB176*DE176*VLOOKUP('Données projet'!$B$13,Paramètres!$A$1:$I$89,3,0)*0.475*44/12</f>
        <v>4.5667273788136003E-13</v>
      </c>
      <c r="DI176" s="22">
        <f t="shared" si="175"/>
        <v>7.9989852163248383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68.861740409159154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>
        <f>DO176*VLOOKUP('Données projet'!$B$14,Paramètres!$A$1:$I$89,3,0)*VLOOKUP('Données projet'!$B$14,Paramètres!$A$1:$I$89,5,0)</f>
        <v>0</v>
      </c>
      <c r="DQ176" s="13" t="e">
        <f t="shared" si="176"/>
        <v>#NUM!</v>
      </c>
      <c r="DR176" s="20" t="e">
        <f t="shared" si="177"/>
        <v>#NUM!</v>
      </c>
      <c r="DS176" s="59" t="e">
        <f t="shared" si="125"/>
        <v>#NUM!</v>
      </c>
      <c r="DT176" s="59">
        <f ca="1">AVERAGE(OFFSET($DS$3,0,0,'Données projet'!$E$14+1,1))-AVERAGE(OFFSET($H$3,0,0,'Données projet'!$E$14+1,1))</f>
        <v>211.42385430331873</v>
      </c>
      <c r="DU176" s="59">
        <f t="shared" si="152"/>
        <v>146.84623106782686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>
        <f>EXP(-LN(2)/35)*EA175+(1-EXP(-LN(2)/35))/(LN(2)/35)*DW176*DX176*VLOOKUP('Données projet'!$B$14,Paramètres!$A$1:$I$89,3,0)*0.475*44/12</f>
        <v>7.6924490502838498</v>
      </c>
      <c r="EB176" s="21">
        <f>EXP(-LN(2)/25)*EB175+(1-EXP(-LN(2)/25))/(LN(2)/25)*Calculateur!DW176*Calculateur!DY176*VLOOKUP('Données projet'!$B$14,Paramètres!$A$1:$I$89,3,0)*0.475*44/12</f>
        <v>5.1011704907747406</v>
      </c>
      <c r="EC176" s="21">
        <f>EXP(-LN(2)/2)*EC175+(1-EXP(-LN(2)/2))/(LN(2)/2)*DW176*DZ176*VLOOKUP('Données projet'!$B$14,Paramètres!$A$1:$I$89,3,0)*0.475*44/12</f>
        <v>5.4724194929818404E-8</v>
      </c>
      <c r="ED176" s="22">
        <f t="shared" si="178"/>
        <v>12.793619595782785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68.861740409159154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-9.9475983006414026E-14</v>
      </c>
      <c r="EK176" s="17">
        <f>EJ176*VLOOKUP('Données projet'!$B$15,Paramètres!$A$1:$I$89,3,0)*VLOOKUP('Données projet'!$B$15,Paramètres!$A$1:$I$89,5,0)</f>
        <v>-1.0707594810810407E-13</v>
      </c>
      <c r="EL176" s="13" t="e">
        <f t="shared" si="179"/>
        <v>#NUM!</v>
      </c>
      <c r="EM176" s="20" t="e">
        <f t="shared" si="180"/>
        <v>#NUM!</v>
      </c>
      <c r="EN176" s="59" t="e">
        <f t="shared" si="128"/>
        <v>#NUM!</v>
      </c>
      <c r="EO176" s="59">
        <f ca="1">AVERAGE(OFFSET($EN$3,0,0,'Données projet'!$E$15+1,1))-AVERAGE(OFFSET($H$3,0,0,'Données projet'!$E$15+1,1))</f>
        <v>212.00478362779876</v>
      </c>
      <c r="EP176" s="59">
        <f t="shared" si="154"/>
        <v>133.62262474506707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>
        <f>EXP(-LN(2)/35)*EV175+(1-EXP(-LN(2)/35))/(LN(2)/35)*ER176*ES176*VLOOKUP('Données projet'!$B$15,Paramètres!$A$1:$I$89,3,0)*0.475*44/12</f>
        <v>5.4826763624703299</v>
      </c>
      <c r="EW176" s="21">
        <f>EXP(-LN(2)/25)*EW175+(1-EXP(-LN(2)/25))/(LN(2)/25)*Calculateur!ER176*Calculateur!ET176*VLOOKUP('Données projet'!$B$15,Paramètres!$A$1:$I$89,3,0)*0.475*44/12</f>
        <v>4.709288546877076</v>
      </c>
      <c r="EX176" s="21">
        <f>EXP(-LN(2)/2)*EX175+(1-EXP(-LN(2)/2))/(LN(2)/2)*ER176*EU176*VLOOKUP('Données projet'!$B$15,Paramètres!$A$1:$I$89,3,0)*0.475*44/12</f>
        <v>3.3123379832864296E-7</v>
      </c>
      <c r="EY176" s="22">
        <f t="shared" si="181"/>
        <v>10.191965240581203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68.861740409159154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-9.9475983006414026E-14</v>
      </c>
      <c r="FF176" s="17">
        <f>FE176*VLOOKUP('Données projet'!$B$16,Paramètres!$A$1:$I$89,3,0)*VLOOKUP('Données projet'!$B$16,Paramètres!$A$1:$I$89,5,0)</f>
        <v>-9.6213170763803652E-14</v>
      </c>
      <c r="FG176" s="13" t="e">
        <f t="shared" si="182"/>
        <v>#NUM!</v>
      </c>
      <c r="FH176" s="20" t="e">
        <f t="shared" si="183"/>
        <v>#NUM!</v>
      </c>
      <c r="FI176" s="59" t="e">
        <f t="shared" si="131"/>
        <v>#NUM!</v>
      </c>
      <c r="FJ176" s="59">
        <f ca="1">AVERAGE(OFFSET($FI$3,0,0,'Données projet'!$E$16+1,1))-AVERAGE(OFFSET($H$3,0,0,'Données projet'!$E$16+1,1))</f>
        <v>196.65742339093146</v>
      </c>
      <c r="FK176" s="59">
        <f t="shared" si="156"/>
        <v>125.41980634506001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>
        <f>EXP(-LN(2)/35)*FQ175+(1-EXP(-LN(2)/35))/(LN(2)/35)*FM176*FN176*VLOOKUP('Données projet'!$B$16,Paramètres!$A$1:$I$89,3,0)*0.475*44/12</f>
        <v>4.9264628184516033</v>
      </c>
      <c r="FR176" s="21">
        <f>EXP(-LN(2)/25)*FR175+(1-EXP(-LN(2)/25))/(LN(2)/25)*Calculateur!FM176*Calculateur!FO176*VLOOKUP('Données projet'!$B$16,Paramètres!$A$1:$I$89,3,0)*0.475*44/12</f>
        <v>4.2315346363243318</v>
      </c>
      <c r="FS176" s="21">
        <f>EXP(-LN(2)/2)*FS175+(1-EXP(-LN(2)/2))/(LN(2)/2)*FM176*FP176*VLOOKUP('Données projet'!$B$16,Paramètres!$A$1:$I$89,3,0)*0.475*44/12</f>
        <v>2.9763036951269275E-7</v>
      </c>
      <c r="FT176" s="22">
        <f t="shared" si="184"/>
        <v>9.1579977524063043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68.861740409159154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68.861740409159154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>
      <c r="A177" s="10">
        <f t="shared" si="161"/>
        <v>174</v>
      </c>
      <c r="B177" s="73">
        <f>'Scénario référence'!$B$16*5+'Scénario référence'!$B$17*0+'Scénario référence'!$B$18*5</f>
        <v>4.6999999999999993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9.2832480000000235</v>
      </c>
      <c r="D177" s="11">
        <f t="shared" si="140"/>
        <v>3.3007432442488809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22.02770822540651</v>
      </c>
      <c r="H177" s="67">
        <f t="shared" si="110"/>
        <v>209.65045141706685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68.881486668293036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-2.2737367544323206E-13</v>
      </c>
      <c r="O177" s="13">
        <f>N177*VLOOKUP('Données projet'!$B$9,Paramètres!$A$1:$I$89,3,0)*VLOOKUP('Données projet'!$B$9,Paramètres!$A$1:$I$89,5,0)</f>
        <v>-1.3596945791505279E-13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366.93249569585623</v>
      </c>
      <c r="T177" s="59">
        <f t="shared" si="142"/>
        <v>272.47262353368501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23.82151782064409</v>
      </c>
      <c r="AA177" s="21">
        <f>EXP(-LN(2)/25)*AA176+(1-EXP(-LN(2)/25))/(LN(2)/25)*Calculateur!V177*Calculateur!X177*VLOOKUP('Données projet'!$B$9,Paramètres!$A$1:$I$89,3,0)*0.475*44/12</f>
        <v>3.8193577825902425</v>
      </c>
      <c r="AB177" s="21">
        <f>EXP(-LN(2)/2)*AB176+(1-EXP(-LN(2)/2))/(LN(2)/2)*V177*Y177*VLOOKUP('Données projet'!$B$9,Paramètres!$A$1:$I$89,3,0)*0.475*44/12</f>
        <v>5.0247196839740629E-13</v>
      </c>
      <c r="AC177" s="22">
        <f t="shared" si="163"/>
        <v>27.640875603234832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68.881486668293036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1.1368683772161603E-13</v>
      </c>
      <c r="AJ177" s="13">
        <f>AI177*VLOOKUP('Données projet'!$B$10,Paramètres!$A$1:$I$89,3,0)*VLOOKUP('Données projet'!$B$10,Paramètres!$A$1:$I$89,5,0)</f>
        <v>5.3205440053716299E-14</v>
      </c>
      <c r="AK177" s="13">
        <f t="shared" si="164"/>
        <v>8.602146238565607E-13</v>
      </c>
      <c r="AL177" s="20">
        <f t="shared" si="165"/>
        <v>1.590873277977066E-12</v>
      </c>
      <c r="AM177" s="59">
        <f t="shared" si="113"/>
        <v>289.23211778374269</v>
      </c>
      <c r="AN177" s="59">
        <f ca="1">AVERAGE(OFFSET($AM$3,0,0,'Données projet'!$E$10+1,1))-AVERAGE(OFFSET($H$3,0,0,'Données projet'!$E$10+1,1))</f>
        <v>382.89338473200229</v>
      </c>
      <c r="AO177" s="59">
        <f t="shared" si="144"/>
        <v>360.46248248971744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46.984253143177767</v>
      </c>
      <c r="AV177" s="21">
        <f>EXP(-LN(2)/25)*AV176+(1-EXP(-LN(2)/25))/(LN(2)/25)*Calculateur!AQ177*Calculateur!AS177*VLOOKUP('Données projet'!$B$10,Paramètres!$A$1:$I$89,3,0)*0.475*44/12</f>
        <v>8.0390278379915223</v>
      </c>
      <c r="AW177" s="21">
        <f>EXP(-LN(2)/2)*AW176+(1-EXP(-LN(2)/2))/(LN(2)/2)*AQ177*AT177*VLOOKUP('Données projet'!$B$10,Paramètres!$A$1:$I$89,3,0)*0.475*44/12</f>
        <v>1.614589626950464E-9</v>
      </c>
      <c r="AX177" s="21">
        <f t="shared" si="166"/>
        <v>55.023280982783881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68.881486668293036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>
        <f>BD177*VLOOKUP('Données projet'!$B$11,Paramètres!$A$1:$I$89,3,0)*VLOOKUP('Données projet'!$B$11,Paramètres!$A$1:$I$89,5,0)</f>
        <v>0</v>
      </c>
      <c r="BF177" s="13" t="e">
        <f t="shared" si="167"/>
        <v>#NUM!</v>
      </c>
      <c r="BG177" s="20" t="e">
        <f t="shared" si="168"/>
        <v>#NUM!</v>
      </c>
      <c r="BH177" s="59" t="e">
        <f t="shared" si="116"/>
        <v>#NUM!</v>
      </c>
      <c r="BI177" s="59">
        <f ca="1">AVERAGE(OFFSET($BH$3,0,0,'Données projet'!$E$11+1,1))-AVERAGE(OFFSET($H$3,0,0,'Données projet'!$E$11+1,1))</f>
        <v>225.75484198243581</v>
      </c>
      <c r="BJ177" s="59">
        <f t="shared" si="146"/>
        <v>199.49566488421061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1.7124977031435915</v>
      </c>
      <c r="BQ177" s="21">
        <f>EXP(-LN(2)/25)*BQ176+(1-EXP(-LN(2)/25))/(LN(2)/25)*Calculateur!BL177*Calculateur!BN177*VLOOKUP('Données projet'!$B$11,Paramètres!$A$1:$I$89,3,0)*0.475*44/12</f>
        <v>5.1987784700929565</v>
      </c>
      <c r="BR177" s="21">
        <f>EXP(-LN(2)/2)*BR176+(1-EXP(-LN(2)/2))/(LN(2)/2)*BL177*BO177*VLOOKUP('Données projet'!$B$11,Paramètres!$A$1:$I$89,3,0)*0.475*44/12</f>
        <v>0</v>
      </c>
      <c r="BS177" s="22">
        <f t="shared" si="169"/>
        <v>6.9112761732365477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68.881486668293036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1.1368683772161603E-13</v>
      </c>
      <c r="BZ177" s="13">
        <f>BY177*VLOOKUP('Données projet'!$B$12,Paramètres!$A$1:$I$89,3,0)*VLOOKUP('Données projet'!$B$12,Paramètres!$A$1:$I$89,5,0)</f>
        <v>1.0818439477588981E-13</v>
      </c>
      <c r="CA177" s="13">
        <f t="shared" si="170"/>
        <v>1.6104228458716316E-12</v>
      </c>
      <c r="CB177" s="20">
        <f t="shared" si="171"/>
        <v>2.9932409441277661E-12</v>
      </c>
      <c r="CC177" s="59">
        <f t="shared" si="119"/>
        <v>289.23211778374412</v>
      </c>
      <c r="CD177" s="59">
        <f ca="1">AVERAGE(OFFSET($CC$3,0,0,'Données projet'!$E$12+1,1))-AVERAGE(OFFSET($H$3,0,0,'Données projet'!$E$12+1,1))</f>
        <v>413.9352601863377</v>
      </c>
      <c r="CE177" s="59">
        <f t="shared" si="148"/>
        <v>255.13997349799286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15.784716886782419</v>
      </c>
      <c r="CL177" s="21">
        <f>EXP(-LN(2)/25)*CL176+(1-EXP(-LN(2)/25))/(LN(2)/25)*Calculateur!CG177*Calculateur!CI177*VLOOKUP('Données projet'!$B$12,Paramètres!$A$1:$I$89,3,0)*0.475*44/12</f>
        <v>10.342920774872075</v>
      </c>
      <c r="CM177" s="21">
        <f>EXP(-LN(2)/2)*CM176+(1-EXP(-LN(2)/2))/(LN(2)/2)*CG177*CJ177*VLOOKUP('Données projet'!$B$12,Paramètres!$A$1:$I$89,3,0)*0.475*44/12</f>
        <v>4.8317351605076126E-7</v>
      </c>
      <c r="CN177" s="22">
        <f t="shared" si="172"/>
        <v>26.127638144828012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68.881486668293036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2.8421709430404007E-14</v>
      </c>
      <c r="CU177" s="17">
        <f>CT177*VLOOKUP('Données projet'!$B$13,Paramètres!$A$1:$I$89,3,0)*VLOOKUP('Données projet'!$B$13,Paramètres!$A$1:$I$89,5,0)</f>
        <v>2.4829205358400945E-14</v>
      </c>
      <c r="CV177" s="13">
        <f t="shared" si="173"/>
        <v>4.3867331143352915E-13</v>
      </c>
      <c r="CW177" s="20">
        <f t="shared" si="174"/>
        <v>8.0726688341261168E-13</v>
      </c>
      <c r="CX177" s="59">
        <f t="shared" si="122"/>
        <v>289.2321177837419</v>
      </c>
      <c r="CY177" s="59">
        <f ca="1">AVERAGE(OFFSET($CX$3,0,0,'Données projet'!$E$13+1,1))-AVERAGE(OFFSET($H$3,0,0,'Données projet'!$E$13+1,1))</f>
        <v>280.59827778697775</v>
      </c>
      <c r="CZ177" s="59">
        <f t="shared" si="150"/>
        <v>270.86588231964726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>
        <f>EXP(-LN(2)/35)*DF176+(1-EXP(-LN(2)/35))/(LN(2)/35)*DB177*DC177*VLOOKUP('Données projet'!$B$13,Paramètres!$A$1:$I$89,3,0)*0.475*44/12</f>
        <v>5.1268633590037167</v>
      </c>
      <c r="DG177" s="21">
        <f>EXP(-LN(2)/25)*DG176+(1-EXP(-LN(2)/25))/(LN(2)/25)*Calculateur!DB177*Calculateur!DD177*VLOOKUP('Données projet'!$B$13,Paramètres!$A$1:$I$89,3,0)*0.475*44/12</f>
        <v>2.6938421282262537</v>
      </c>
      <c r="DH177" s="21">
        <f>EXP(-LN(2)/2)*DH176+(1-EXP(-LN(2)/2))/(LN(2)/2)*DB177*DE177*VLOOKUP('Données projet'!$B$13,Paramètres!$A$1:$I$89,3,0)*0.475*44/12</f>
        <v>3.2291638973893642E-13</v>
      </c>
      <c r="DI177" s="22">
        <f t="shared" si="175"/>
        <v>7.8207054872302937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68.881486668293036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>
        <f>DO177*VLOOKUP('Données projet'!$B$14,Paramètres!$A$1:$I$89,3,0)*VLOOKUP('Données projet'!$B$14,Paramètres!$A$1:$I$89,5,0)</f>
        <v>0</v>
      </c>
      <c r="DQ177" s="13" t="e">
        <f t="shared" si="176"/>
        <v>#NUM!</v>
      </c>
      <c r="DR177" s="20" t="e">
        <f t="shared" si="177"/>
        <v>#NUM!</v>
      </c>
      <c r="DS177" s="59" t="e">
        <f t="shared" si="125"/>
        <v>#NUM!</v>
      </c>
      <c r="DT177" s="59">
        <f ca="1">AVERAGE(OFFSET($DS$3,0,0,'Données projet'!$E$14+1,1))-AVERAGE(OFFSET($H$3,0,0,'Données projet'!$E$14+1,1))</f>
        <v>211.42385430331873</v>
      </c>
      <c r="DU177" s="59">
        <f t="shared" si="152"/>
        <v>146.84623106782686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>
        <f>EXP(-LN(2)/35)*EA176+(1-EXP(-LN(2)/35))/(LN(2)/35)*DW177*DX177*VLOOKUP('Données projet'!$B$14,Paramètres!$A$1:$I$89,3,0)*0.475*44/12</f>
        <v>7.5416048163384142</v>
      </c>
      <c r="EB177" s="21">
        <f>EXP(-LN(2)/25)*EB176+(1-EXP(-LN(2)/25))/(LN(2)/25)*Calculateur!DW177*Calculateur!DY177*VLOOKUP('Données projet'!$B$14,Paramètres!$A$1:$I$89,3,0)*0.475*44/12</f>
        <v>4.9616787154456077</v>
      </c>
      <c r="EC177" s="21">
        <f>EXP(-LN(2)/2)*EC176+(1-EXP(-LN(2)/2))/(LN(2)/2)*DW177*DZ177*VLOOKUP('Données projet'!$B$14,Paramètres!$A$1:$I$89,3,0)*0.475*44/12</f>
        <v>3.8695849329849075E-8</v>
      </c>
      <c r="ED177" s="22">
        <f t="shared" si="178"/>
        <v>12.503283570479871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68.881486668293036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-9.9475983006414026E-14</v>
      </c>
      <c r="EK177" s="17">
        <f>EJ177*VLOOKUP('Données projet'!$B$15,Paramètres!$A$1:$I$89,3,0)*VLOOKUP('Données projet'!$B$15,Paramètres!$A$1:$I$89,5,0)</f>
        <v>-1.0707594810810407E-13</v>
      </c>
      <c r="EL177" s="13" t="e">
        <f t="shared" si="179"/>
        <v>#NUM!</v>
      </c>
      <c r="EM177" s="20" t="e">
        <f t="shared" si="180"/>
        <v>#NUM!</v>
      </c>
      <c r="EN177" s="59" t="e">
        <f t="shared" si="128"/>
        <v>#NUM!</v>
      </c>
      <c r="EO177" s="59">
        <f ca="1">AVERAGE(OFFSET($EN$3,0,0,'Données projet'!$E$15+1,1))-AVERAGE(OFFSET($H$3,0,0,'Données projet'!$E$15+1,1))</f>
        <v>212.00478362779876</v>
      </c>
      <c r="EP177" s="59">
        <f t="shared" si="154"/>
        <v>133.62262474506707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>
        <f>EXP(-LN(2)/35)*EV176+(1-EXP(-LN(2)/35))/(LN(2)/35)*ER177*ES177*VLOOKUP('Données projet'!$B$15,Paramètres!$A$1:$I$89,3,0)*0.475*44/12</f>
        <v>5.3751644231046649</v>
      </c>
      <c r="EW177" s="21">
        <f>EXP(-LN(2)/25)*EW176+(1-EXP(-LN(2)/25))/(LN(2)/25)*Calculateur!ER177*Calculateur!ET177*VLOOKUP('Données projet'!$B$15,Paramètres!$A$1:$I$89,3,0)*0.475*44/12</f>
        <v>4.5805128039120007</v>
      </c>
      <c r="EX177" s="21">
        <f>EXP(-LN(2)/2)*EX176+(1-EXP(-LN(2)/2))/(LN(2)/2)*ER177*EU177*VLOOKUP('Données projet'!$B$15,Paramètres!$A$1:$I$89,3,0)*0.475*44/12</f>
        <v>2.3421766495636077E-7</v>
      </c>
      <c r="EY177" s="22">
        <f t="shared" si="181"/>
        <v>9.9556774612343304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68.881486668293036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-9.9475983006414026E-14</v>
      </c>
      <c r="FF177" s="17">
        <f>FE177*VLOOKUP('Données projet'!$B$16,Paramètres!$A$1:$I$89,3,0)*VLOOKUP('Données projet'!$B$16,Paramètres!$A$1:$I$89,5,0)</f>
        <v>-9.6213170763803652E-14</v>
      </c>
      <c r="FG177" s="13" t="e">
        <f t="shared" si="182"/>
        <v>#NUM!</v>
      </c>
      <c r="FH177" s="20" t="e">
        <f t="shared" si="183"/>
        <v>#NUM!</v>
      </c>
      <c r="FI177" s="59" t="e">
        <f t="shared" si="131"/>
        <v>#NUM!</v>
      </c>
      <c r="FJ177" s="59">
        <f ca="1">AVERAGE(OFFSET($FI$3,0,0,'Données projet'!$E$16+1,1))-AVERAGE(OFFSET($H$3,0,0,'Données projet'!$E$16+1,1))</f>
        <v>196.65742339093146</v>
      </c>
      <c r="FK177" s="59">
        <f t="shared" si="156"/>
        <v>125.41980634506001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>
        <f>EXP(-LN(2)/35)*FQ176+(1-EXP(-LN(2)/35))/(LN(2)/35)*FM177*FN177*VLOOKUP('Données projet'!$B$16,Paramètres!$A$1:$I$89,3,0)*0.475*44/12</f>
        <v>4.8298578874273828</v>
      </c>
      <c r="FR177" s="21">
        <f>EXP(-LN(2)/25)*FR176+(1-EXP(-LN(2)/25))/(LN(2)/25)*Calculateur!FM177*Calculateur!FO177*VLOOKUP('Données projet'!$B$16,Paramètres!$A$1:$I$89,3,0)*0.475*44/12</f>
        <v>4.1158230991673079</v>
      </c>
      <c r="FS177" s="21">
        <f>EXP(-LN(2)/2)*FS176+(1-EXP(-LN(2)/2))/(LN(2)/2)*FM177*FP177*VLOOKUP('Données projet'!$B$16,Paramètres!$A$1:$I$89,3,0)*0.475*44/12</f>
        <v>2.1045645256948292E-7</v>
      </c>
      <c r="FT177" s="22">
        <f t="shared" si="184"/>
        <v>8.9456811970511438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68.881486668293036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68.881486668293036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>
      <c r="A178" s="10">
        <f t="shared" si="161"/>
        <v>175</v>
      </c>
      <c r="B178" s="73">
        <f>'Scénario référence'!$B$16*5+'Scénario référence'!$B$17*0+'Scénario référence'!$B$18*5</f>
        <v>4.6999999999999993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9.3366000000000238</v>
      </c>
      <c r="D178" s="11">
        <f t="shared" si="140"/>
        <v>3.3174993550500957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22.060179350409175</v>
      </c>
      <c r="H178" s="67">
        <f t="shared" si="110"/>
        <v>209.77255637671232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68.900890373976949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-2.2737367544323206E-13</v>
      </c>
      <c r="O178" s="13">
        <f>N178*VLOOKUP('Données projet'!$B$9,Paramètres!$A$1:$I$89,3,0)*VLOOKUP('Données projet'!$B$9,Paramètres!$A$1:$I$89,5,0)</f>
        <v>-1.3596945791505279E-13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366.93249569585623</v>
      </c>
      <c r="T178" s="59">
        <f t="shared" si="142"/>
        <v>272.47262353368501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23.35439238587244</v>
      </c>
      <c r="AA178" s="21">
        <f>EXP(-LN(2)/25)*AA177+(1-EXP(-LN(2)/25))/(LN(2)/25)*Calculateur!V178*Calculateur!X178*VLOOKUP('Données projet'!$B$9,Paramètres!$A$1:$I$89,3,0)*0.475*44/12</f>
        <v>3.7149172431740158</v>
      </c>
      <c r="AB178" s="21">
        <f>EXP(-LN(2)/2)*AB177+(1-EXP(-LN(2)/2))/(LN(2)/2)*V178*Y178*VLOOKUP('Données projet'!$B$9,Paramètres!$A$1:$I$89,3,0)*0.475*44/12</f>
        <v>3.553013362099586E-13</v>
      </c>
      <c r="AC178" s="22">
        <f t="shared" si="163"/>
        <v>27.069309629046813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68.900890373976949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1.1368683772161603E-13</v>
      </c>
      <c r="AJ178" s="13">
        <f>AI178*VLOOKUP('Données projet'!$B$10,Paramètres!$A$1:$I$89,3,0)*VLOOKUP('Données projet'!$B$10,Paramètres!$A$1:$I$89,5,0)</f>
        <v>5.3205440053716299E-14</v>
      </c>
      <c r="AK178" s="13">
        <f t="shared" si="164"/>
        <v>8.602146238565607E-13</v>
      </c>
      <c r="AL178" s="20">
        <f t="shared" si="165"/>
        <v>1.590873277977066E-12</v>
      </c>
      <c r="AM178" s="59">
        <f t="shared" si="113"/>
        <v>289.30326470458374</v>
      </c>
      <c r="AN178" s="59">
        <f ca="1">AVERAGE(OFFSET($AM$3,0,0,'Données projet'!$E$10+1,1))-AVERAGE(OFFSET($H$3,0,0,'Données projet'!$E$10+1,1))</f>
        <v>382.89338473200229</v>
      </c>
      <c r="AO178" s="59">
        <f t="shared" si="144"/>
        <v>360.46248248971744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46.062920596604769</v>
      </c>
      <c r="AV178" s="21">
        <f>EXP(-LN(2)/25)*AV177+(1-EXP(-LN(2)/25))/(LN(2)/25)*Calculateur!AQ178*Calculateur!AS178*VLOOKUP('Données projet'!$B$10,Paramètres!$A$1:$I$89,3,0)*0.475*44/12</f>
        <v>7.8192001990075433</v>
      </c>
      <c r="AW178" s="21">
        <f>EXP(-LN(2)/2)*AW177+(1-EXP(-LN(2)/2))/(LN(2)/2)*AQ178*AT178*VLOOKUP('Données projet'!$B$10,Paramètres!$A$1:$I$89,3,0)*0.475*44/12</f>
        <v>1.1416872740501311E-9</v>
      </c>
      <c r="AX178" s="21">
        <f t="shared" si="166"/>
        <v>53.882120796753995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68.900890373976949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>
        <f>BD178*VLOOKUP('Données projet'!$B$11,Paramètres!$A$1:$I$89,3,0)*VLOOKUP('Données projet'!$B$11,Paramètres!$A$1:$I$89,5,0)</f>
        <v>0</v>
      </c>
      <c r="BF178" s="13" t="e">
        <f t="shared" si="167"/>
        <v>#NUM!</v>
      </c>
      <c r="BG178" s="20" t="e">
        <f t="shared" si="168"/>
        <v>#NUM!</v>
      </c>
      <c r="BH178" s="59" t="e">
        <f t="shared" si="116"/>
        <v>#NUM!</v>
      </c>
      <c r="BI178" s="59">
        <f ca="1">AVERAGE(OFFSET($BH$3,0,0,'Données projet'!$E$11+1,1))-AVERAGE(OFFSET($H$3,0,0,'Données projet'!$E$11+1,1))</f>
        <v>225.75484198243581</v>
      </c>
      <c r="BJ178" s="59">
        <f t="shared" si="146"/>
        <v>199.49566488421061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1.6789166677054068</v>
      </c>
      <c r="BQ178" s="21">
        <f>EXP(-LN(2)/25)*BQ177+(1-EXP(-LN(2)/25))/(LN(2)/25)*Calculateur!BL178*Calculateur!BN178*VLOOKUP('Données projet'!$B$11,Paramètres!$A$1:$I$89,3,0)*0.475*44/12</f>
        <v>5.0566175994363869</v>
      </c>
      <c r="BR178" s="21">
        <f>EXP(-LN(2)/2)*BR177+(1-EXP(-LN(2)/2))/(LN(2)/2)*BL178*BO178*VLOOKUP('Données projet'!$B$11,Paramètres!$A$1:$I$89,3,0)*0.475*44/12</f>
        <v>0</v>
      </c>
      <c r="BS178" s="22">
        <f t="shared" si="169"/>
        <v>6.7355342671417935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68.900890373976949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1.1368683772161603E-13</v>
      </c>
      <c r="BZ178" s="13">
        <f>BY178*VLOOKUP('Données projet'!$B$12,Paramètres!$A$1:$I$89,3,0)*VLOOKUP('Données projet'!$B$12,Paramètres!$A$1:$I$89,5,0)</f>
        <v>1.0818439477588981E-13</v>
      </c>
      <c r="CA178" s="13">
        <f t="shared" si="170"/>
        <v>1.6104228458716316E-12</v>
      </c>
      <c r="CB178" s="20">
        <f t="shared" si="171"/>
        <v>2.9932409441277661E-12</v>
      </c>
      <c r="CC178" s="59">
        <f t="shared" si="119"/>
        <v>289.30326470458516</v>
      </c>
      <c r="CD178" s="59">
        <f ca="1">AVERAGE(OFFSET($CC$3,0,0,'Données projet'!$E$12+1,1))-AVERAGE(OFFSET($H$3,0,0,'Données projet'!$E$12+1,1))</f>
        <v>413.9352601863377</v>
      </c>
      <c r="CE178" s="59">
        <f t="shared" si="148"/>
        <v>255.13997349799286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15.475188216359259</v>
      </c>
      <c r="CL178" s="21">
        <f>EXP(-LN(2)/25)*CL177+(1-EXP(-LN(2)/25))/(LN(2)/25)*Calculateur!CG178*Calculateur!CI178*VLOOKUP('Données projet'!$B$12,Paramètres!$A$1:$I$89,3,0)*0.475*44/12</f>
        <v>10.060093062372633</v>
      </c>
      <c r="CM178" s="21">
        <f>EXP(-LN(2)/2)*CM177+(1-EXP(-LN(2)/2))/(LN(2)/2)*CG178*CJ178*VLOOKUP('Données projet'!$B$12,Paramètres!$A$1:$I$89,3,0)*0.475*44/12</f>
        <v>3.4165526968924044E-7</v>
      </c>
      <c r="CN178" s="22">
        <f t="shared" si="172"/>
        <v>25.535281620387163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68.900890373976949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2.8421709430404007E-14</v>
      </c>
      <c r="CU178" s="17">
        <f>CT178*VLOOKUP('Données projet'!$B$13,Paramètres!$A$1:$I$89,3,0)*VLOOKUP('Données projet'!$B$13,Paramètres!$A$1:$I$89,5,0)</f>
        <v>2.4829205358400945E-14</v>
      </c>
      <c r="CV178" s="13">
        <f t="shared" si="173"/>
        <v>4.3867331143352915E-13</v>
      </c>
      <c r="CW178" s="20">
        <f t="shared" si="174"/>
        <v>8.0726688341261168E-13</v>
      </c>
      <c r="CX178" s="59">
        <f t="shared" si="122"/>
        <v>289.30326470458294</v>
      </c>
      <c r="CY178" s="59">
        <f ca="1">AVERAGE(OFFSET($CX$3,0,0,'Données projet'!$E$13+1,1))-AVERAGE(OFFSET($H$3,0,0,'Données projet'!$E$13+1,1))</f>
        <v>280.59827778697775</v>
      </c>
      <c r="CZ178" s="59">
        <f t="shared" si="150"/>
        <v>270.86588231964726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>
        <f>EXP(-LN(2)/35)*DF177+(1-EXP(-LN(2)/35))/(LN(2)/35)*DB178*DC178*VLOOKUP('Données projet'!$B$13,Paramètres!$A$1:$I$89,3,0)*0.475*44/12</f>
        <v>5.0263286956115296</v>
      </c>
      <c r="DG178" s="21">
        <f>EXP(-LN(2)/25)*DG177+(1-EXP(-LN(2)/25))/(LN(2)/25)*Calculateur!DB178*Calculateur!DD178*VLOOKUP('Données projet'!$B$13,Paramètres!$A$1:$I$89,3,0)*0.475*44/12</f>
        <v>2.620178873566906</v>
      </c>
      <c r="DH178" s="21">
        <f>EXP(-LN(2)/2)*DH177+(1-EXP(-LN(2)/2))/(LN(2)/2)*DB178*DE178*VLOOKUP('Données projet'!$B$13,Paramètres!$A$1:$I$89,3,0)*0.475*44/12</f>
        <v>2.2833636894068001E-13</v>
      </c>
      <c r="DI178" s="22">
        <f t="shared" si="175"/>
        <v>7.6465075691786639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68.900890373976949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>
        <f>DO178*VLOOKUP('Données projet'!$B$14,Paramètres!$A$1:$I$89,3,0)*VLOOKUP('Données projet'!$B$14,Paramètres!$A$1:$I$89,5,0)</f>
        <v>0</v>
      </c>
      <c r="DQ178" s="13" t="e">
        <f t="shared" si="176"/>
        <v>#NUM!</v>
      </c>
      <c r="DR178" s="20" t="e">
        <f t="shared" si="177"/>
        <v>#NUM!</v>
      </c>
      <c r="DS178" s="59" t="e">
        <f t="shared" si="125"/>
        <v>#NUM!</v>
      </c>
      <c r="DT178" s="59">
        <f ca="1">AVERAGE(OFFSET($DS$3,0,0,'Données projet'!$E$14+1,1))-AVERAGE(OFFSET($H$3,0,0,'Données projet'!$E$14+1,1))</f>
        <v>211.42385430331873</v>
      </c>
      <c r="DU178" s="59">
        <f t="shared" si="152"/>
        <v>146.84623106782686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>
        <f>EXP(-LN(2)/35)*EA177+(1-EXP(-LN(2)/35))/(LN(2)/35)*DW178*DX178*VLOOKUP('Données projet'!$B$14,Paramètres!$A$1:$I$89,3,0)*0.475*44/12</f>
        <v>7.3937185458147514</v>
      </c>
      <c r="EB178" s="21">
        <f>EXP(-LN(2)/25)*EB177+(1-EXP(-LN(2)/25))/(LN(2)/25)*Calculateur!DW178*Calculateur!DY178*VLOOKUP('Données projet'!$B$14,Paramètres!$A$1:$I$89,3,0)*0.475*44/12</f>
        <v>4.8260013500484042</v>
      </c>
      <c r="EC178" s="21">
        <f>EXP(-LN(2)/2)*EC177+(1-EXP(-LN(2)/2))/(LN(2)/2)*DW178*DZ178*VLOOKUP('Données projet'!$B$14,Paramètres!$A$1:$I$89,3,0)*0.475*44/12</f>
        <v>2.7362097464909202E-8</v>
      </c>
      <c r="ED178" s="22">
        <f t="shared" si="178"/>
        <v>12.219719923225252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68.900890373976949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-9.9475983006414026E-14</v>
      </c>
      <c r="EK178" s="17">
        <f>EJ178*VLOOKUP('Données projet'!$B$15,Paramètres!$A$1:$I$89,3,0)*VLOOKUP('Données projet'!$B$15,Paramètres!$A$1:$I$89,5,0)</f>
        <v>-1.0707594810810407E-13</v>
      </c>
      <c r="EL178" s="13" t="e">
        <f t="shared" si="179"/>
        <v>#NUM!</v>
      </c>
      <c r="EM178" s="20" t="e">
        <f t="shared" si="180"/>
        <v>#NUM!</v>
      </c>
      <c r="EN178" s="59" t="e">
        <f t="shared" si="128"/>
        <v>#NUM!</v>
      </c>
      <c r="EO178" s="59">
        <f ca="1">AVERAGE(OFFSET($EN$3,0,0,'Données projet'!$E$15+1,1))-AVERAGE(OFFSET($H$3,0,0,'Données projet'!$E$15+1,1))</f>
        <v>212.00478362779876</v>
      </c>
      <c r="EP178" s="59">
        <f t="shared" si="154"/>
        <v>133.62262474506707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>
        <f>EXP(-LN(2)/35)*EV177+(1-EXP(-LN(2)/35))/(LN(2)/35)*ER178*ES178*VLOOKUP('Données projet'!$B$15,Paramètres!$A$1:$I$89,3,0)*0.475*44/12</f>
        <v>5.2697607272941527</v>
      </c>
      <c r="EW178" s="21">
        <f>EXP(-LN(2)/25)*EW177+(1-EXP(-LN(2)/25))/(LN(2)/25)*Calculateur!ER178*Calculateur!ET178*VLOOKUP('Données projet'!$B$15,Paramètres!$A$1:$I$89,3,0)*0.475*44/12</f>
        <v>4.4552584404103275</v>
      </c>
      <c r="EX178" s="21">
        <f>EXP(-LN(2)/2)*EX177+(1-EXP(-LN(2)/2))/(LN(2)/2)*ER178*EU178*VLOOKUP('Données projet'!$B$15,Paramètres!$A$1:$I$89,3,0)*0.475*44/12</f>
        <v>1.656168991643215E-7</v>
      </c>
      <c r="EY178" s="22">
        <f t="shared" si="181"/>
        <v>9.7250193333213808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68.900890373976949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-9.9475983006414026E-14</v>
      </c>
      <c r="FF178" s="17">
        <f>FE178*VLOOKUP('Données projet'!$B$16,Paramètres!$A$1:$I$89,3,0)*VLOOKUP('Données projet'!$B$16,Paramètres!$A$1:$I$89,5,0)</f>
        <v>-9.6213170763803652E-14</v>
      </c>
      <c r="FG178" s="13" t="e">
        <f t="shared" si="182"/>
        <v>#NUM!</v>
      </c>
      <c r="FH178" s="20" t="e">
        <f t="shared" si="183"/>
        <v>#NUM!</v>
      </c>
      <c r="FI178" s="59" t="e">
        <f t="shared" si="131"/>
        <v>#NUM!</v>
      </c>
      <c r="FJ178" s="59">
        <f ca="1">AVERAGE(OFFSET($FI$3,0,0,'Données projet'!$E$16+1,1))-AVERAGE(OFFSET($H$3,0,0,'Données projet'!$E$16+1,1))</f>
        <v>196.65742339093146</v>
      </c>
      <c r="FK178" s="59">
        <f t="shared" si="156"/>
        <v>125.41980634506001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>
        <f>EXP(-LN(2)/35)*FQ177+(1-EXP(-LN(2)/35))/(LN(2)/35)*FM178*FN178*VLOOKUP('Données projet'!$B$16,Paramètres!$A$1:$I$89,3,0)*0.475*44/12</f>
        <v>4.7351473201773571</v>
      </c>
      <c r="FR178" s="21">
        <f>EXP(-LN(2)/25)*FR177+(1-EXP(-LN(2)/25))/(LN(2)/25)*Calculateur!FM178*Calculateur!FO178*VLOOKUP('Données projet'!$B$16,Paramètres!$A$1:$I$89,3,0)*0.475*44/12</f>
        <v>4.0032757000788477</v>
      </c>
      <c r="FS178" s="21">
        <f>EXP(-LN(2)/2)*FS177+(1-EXP(-LN(2)/2))/(LN(2)/2)*FM178*FP178*VLOOKUP('Données projet'!$B$16,Paramètres!$A$1:$I$89,3,0)*0.475*44/12</f>
        <v>1.4881518475634638E-7</v>
      </c>
      <c r="FT178" s="22">
        <f t="shared" si="184"/>
        <v>8.7384231690713889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68.900890373976949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68.900890373976949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>
      <c r="A179" s="10">
        <f t="shared" si="161"/>
        <v>176</v>
      </c>
      <c r="B179" s="73">
        <f>'Scénario référence'!$B$16*5+'Scénario référence'!$B$17*0+'Scénario référence'!$B$18*5</f>
        <v>4.6999999999999993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9.3899520000000241</v>
      </c>
      <c r="D179" s="11">
        <f t="shared" si="140"/>
        <v>3.3342443242855127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22.092645315107685</v>
      </c>
      <c r="H179" s="67">
        <f t="shared" si="110"/>
        <v>209.89464193146398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68.919957468747455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-2.2737367544323206E-13</v>
      </c>
      <c r="O179" s="13">
        <f>N179*VLOOKUP('Données projet'!$B$9,Paramètres!$A$1:$I$89,3,0)*VLOOKUP('Données projet'!$B$9,Paramètres!$A$1:$I$89,5,0)</f>
        <v>-1.3596945791505279E-13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366.93249569585623</v>
      </c>
      <c r="T179" s="59">
        <f t="shared" si="142"/>
        <v>272.47262353368501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22.896426995958283</v>
      </c>
      <c r="AA179" s="21">
        <f>EXP(-LN(2)/25)*AA178+(1-EXP(-LN(2)/25))/(LN(2)/25)*Calculateur!V179*Calculateur!X179*VLOOKUP('Données projet'!$B$9,Paramètres!$A$1:$I$89,3,0)*0.475*44/12</f>
        <v>3.6133326358004152</v>
      </c>
      <c r="AB179" s="21">
        <f>EXP(-LN(2)/2)*AB178+(1-EXP(-LN(2)/2))/(LN(2)/2)*V179*Y179*VLOOKUP('Données projet'!$B$9,Paramètres!$A$1:$I$89,3,0)*0.475*44/12</f>
        <v>2.5123598419870315E-13</v>
      </c>
      <c r="AC179" s="22">
        <f t="shared" si="163"/>
        <v>26.50975963175895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68.919957468747455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1.1368683772161603E-13</v>
      </c>
      <c r="AJ179" s="13">
        <f>AI179*VLOOKUP('Données projet'!$B$10,Paramètres!$A$1:$I$89,3,0)*VLOOKUP('Données projet'!$B$10,Paramètres!$A$1:$I$89,5,0)</f>
        <v>5.3205440053716299E-14</v>
      </c>
      <c r="AK179" s="13">
        <f t="shared" si="164"/>
        <v>8.602146238565607E-13</v>
      </c>
      <c r="AL179" s="20">
        <f t="shared" si="165"/>
        <v>1.590873277977066E-12</v>
      </c>
      <c r="AM179" s="59">
        <f t="shared" si="113"/>
        <v>289.37317738540895</v>
      </c>
      <c r="AN179" s="59">
        <f ca="1">AVERAGE(OFFSET($AM$3,0,0,'Données projet'!$E$10+1,1))-AVERAGE(OFFSET($H$3,0,0,'Données projet'!$E$10+1,1))</f>
        <v>382.89338473200229</v>
      </c>
      <c r="AO179" s="59">
        <f t="shared" si="144"/>
        <v>360.46248248971744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45.159654819312706</v>
      </c>
      <c r="AV179" s="21">
        <f>EXP(-LN(2)/25)*AV178+(1-EXP(-LN(2)/25))/(LN(2)/25)*Calculateur!AQ179*Calculateur!AS179*VLOOKUP('Données projet'!$B$10,Paramètres!$A$1:$I$89,3,0)*0.475*44/12</f>
        <v>7.6053837583718149</v>
      </c>
      <c r="AW179" s="21">
        <f>EXP(-LN(2)/2)*AW178+(1-EXP(-LN(2)/2))/(LN(2)/2)*AQ179*AT179*VLOOKUP('Données projet'!$B$10,Paramètres!$A$1:$I$89,3,0)*0.475*44/12</f>
        <v>8.0729481347523198E-10</v>
      </c>
      <c r="AX179" s="21">
        <f t="shared" si="166"/>
        <v>52.765038578491819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68.919957468747455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>
        <f>BD179*VLOOKUP('Données projet'!$B$11,Paramètres!$A$1:$I$89,3,0)*VLOOKUP('Données projet'!$B$11,Paramètres!$A$1:$I$89,5,0)</f>
        <v>0</v>
      </c>
      <c r="BF179" s="13" t="e">
        <f t="shared" si="167"/>
        <v>#NUM!</v>
      </c>
      <c r="BG179" s="20" t="e">
        <f t="shared" si="168"/>
        <v>#NUM!</v>
      </c>
      <c r="BH179" s="59" t="e">
        <f t="shared" si="116"/>
        <v>#NUM!</v>
      </c>
      <c r="BI179" s="59">
        <f ca="1">AVERAGE(OFFSET($BH$3,0,0,'Données projet'!$E$11+1,1))-AVERAGE(OFFSET($H$3,0,0,'Données projet'!$E$11+1,1))</f>
        <v>225.75484198243581</v>
      </c>
      <c r="BJ179" s="59">
        <f t="shared" si="146"/>
        <v>199.49566488421061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1.6459941358897556</v>
      </c>
      <c r="BQ179" s="21">
        <f>EXP(-LN(2)/25)*BQ178+(1-EXP(-LN(2)/25))/(LN(2)/25)*Calculateur!BL179*Calculateur!BN179*VLOOKUP('Données projet'!$B$11,Paramètres!$A$1:$I$89,3,0)*0.475*44/12</f>
        <v>4.918344125263836</v>
      </c>
      <c r="BR179" s="21">
        <f>EXP(-LN(2)/2)*BR178+(1-EXP(-LN(2)/2))/(LN(2)/2)*BL179*BO179*VLOOKUP('Données projet'!$B$11,Paramètres!$A$1:$I$89,3,0)*0.475*44/12</f>
        <v>0</v>
      </c>
      <c r="BS179" s="22">
        <f t="shared" si="169"/>
        <v>6.5643382611535914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68.919957468747455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1.1368683772161603E-13</v>
      </c>
      <c r="BZ179" s="13">
        <f>BY179*VLOOKUP('Données projet'!$B$12,Paramètres!$A$1:$I$89,3,0)*VLOOKUP('Données projet'!$B$12,Paramètres!$A$1:$I$89,5,0)</f>
        <v>1.0818439477588981E-13</v>
      </c>
      <c r="CA179" s="13">
        <f t="shared" si="170"/>
        <v>1.6104228458716316E-12</v>
      </c>
      <c r="CB179" s="20">
        <f t="shared" si="171"/>
        <v>2.9932409441277661E-12</v>
      </c>
      <c r="CC179" s="59">
        <f t="shared" si="119"/>
        <v>289.37317738541037</v>
      </c>
      <c r="CD179" s="59">
        <f ca="1">AVERAGE(OFFSET($CC$3,0,0,'Données projet'!$E$12+1,1))-AVERAGE(OFFSET($H$3,0,0,'Données projet'!$E$12+1,1))</f>
        <v>413.9352601863377</v>
      </c>
      <c r="CE179" s="59">
        <f t="shared" si="148"/>
        <v>255.13997349799286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15.171729214369249</v>
      </c>
      <c r="CL179" s="21">
        <f>EXP(-LN(2)/25)*CL178+(1-EXP(-LN(2)/25))/(LN(2)/25)*Calculateur!CG179*Calculateur!CI179*VLOOKUP('Données projet'!$B$12,Paramètres!$A$1:$I$89,3,0)*0.475*44/12</f>
        <v>9.7849992885447516</v>
      </c>
      <c r="CM179" s="21">
        <f>EXP(-LN(2)/2)*CM178+(1-EXP(-LN(2)/2))/(LN(2)/2)*CG179*CJ179*VLOOKUP('Données projet'!$B$12,Paramètres!$A$1:$I$89,3,0)*0.475*44/12</f>
        <v>2.4158675802538063E-7</v>
      </c>
      <c r="CN179" s="22">
        <f t="shared" si="172"/>
        <v>24.956728744500758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68.919957468747455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2.8421709430404007E-14</v>
      </c>
      <c r="CU179" s="17">
        <f>CT179*VLOOKUP('Données projet'!$B$13,Paramètres!$A$1:$I$89,3,0)*VLOOKUP('Données projet'!$B$13,Paramètres!$A$1:$I$89,5,0)</f>
        <v>2.4829205358400945E-14</v>
      </c>
      <c r="CV179" s="13">
        <f t="shared" si="173"/>
        <v>4.3867331143352915E-13</v>
      </c>
      <c r="CW179" s="20">
        <f t="shared" si="174"/>
        <v>8.0726688341261168E-13</v>
      </c>
      <c r="CX179" s="59">
        <f t="shared" si="122"/>
        <v>289.37317738540816</v>
      </c>
      <c r="CY179" s="59">
        <f ca="1">AVERAGE(OFFSET($CX$3,0,0,'Données projet'!$E$13+1,1))-AVERAGE(OFFSET($H$3,0,0,'Données projet'!$E$13+1,1))</f>
        <v>280.59827778697775</v>
      </c>
      <c r="CZ179" s="59">
        <f t="shared" si="150"/>
        <v>270.86588231964726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>
        <f>EXP(-LN(2)/35)*DF178+(1-EXP(-LN(2)/35))/(LN(2)/35)*DB179*DC179*VLOOKUP('Données projet'!$B$13,Paramètres!$A$1:$I$89,3,0)*0.475*44/12</f>
        <v>4.9277654556483732</v>
      </c>
      <c r="DG179" s="21">
        <f>EXP(-LN(2)/25)*DG178+(1-EXP(-LN(2)/25))/(LN(2)/25)*Calculateur!DB179*Calculateur!DD179*VLOOKUP('Données projet'!$B$13,Paramètres!$A$1:$I$89,3,0)*0.475*44/12</f>
        <v>2.5485299444800007</v>
      </c>
      <c r="DH179" s="21">
        <f>EXP(-LN(2)/2)*DH178+(1-EXP(-LN(2)/2))/(LN(2)/2)*DB179*DE179*VLOOKUP('Données projet'!$B$13,Paramètres!$A$1:$I$89,3,0)*0.475*44/12</f>
        <v>1.6145819486946821E-13</v>
      </c>
      <c r="DI179" s="22">
        <f t="shared" si="175"/>
        <v>7.4762954001285351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68.919957468747455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>
        <f>DO179*VLOOKUP('Données projet'!$B$14,Paramètres!$A$1:$I$89,3,0)*VLOOKUP('Données projet'!$B$14,Paramètres!$A$1:$I$89,5,0)</f>
        <v>0</v>
      </c>
      <c r="DQ179" s="13" t="e">
        <f t="shared" si="176"/>
        <v>#NUM!</v>
      </c>
      <c r="DR179" s="20" t="e">
        <f t="shared" si="177"/>
        <v>#NUM!</v>
      </c>
      <c r="DS179" s="59" t="e">
        <f t="shared" si="125"/>
        <v>#NUM!</v>
      </c>
      <c r="DT179" s="59">
        <f ca="1">AVERAGE(OFFSET($DS$3,0,0,'Données projet'!$E$14+1,1))-AVERAGE(OFFSET($H$3,0,0,'Données projet'!$E$14+1,1))</f>
        <v>211.42385430331873</v>
      </c>
      <c r="DU179" s="59">
        <f t="shared" si="152"/>
        <v>146.84623106782686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>
        <f>EXP(-LN(2)/35)*EA178+(1-EXP(-LN(2)/35))/(LN(2)/35)*DW179*DX179*VLOOKUP('Données projet'!$B$14,Paramètres!$A$1:$I$89,3,0)*0.475*44/12</f>
        <v>7.248732234854339</v>
      </c>
      <c r="EB179" s="21">
        <f>EXP(-LN(2)/25)*EB178+(1-EXP(-LN(2)/25))/(LN(2)/25)*Calculateur!DW179*Calculateur!DY179*VLOOKUP('Données projet'!$B$14,Paramètres!$A$1:$I$89,3,0)*0.475*44/12</f>
        <v>4.6940340893429493</v>
      </c>
      <c r="EC179" s="21">
        <f>EXP(-LN(2)/2)*EC178+(1-EXP(-LN(2)/2))/(LN(2)/2)*DW179*DZ179*VLOOKUP('Données projet'!$B$14,Paramètres!$A$1:$I$89,3,0)*0.475*44/12</f>
        <v>1.9347924664924537E-8</v>
      </c>
      <c r="ED179" s="22">
        <f t="shared" si="178"/>
        <v>11.942766343545212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68.919957468747455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-9.9475983006414026E-14</v>
      </c>
      <c r="EK179" s="17">
        <f>EJ179*VLOOKUP('Données projet'!$B$15,Paramètres!$A$1:$I$89,3,0)*VLOOKUP('Données projet'!$B$15,Paramètres!$A$1:$I$89,5,0)</f>
        <v>-1.0707594810810407E-13</v>
      </c>
      <c r="EL179" s="13" t="e">
        <f t="shared" si="179"/>
        <v>#NUM!</v>
      </c>
      <c r="EM179" s="20" t="e">
        <f t="shared" si="180"/>
        <v>#NUM!</v>
      </c>
      <c r="EN179" s="59" t="e">
        <f t="shared" si="128"/>
        <v>#NUM!</v>
      </c>
      <c r="EO179" s="59">
        <f ca="1">AVERAGE(OFFSET($EN$3,0,0,'Données projet'!$E$15+1,1))-AVERAGE(OFFSET($H$3,0,0,'Données projet'!$E$15+1,1))</f>
        <v>212.00478362779876</v>
      </c>
      <c r="EP179" s="59">
        <f t="shared" si="154"/>
        <v>133.62262474506707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>
        <f>EXP(-LN(2)/35)*EV178+(1-EXP(-LN(2)/35))/(LN(2)/35)*ER179*ES179*VLOOKUP('Données projet'!$B$15,Paramètres!$A$1:$I$89,3,0)*0.475*44/12</f>
        <v>5.1664239336685789</v>
      </c>
      <c r="EW179" s="21">
        <f>EXP(-LN(2)/25)*EW178+(1-EXP(-LN(2)/25))/(LN(2)/25)*Calculateur!ER179*Calculateur!ET179*VLOOKUP('Données projet'!$B$15,Paramètres!$A$1:$I$89,3,0)*0.475*44/12</f>
        <v>4.3334291640654481</v>
      </c>
      <c r="EX179" s="21">
        <f>EXP(-LN(2)/2)*EX178+(1-EXP(-LN(2)/2))/(LN(2)/2)*ER179*EU179*VLOOKUP('Données projet'!$B$15,Paramètres!$A$1:$I$89,3,0)*0.475*44/12</f>
        <v>1.171088324781804E-7</v>
      </c>
      <c r="EY179" s="22">
        <f t="shared" si="181"/>
        <v>9.4998532148428598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68.919957468747455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-9.9475983006414026E-14</v>
      </c>
      <c r="FF179" s="17">
        <f>FE179*VLOOKUP('Données projet'!$B$16,Paramètres!$A$1:$I$89,3,0)*VLOOKUP('Données projet'!$B$16,Paramètres!$A$1:$I$89,5,0)</f>
        <v>-9.6213170763803652E-14</v>
      </c>
      <c r="FG179" s="13" t="e">
        <f t="shared" si="182"/>
        <v>#NUM!</v>
      </c>
      <c r="FH179" s="20" t="e">
        <f t="shared" si="183"/>
        <v>#NUM!</v>
      </c>
      <c r="FI179" s="59" t="e">
        <f t="shared" si="131"/>
        <v>#NUM!</v>
      </c>
      <c r="FJ179" s="59">
        <f ca="1">AVERAGE(OFFSET($FI$3,0,0,'Données projet'!$E$16+1,1))-AVERAGE(OFFSET($H$3,0,0,'Données projet'!$E$16+1,1))</f>
        <v>196.65742339093146</v>
      </c>
      <c r="FK179" s="59">
        <f t="shared" si="156"/>
        <v>125.41980634506001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>
        <f>EXP(-LN(2)/35)*FQ178+(1-EXP(-LN(2)/35))/(LN(2)/35)*FM179*FN179*VLOOKUP('Données projet'!$B$16,Paramètres!$A$1:$I$89,3,0)*0.475*44/12</f>
        <v>4.6422939693833625</v>
      </c>
      <c r="FR179" s="21">
        <f>EXP(-LN(2)/25)*FR178+(1-EXP(-LN(2)/25))/(LN(2)/25)*Calculateur!FM179*Calculateur!FO179*VLOOKUP('Données projet'!$B$16,Paramètres!$A$1:$I$89,3,0)*0.475*44/12</f>
        <v>3.8938059155370723</v>
      </c>
      <c r="FS179" s="21">
        <f>EXP(-LN(2)/2)*FS178+(1-EXP(-LN(2)/2))/(LN(2)/2)*FM179*FP179*VLOOKUP('Données projet'!$B$16,Paramètres!$A$1:$I$89,3,0)*0.475*44/12</f>
        <v>1.0522822628474146E-7</v>
      </c>
      <c r="FT179" s="22">
        <f t="shared" si="184"/>
        <v>8.5360999901486618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68.919957468747455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68.919957468747455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>
      <c r="A180" s="10">
        <f t="shared" si="161"/>
        <v>177</v>
      </c>
      <c r="B180" s="73">
        <f>'Scénario référence'!$B$16*5+'Scénario référence'!$B$17*0+'Scénario référence'!$B$18*5</f>
        <v>4.6999999999999993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9.4433040000000243</v>
      </c>
      <c r="D180" s="11">
        <f t="shared" si="140"/>
        <v>3.3509782226055038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22.125106152224312</v>
      </c>
      <c r="H180" s="67">
        <f t="shared" si="110"/>
        <v>210.0167082043713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68.938693792051325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-2.2737367544323206E-13</v>
      </c>
      <c r="O180" s="13">
        <f>N180*VLOOKUP('Données projet'!$B$9,Paramètres!$A$1:$I$89,3,0)*VLOOKUP('Données projet'!$B$9,Paramètres!$A$1:$I$89,5,0)</f>
        <v>-1.3596945791505279E-13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366.93249569585623</v>
      </c>
      <c r="T180" s="59">
        <f t="shared" si="142"/>
        <v>272.47262353368501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22.447442028009036</v>
      </c>
      <c r="AA180" s="21">
        <f>EXP(-LN(2)/25)*AA179+(1-EXP(-LN(2)/25))/(LN(2)/25)*Calculateur!V180*Calculateur!X180*VLOOKUP('Données projet'!$B$9,Paramètres!$A$1:$I$89,3,0)*0.475*44/12</f>
        <v>3.5145258648575477</v>
      </c>
      <c r="AB180" s="21">
        <f>EXP(-LN(2)/2)*AB179+(1-EXP(-LN(2)/2))/(LN(2)/2)*V180*Y180*VLOOKUP('Données projet'!$B$9,Paramètres!$A$1:$I$89,3,0)*0.475*44/12</f>
        <v>1.776506681049793E-13</v>
      </c>
      <c r="AC180" s="22">
        <f t="shared" si="163"/>
        <v>25.96196789286676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68.938693792051325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1.1368683772161603E-13</v>
      </c>
      <c r="AJ180" s="13">
        <f>AI180*VLOOKUP('Données projet'!$B$10,Paramètres!$A$1:$I$89,3,0)*VLOOKUP('Données projet'!$B$10,Paramètres!$A$1:$I$89,5,0)</f>
        <v>5.3205440053716299E-14</v>
      </c>
      <c r="AK180" s="13">
        <f t="shared" si="164"/>
        <v>8.602146238565607E-13</v>
      </c>
      <c r="AL180" s="20">
        <f t="shared" si="165"/>
        <v>1.590873277977066E-12</v>
      </c>
      <c r="AM180" s="59">
        <f t="shared" si="113"/>
        <v>289.4418772375231</v>
      </c>
      <c r="AN180" s="59">
        <f ca="1">AVERAGE(OFFSET($AM$3,0,0,'Données projet'!$E$10+1,1))-AVERAGE(OFFSET($H$3,0,0,'Données projet'!$E$10+1,1))</f>
        <v>382.89338473200229</v>
      </c>
      <c r="AO180" s="59">
        <f t="shared" si="144"/>
        <v>360.46248248971744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44.274101532975614</v>
      </c>
      <c r="AV180" s="21">
        <f>EXP(-LN(2)/25)*AV179+(1-EXP(-LN(2)/25))/(LN(2)/25)*Calculateur!AQ180*Calculateur!AS180*VLOOKUP('Données projet'!$B$10,Paramètres!$A$1:$I$89,3,0)*0.475*44/12</f>
        <v>7.3974141395493884</v>
      </c>
      <c r="AW180" s="21">
        <f>EXP(-LN(2)/2)*AW179+(1-EXP(-LN(2)/2))/(LN(2)/2)*AQ180*AT180*VLOOKUP('Données projet'!$B$10,Paramètres!$A$1:$I$89,3,0)*0.475*44/12</f>
        <v>5.7084363702506555E-10</v>
      </c>
      <c r="AX180" s="21">
        <f t="shared" si="166"/>
        <v>51.671515673095847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68.938693792051325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>
        <f>BD180*VLOOKUP('Données projet'!$B$11,Paramètres!$A$1:$I$89,3,0)*VLOOKUP('Données projet'!$B$11,Paramètres!$A$1:$I$89,5,0)</f>
        <v>0</v>
      </c>
      <c r="BF180" s="13" t="e">
        <f t="shared" si="167"/>
        <v>#NUM!</v>
      </c>
      <c r="BG180" s="20" t="e">
        <f t="shared" si="168"/>
        <v>#NUM!</v>
      </c>
      <c r="BH180" s="59" t="e">
        <f t="shared" si="116"/>
        <v>#NUM!</v>
      </c>
      <c r="BI180" s="59">
        <f ca="1">AVERAGE(OFFSET($BH$3,0,0,'Données projet'!$E$11+1,1))-AVERAGE(OFFSET($H$3,0,0,'Données projet'!$E$11+1,1))</f>
        <v>225.75484198243581</v>
      </c>
      <c r="BJ180" s="59">
        <f t="shared" si="146"/>
        <v>199.49566488421061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1.613717194842248</v>
      </c>
      <c r="BQ180" s="21">
        <f>EXP(-LN(2)/25)*BQ179+(1-EXP(-LN(2)/25))/(LN(2)/25)*Calculateur!BL180*Calculateur!BN180*VLOOKUP('Données projet'!$B$11,Paramètres!$A$1:$I$89,3,0)*0.475*44/12</f>
        <v>4.7838517465140198</v>
      </c>
      <c r="BR180" s="21">
        <f>EXP(-LN(2)/2)*BR179+(1-EXP(-LN(2)/2))/(LN(2)/2)*BL180*BO180*VLOOKUP('Données projet'!$B$11,Paramètres!$A$1:$I$89,3,0)*0.475*44/12</f>
        <v>0</v>
      </c>
      <c r="BS180" s="22">
        <f t="shared" si="169"/>
        <v>6.3975689413562673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68.938693792051325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1.1368683772161603E-13</v>
      </c>
      <c r="BZ180" s="13">
        <f>BY180*VLOOKUP('Données projet'!$B$12,Paramètres!$A$1:$I$89,3,0)*VLOOKUP('Données projet'!$B$12,Paramètres!$A$1:$I$89,5,0)</f>
        <v>1.0818439477588981E-13</v>
      </c>
      <c r="CA180" s="13">
        <f t="shared" si="170"/>
        <v>1.6104228458716316E-12</v>
      </c>
      <c r="CB180" s="20">
        <f t="shared" si="171"/>
        <v>2.9932409441277661E-12</v>
      </c>
      <c r="CC180" s="59">
        <f t="shared" si="119"/>
        <v>289.44187723752452</v>
      </c>
      <c r="CD180" s="59">
        <f ca="1">AVERAGE(OFFSET($CC$3,0,0,'Données projet'!$E$12+1,1))-AVERAGE(OFFSET($H$3,0,0,'Données projet'!$E$12+1,1))</f>
        <v>413.9352601863377</v>
      </c>
      <c r="CE180" s="59">
        <f t="shared" si="148"/>
        <v>255.13997349799286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14.874220858316548</v>
      </c>
      <c r="CL180" s="21">
        <f>EXP(-LN(2)/25)*CL179+(1-EXP(-LN(2)/25))/(LN(2)/25)*Calculateur!CG180*Calculateur!CI180*VLOOKUP('Données projet'!$B$12,Paramètres!$A$1:$I$89,3,0)*0.475*44/12</f>
        <v>9.5174279684287466</v>
      </c>
      <c r="CM180" s="21">
        <f>EXP(-LN(2)/2)*CM179+(1-EXP(-LN(2)/2))/(LN(2)/2)*CG180*CJ180*VLOOKUP('Données projet'!$B$12,Paramètres!$A$1:$I$89,3,0)*0.475*44/12</f>
        <v>1.7082763484462022E-7</v>
      </c>
      <c r="CN180" s="22">
        <f t="shared" si="172"/>
        <v>24.391648997572933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68.938693792051325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2.8421709430404007E-14</v>
      </c>
      <c r="CU180" s="17">
        <f>CT180*VLOOKUP('Données projet'!$B$13,Paramètres!$A$1:$I$89,3,0)*VLOOKUP('Données projet'!$B$13,Paramètres!$A$1:$I$89,5,0)</f>
        <v>2.4829205358400945E-14</v>
      </c>
      <c r="CV180" s="13">
        <f t="shared" si="173"/>
        <v>4.3867331143352915E-13</v>
      </c>
      <c r="CW180" s="20">
        <f t="shared" si="174"/>
        <v>8.0726688341261168E-13</v>
      </c>
      <c r="CX180" s="59">
        <f t="shared" si="122"/>
        <v>289.44187723752231</v>
      </c>
      <c r="CY180" s="59">
        <f ca="1">AVERAGE(OFFSET($CX$3,0,0,'Données projet'!$E$13+1,1))-AVERAGE(OFFSET($H$3,0,0,'Données projet'!$E$13+1,1))</f>
        <v>280.59827778697775</v>
      </c>
      <c r="CZ180" s="59">
        <f t="shared" si="150"/>
        <v>270.86588231964726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>
        <f>EXP(-LN(2)/35)*DF179+(1-EXP(-LN(2)/35))/(LN(2)/35)*DB180*DC180*VLOOKUP('Données projet'!$B$13,Paramètres!$A$1:$I$89,3,0)*0.475*44/12</f>
        <v>4.8311349807032542</v>
      </c>
      <c r="DG180" s="21">
        <f>EXP(-LN(2)/25)*DG179+(1-EXP(-LN(2)/25))/(LN(2)/25)*Calculateur!DB180*Calculateur!DD180*VLOOKUP('Données projet'!$B$13,Paramètres!$A$1:$I$89,3,0)*0.475*44/12</f>
        <v>2.4788402591268301</v>
      </c>
      <c r="DH180" s="21">
        <f>EXP(-LN(2)/2)*DH179+(1-EXP(-LN(2)/2))/(LN(2)/2)*DB180*DE180*VLOOKUP('Données projet'!$B$13,Paramètres!$A$1:$I$89,3,0)*0.475*44/12</f>
        <v>1.1416818447034001E-13</v>
      </c>
      <c r="DI180" s="22">
        <f t="shared" si="175"/>
        <v>7.3099752398301989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68.938693792051325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>
        <f>DO180*VLOOKUP('Données projet'!$B$14,Paramètres!$A$1:$I$89,3,0)*VLOOKUP('Données projet'!$B$14,Paramètres!$A$1:$I$89,5,0)</f>
        <v>0</v>
      </c>
      <c r="DQ180" s="13" t="e">
        <f t="shared" si="176"/>
        <v>#NUM!</v>
      </c>
      <c r="DR180" s="20" t="e">
        <f t="shared" si="177"/>
        <v>#NUM!</v>
      </c>
      <c r="DS180" s="59" t="e">
        <f t="shared" si="125"/>
        <v>#NUM!</v>
      </c>
      <c r="DT180" s="59">
        <f ca="1">AVERAGE(OFFSET($DS$3,0,0,'Données projet'!$E$14+1,1))-AVERAGE(OFFSET($H$3,0,0,'Données projet'!$E$14+1,1))</f>
        <v>211.42385430331873</v>
      </c>
      <c r="DU180" s="59">
        <f t="shared" si="152"/>
        <v>146.84623106782686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>
        <f>EXP(-LN(2)/35)*EA179+(1-EXP(-LN(2)/35))/(LN(2)/35)*DW180*DX180*VLOOKUP('Données projet'!$B$14,Paramètres!$A$1:$I$89,3,0)*0.475*44/12</f>
        <v>7.1065890170189423</v>
      </c>
      <c r="EB180" s="21">
        <f>EXP(-LN(2)/25)*EB179+(1-EXP(-LN(2)/25))/(LN(2)/25)*Calculateur!DW180*Calculateur!DY180*VLOOKUP('Données projet'!$B$14,Paramètres!$A$1:$I$89,3,0)*0.475*44/12</f>
        <v>4.5656754803213415</v>
      </c>
      <c r="EC180" s="21">
        <f>EXP(-LN(2)/2)*EC179+(1-EXP(-LN(2)/2))/(LN(2)/2)*DW180*DZ180*VLOOKUP('Données projet'!$B$14,Paramètres!$A$1:$I$89,3,0)*0.475*44/12</f>
        <v>1.3681048732454601E-8</v>
      </c>
      <c r="ED180" s="22">
        <f t="shared" si="178"/>
        <v>11.672264511021332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68.938693792051325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-9.9475983006414026E-14</v>
      </c>
      <c r="EK180" s="17">
        <f>EJ180*VLOOKUP('Données projet'!$B$15,Paramètres!$A$1:$I$89,3,0)*VLOOKUP('Données projet'!$B$15,Paramètres!$A$1:$I$89,5,0)</f>
        <v>-1.0707594810810407E-13</v>
      </c>
      <c r="EL180" s="13" t="e">
        <f t="shared" si="179"/>
        <v>#NUM!</v>
      </c>
      <c r="EM180" s="20" t="e">
        <f t="shared" si="180"/>
        <v>#NUM!</v>
      </c>
      <c r="EN180" s="59" t="e">
        <f t="shared" si="128"/>
        <v>#NUM!</v>
      </c>
      <c r="EO180" s="59">
        <f ca="1">AVERAGE(OFFSET($EN$3,0,0,'Données projet'!$E$15+1,1))-AVERAGE(OFFSET($H$3,0,0,'Données projet'!$E$15+1,1))</f>
        <v>212.00478362779876</v>
      </c>
      <c r="EP180" s="59">
        <f t="shared" si="154"/>
        <v>133.62262474506707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>
        <f>EXP(-LN(2)/35)*EV179+(1-EXP(-LN(2)/35))/(LN(2)/35)*ER180*ES180*VLOOKUP('Données projet'!$B$15,Paramètres!$A$1:$I$89,3,0)*0.475*44/12</f>
        <v>5.065113511536782</v>
      </c>
      <c r="EW180" s="21">
        <f>EXP(-LN(2)/25)*EW179+(1-EXP(-LN(2)/25))/(LN(2)/25)*Calculateur!ER180*Calculateur!ET180*VLOOKUP('Données projet'!$B$15,Paramètres!$A$1:$I$89,3,0)*0.475*44/12</f>
        <v>4.2149313156889425</v>
      </c>
      <c r="EX180" s="21">
        <f>EXP(-LN(2)/2)*EX179+(1-EXP(-LN(2)/2))/(LN(2)/2)*ER180*EU180*VLOOKUP('Données projet'!$B$15,Paramètres!$A$1:$I$89,3,0)*0.475*44/12</f>
        <v>8.2808449582160765E-8</v>
      </c>
      <c r="EY180" s="22">
        <f t="shared" si="181"/>
        <v>9.2800449100341744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68.938693792051325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-9.9475983006414026E-14</v>
      </c>
      <c r="FF180" s="17">
        <f>FE180*VLOOKUP('Données projet'!$B$16,Paramètres!$A$1:$I$89,3,0)*VLOOKUP('Données projet'!$B$16,Paramètres!$A$1:$I$89,5,0)</f>
        <v>-9.6213170763803652E-14</v>
      </c>
      <c r="FG180" s="13" t="e">
        <f t="shared" si="182"/>
        <v>#NUM!</v>
      </c>
      <c r="FH180" s="20" t="e">
        <f t="shared" si="183"/>
        <v>#NUM!</v>
      </c>
      <c r="FI180" s="59" t="e">
        <f t="shared" si="131"/>
        <v>#NUM!</v>
      </c>
      <c r="FJ180" s="59">
        <f ca="1">AVERAGE(OFFSET($FI$3,0,0,'Données projet'!$E$16+1,1))-AVERAGE(OFFSET($H$3,0,0,'Données projet'!$E$16+1,1))</f>
        <v>196.65742339093146</v>
      </c>
      <c r="FK180" s="59">
        <f t="shared" si="156"/>
        <v>125.41980634506001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>
        <f>EXP(-LN(2)/35)*FQ179+(1-EXP(-LN(2)/35))/(LN(2)/35)*FM180*FN180*VLOOKUP('Données projet'!$B$16,Paramètres!$A$1:$I$89,3,0)*0.475*44/12</f>
        <v>4.551261416163487</v>
      </c>
      <c r="FR180" s="21">
        <f>EXP(-LN(2)/25)*FR179+(1-EXP(-LN(2)/25))/(LN(2)/25)*Calculateur!FM180*Calculateur!FO180*VLOOKUP('Données projet'!$B$16,Paramètres!$A$1:$I$89,3,0)*0.475*44/12</f>
        <v>3.7873295880103575</v>
      </c>
      <c r="FS180" s="21">
        <f>EXP(-LN(2)/2)*FS179+(1-EXP(-LN(2)/2))/(LN(2)/2)*FM180*FP180*VLOOKUP('Données projet'!$B$16,Paramètres!$A$1:$I$89,3,0)*0.475*44/12</f>
        <v>7.4407592378173188E-8</v>
      </c>
      <c r="FT180" s="22">
        <f t="shared" si="184"/>
        <v>8.3385910785814374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68.938693792051325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68.938693792051325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>
      <c r="A181" s="10">
        <f t="shared" si="161"/>
        <v>178</v>
      </c>
      <c r="B181" s="73">
        <f>'Scénario référence'!$B$16*5+'Scénario référence'!$B$17*0+'Scénario référence'!$B$18*5</f>
        <v>4.6999999999999993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9.4966560000000246</v>
      </c>
      <c r="D181" s="11">
        <f t="shared" si="140"/>
        <v>3.3677011198159388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22.1575618940902</v>
      </c>
      <c r="H181" s="67">
        <f t="shared" si="110"/>
        <v>210.13875531701282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68.957105082034005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-2.2737367544323206E-13</v>
      </c>
      <c r="O181" s="13">
        <f>N181*VLOOKUP('Données projet'!$B$9,Paramètres!$A$1:$I$89,3,0)*VLOOKUP('Données projet'!$B$9,Paramètres!$A$1:$I$89,5,0)</f>
        <v>-1.3596945791505279E-13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366.93249569585623</v>
      </c>
      <c r="T181" s="59">
        <f t="shared" si="142"/>
        <v>272.47262353368501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22.007261381427483</v>
      </c>
      <c r="AA181" s="21">
        <f>EXP(-LN(2)/25)*AA180+(1-EXP(-LN(2)/25))/(LN(2)/25)*Calculateur!V181*Calculateur!X181*VLOOKUP('Données projet'!$B$9,Paramètres!$A$1:$I$89,3,0)*0.475*44/12</f>
        <v>3.4184209702621353</v>
      </c>
      <c r="AB181" s="21">
        <f>EXP(-LN(2)/2)*AB180+(1-EXP(-LN(2)/2))/(LN(2)/2)*V181*Y181*VLOOKUP('Données projet'!$B$9,Paramètres!$A$1:$I$89,3,0)*0.475*44/12</f>
        <v>1.2561799209935157E-13</v>
      </c>
      <c r="AC181" s="22">
        <f t="shared" si="163"/>
        <v>25.425682351689744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68.957105082034005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1.1368683772161603E-13</v>
      </c>
      <c r="AJ181" s="13">
        <f>AI181*VLOOKUP('Données projet'!$B$10,Paramètres!$A$1:$I$89,3,0)*VLOOKUP('Données projet'!$B$10,Paramètres!$A$1:$I$89,5,0)</f>
        <v>5.3205440053716299E-14</v>
      </c>
      <c r="AK181" s="13">
        <f t="shared" si="164"/>
        <v>8.602146238565607E-13</v>
      </c>
      <c r="AL181" s="20">
        <f t="shared" si="165"/>
        <v>1.590873277977066E-12</v>
      </c>
      <c r="AM181" s="59">
        <f t="shared" si="113"/>
        <v>289.50938530079293</v>
      </c>
      <c r="AN181" s="59">
        <f ca="1">AVERAGE(OFFSET($AM$3,0,0,'Données projet'!$E$10+1,1))-AVERAGE(OFFSET($H$3,0,0,'Données projet'!$E$10+1,1))</f>
        <v>382.89338473200229</v>
      </c>
      <c r="AO181" s="59">
        <f t="shared" si="144"/>
        <v>360.46248248971744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43.405913406449422</v>
      </c>
      <c r="AV181" s="21">
        <f>EXP(-LN(2)/25)*AV180+(1-EXP(-LN(2)/25))/(LN(2)/25)*Calculateur!AQ181*Calculateur!AS181*VLOOKUP('Données projet'!$B$10,Paramètres!$A$1:$I$89,3,0)*0.475*44/12</f>
        <v>7.1951314608903081</v>
      </c>
      <c r="AW181" s="21">
        <f>EXP(-LN(2)/2)*AW180+(1-EXP(-LN(2)/2))/(LN(2)/2)*AQ181*AT181*VLOOKUP('Données projet'!$B$10,Paramètres!$A$1:$I$89,3,0)*0.475*44/12</f>
        <v>4.0364740673761599E-10</v>
      </c>
      <c r="AX181" s="21">
        <f t="shared" si="166"/>
        <v>50.601044867743376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68.957105082034005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>
        <f>BD181*VLOOKUP('Données projet'!$B$11,Paramètres!$A$1:$I$89,3,0)*VLOOKUP('Données projet'!$B$11,Paramètres!$A$1:$I$89,5,0)</f>
        <v>0</v>
      </c>
      <c r="BF181" s="13" t="e">
        <f t="shared" si="167"/>
        <v>#NUM!</v>
      </c>
      <c r="BG181" s="20" t="e">
        <f t="shared" si="168"/>
        <v>#NUM!</v>
      </c>
      <c r="BH181" s="59" t="e">
        <f t="shared" si="116"/>
        <v>#NUM!</v>
      </c>
      <c r="BI181" s="59">
        <f ca="1">AVERAGE(OFFSET($BH$3,0,0,'Données projet'!$E$11+1,1))-AVERAGE(OFFSET($H$3,0,0,'Données projet'!$E$11+1,1))</f>
        <v>225.75484198243581</v>
      </c>
      <c r="BJ181" s="59">
        <f t="shared" si="146"/>
        <v>199.49566488421061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1.5820731849216918</v>
      </c>
      <c r="BQ181" s="21">
        <f>EXP(-LN(2)/25)*BQ180+(1-EXP(-LN(2)/25))/(LN(2)/25)*Calculateur!BL181*Calculateur!BN181*VLOOKUP('Données projet'!$B$11,Paramètres!$A$1:$I$89,3,0)*0.475*44/12</f>
        <v>4.6530370689337639</v>
      </c>
      <c r="BR181" s="21">
        <f>EXP(-LN(2)/2)*BR180+(1-EXP(-LN(2)/2))/(LN(2)/2)*BL181*BO181*VLOOKUP('Données projet'!$B$11,Paramètres!$A$1:$I$89,3,0)*0.475*44/12</f>
        <v>0</v>
      </c>
      <c r="BS181" s="22">
        <f t="shared" si="169"/>
        <v>6.2351102538554555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68.957105082034005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1.1368683772161603E-13</v>
      </c>
      <c r="BZ181" s="13">
        <f>BY181*VLOOKUP('Données projet'!$B$12,Paramètres!$A$1:$I$89,3,0)*VLOOKUP('Données projet'!$B$12,Paramètres!$A$1:$I$89,5,0)</f>
        <v>1.0818439477588981E-13</v>
      </c>
      <c r="CA181" s="13">
        <f t="shared" si="170"/>
        <v>1.6104228458716316E-12</v>
      </c>
      <c r="CB181" s="20">
        <f t="shared" si="171"/>
        <v>2.9932409441277661E-12</v>
      </c>
      <c r="CC181" s="59">
        <f t="shared" si="119"/>
        <v>289.50938530079435</v>
      </c>
      <c r="CD181" s="59">
        <f ca="1">AVERAGE(OFFSET($CC$3,0,0,'Données projet'!$E$12+1,1))-AVERAGE(OFFSET($H$3,0,0,'Données projet'!$E$12+1,1))</f>
        <v>413.9352601863377</v>
      </c>
      <c r="CE181" s="59">
        <f t="shared" si="148"/>
        <v>255.13997349799286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14.582546459663861</v>
      </c>
      <c r="CL181" s="21">
        <f>EXP(-LN(2)/25)*CL180+(1-EXP(-LN(2)/25))/(LN(2)/25)*Calculateur!CG181*Calculateur!CI181*VLOOKUP('Données projet'!$B$12,Paramètres!$A$1:$I$89,3,0)*0.475*44/12</f>
        <v>9.2571734001322774</v>
      </c>
      <c r="CM181" s="21">
        <f>EXP(-LN(2)/2)*CM180+(1-EXP(-LN(2)/2))/(LN(2)/2)*CG181*CJ181*VLOOKUP('Données projet'!$B$12,Paramètres!$A$1:$I$89,3,0)*0.475*44/12</f>
        <v>1.2079337901269031E-7</v>
      </c>
      <c r="CN181" s="22">
        <f t="shared" si="172"/>
        <v>23.839719980589521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68.957105082034005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2.8421709430404007E-14</v>
      </c>
      <c r="CU181" s="17">
        <f>CT181*VLOOKUP('Données projet'!$B$13,Paramètres!$A$1:$I$89,3,0)*VLOOKUP('Données projet'!$B$13,Paramètres!$A$1:$I$89,5,0)</f>
        <v>2.4829205358400945E-14</v>
      </c>
      <c r="CV181" s="13">
        <f t="shared" si="173"/>
        <v>4.3867331143352915E-13</v>
      </c>
      <c r="CW181" s="20">
        <f t="shared" si="174"/>
        <v>8.0726688341261168E-13</v>
      </c>
      <c r="CX181" s="59">
        <f t="shared" si="122"/>
        <v>289.50938530079213</v>
      </c>
      <c r="CY181" s="59">
        <f ca="1">AVERAGE(OFFSET($CX$3,0,0,'Données projet'!$E$13+1,1))-AVERAGE(OFFSET($H$3,0,0,'Données projet'!$E$13+1,1))</f>
        <v>280.59827778697775</v>
      </c>
      <c r="CZ181" s="59">
        <f t="shared" si="150"/>
        <v>270.86588231964726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>
        <f>EXP(-LN(2)/35)*DF180+(1-EXP(-LN(2)/35))/(LN(2)/35)*DB181*DC181*VLOOKUP('Données projet'!$B$13,Paramètres!$A$1:$I$89,3,0)*0.475*44/12</f>
        <v>4.7363993704330394</v>
      </c>
      <c r="DG181" s="21">
        <f>EXP(-LN(2)/25)*DG180+(1-EXP(-LN(2)/25))/(LN(2)/25)*Calculateur!DB181*Calculateur!DD181*VLOOKUP('Données projet'!$B$13,Paramètres!$A$1:$I$89,3,0)*0.475*44/12</f>
        <v>2.4110562418844634</v>
      </c>
      <c r="DH181" s="21">
        <f>EXP(-LN(2)/2)*DH180+(1-EXP(-LN(2)/2))/(LN(2)/2)*DB181*DE181*VLOOKUP('Données projet'!$B$13,Paramètres!$A$1:$I$89,3,0)*0.475*44/12</f>
        <v>8.0729097434734106E-14</v>
      </c>
      <c r="DI181" s="22">
        <f t="shared" si="175"/>
        <v>7.1474556123175832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68.957105082034005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>
        <f>DO181*VLOOKUP('Données projet'!$B$14,Paramètres!$A$1:$I$89,3,0)*VLOOKUP('Données projet'!$B$14,Paramètres!$A$1:$I$89,5,0)</f>
        <v>0</v>
      </c>
      <c r="DQ181" s="13" t="e">
        <f t="shared" si="176"/>
        <v>#NUM!</v>
      </c>
      <c r="DR181" s="20" t="e">
        <f t="shared" si="177"/>
        <v>#NUM!</v>
      </c>
      <c r="DS181" s="59" t="e">
        <f t="shared" si="125"/>
        <v>#NUM!</v>
      </c>
      <c r="DT181" s="59">
        <f ca="1">AVERAGE(OFFSET($DS$3,0,0,'Données projet'!$E$14+1,1))-AVERAGE(OFFSET($H$3,0,0,'Données projet'!$E$14+1,1))</f>
        <v>211.42385430331873</v>
      </c>
      <c r="DU181" s="59">
        <f t="shared" si="152"/>
        <v>146.84623106782686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>
        <f>EXP(-LN(2)/35)*EA180+(1-EXP(-LN(2)/35))/(LN(2)/35)*DW181*DX181*VLOOKUP('Données projet'!$B$14,Paramètres!$A$1:$I$89,3,0)*0.475*44/12</f>
        <v>6.9672331409864956</v>
      </c>
      <c r="EB181" s="21">
        <f>EXP(-LN(2)/25)*EB180+(1-EXP(-LN(2)/25))/(LN(2)/25)*Calculateur!DW181*Calculateur!DY181*VLOOKUP('Données projet'!$B$14,Paramètres!$A$1:$I$89,3,0)*0.475*44/12</f>
        <v>4.4408268442135155</v>
      </c>
      <c r="EC181" s="21">
        <f>EXP(-LN(2)/2)*EC180+(1-EXP(-LN(2)/2))/(LN(2)/2)*DW181*DZ181*VLOOKUP('Données projet'!$B$14,Paramètres!$A$1:$I$89,3,0)*0.475*44/12</f>
        <v>9.6739623324622687E-9</v>
      </c>
      <c r="ED181" s="22">
        <f t="shared" si="178"/>
        <v>11.408059994873975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68.957105082034005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-9.9475983006414026E-14</v>
      </c>
      <c r="EK181" s="17">
        <f>EJ181*VLOOKUP('Données projet'!$B$15,Paramètres!$A$1:$I$89,3,0)*VLOOKUP('Données projet'!$B$15,Paramètres!$A$1:$I$89,5,0)</f>
        <v>-1.0707594810810407E-13</v>
      </c>
      <c r="EL181" s="13" t="e">
        <f t="shared" si="179"/>
        <v>#NUM!</v>
      </c>
      <c r="EM181" s="20" t="e">
        <f t="shared" si="180"/>
        <v>#NUM!</v>
      </c>
      <c r="EN181" s="59" t="e">
        <f t="shared" si="128"/>
        <v>#NUM!</v>
      </c>
      <c r="EO181" s="59">
        <f ca="1">AVERAGE(OFFSET($EN$3,0,0,'Données projet'!$E$15+1,1))-AVERAGE(OFFSET($H$3,0,0,'Données projet'!$E$15+1,1))</f>
        <v>212.00478362779876</v>
      </c>
      <c r="EP181" s="59">
        <f t="shared" si="154"/>
        <v>133.62262474506707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>
        <f>EXP(-LN(2)/35)*EV180+(1-EXP(-LN(2)/35))/(LN(2)/35)*ER181*ES181*VLOOKUP('Données projet'!$B$15,Paramètres!$A$1:$I$89,3,0)*0.475*44/12</f>
        <v>4.9657897249897331</v>
      </c>
      <c r="EW181" s="21">
        <f>EXP(-LN(2)/25)*EW180+(1-EXP(-LN(2)/25))/(LN(2)/25)*Calculateur!ER181*Calculateur!ET181*VLOOKUP('Données projet'!$B$15,Paramètres!$A$1:$I$89,3,0)*0.475*44/12</f>
        <v>4.0996737972078234</v>
      </c>
      <c r="EX181" s="21">
        <f>EXP(-LN(2)/2)*EX180+(1-EXP(-LN(2)/2))/(LN(2)/2)*ER181*EU181*VLOOKUP('Données projet'!$B$15,Paramètres!$A$1:$I$89,3,0)*0.475*44/12</f>
        <v>5.8554416239090206E-8</v>
      </c>
      <c r="EY181" s="22">
        <f t="shared" si="181"/>
        <v>9.0654635807519739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68.957105082034005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-9.9475983006414026E-14</v>
      </c>
      <c r="FF181" s="17">
        <f>FE181*VLOOKUP('Données projet'!$B$16,Paramètres!$A$1:$I$89,3,0)*VLOOKUP('Données projet'!$B$16,Paramètres!$A$1:$I$89,5,0)</f>
        <v>-9.6213170763803652E-14</v>
      </c>
      <c r="FG181" s="13" t="e">
        <f t="shared" si="182"/>
        <v>#NUM!</v>
      </c>
      <c r="FH181" s="20" t="e">
        <f t="shared" si="183"/>
        <v>#NUM!</v>
      </c>
      <c r="FI181" s="59" t="e">
        <f t="shared" si="131"/>
        <v>#NUM!</v>
      </c>
      <c r="FJ181" s="59">
        <f ca="1">AVERAGE(OFFSET($FI$3,0,0,'Données projet'!$E$16+1,1))-AVERAGE(OFFSET($H$3,0,0,'Données projet'!$E$16+1,1))</f>
        <v>196.65742339093146</v>
      </c>
      <c r="FK181" s="59">
        <f t="shared" si="156"/>
        <v>125.41980634506001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>
        <f>EXP(-LN(2)/35)*FQ180+(1-EXP(-LN(2)/35))/(LN(2)/35)*FM181*FN181*VLOOKUP('Données projet'!$B$16,Paramètres!$A$1:$I$89,3,0)*0.475*44/12</f>
        <v>4.462013955787878</v>
      </c>
      <c r="FR181" s="21">
        <f>EXP(-LN(2)/25)*FR180+(1-EXP(-LN(2)/25))/(LN(2)/25)*Calculateur!FM181*Calculateur!FO181*VLOOKUP('Données projet'!$B$16,Paramètres!$A$1:$I$89,3,0)*0.475*44/12</f>
        <v>3.6837648612592071</v>
      </c>
      <c r="FS181" s="21">
        <f>EXP(-LN(2)/2)*FS180+(1-EXP(-LN(2)/2))/(LN(2)/2)*FM181*FP181*VLOOKUP('Données projet'!$B$16,Paramètres!$A$1:$I$89,3,0)*0.475*44/12</f>
        <v>5.2614113142370731E-8</v>
      </c>
      <c r="FT181" s="22">
        <f t="shared" si="184"/>
        <v>8.1457788696611981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68.957105082034005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68.957105082034005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>
      <c r="A182" s="10">
        <f t="shared" si="161"/>
        <v>179</v>
      </c>
      <c r="B182" s="73">
        <f>'Scénario référence'!$B$16*5+'Scénario référence'!$B$17*0+'Scénario référence'!$B$18*5</f>
        <v>4.6999999999999993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9.5500080000000249</v>
      </c>
      <c r="D182" s="11">
        <f t="shared" si="140"/>
        <v>3.3844130848929601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22.19001257265219</v>
      </c>
      <c r="H182" s="67">
        <f t="shared" si="110"/>
        <v>210.26078338952198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68.975196977296974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-2.2737367544323206E-13</v>
      </c>
      <c r="O182" s="13">
        <f>N182*VLOOKUP('Données projet'!$B$9,Paramètres!$A$1:$I$89,3,0)*VLOOKUP('Données projet'!$B$9,Paramètres!$A$1:$I$89,5,0)</f>
        <v>-1.3596945791505279E-13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366.93249569585623</v>
      </c>
      <c r="T182" s="59">
        <f t="shared" si="142"/>
        <v>272.47262353368501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21.57571240884171</v>
      </c>
      <c r="AA182" s="21">
        <f>EXP(-LN(2)/25)*AA181+(1-EXP(-LN(2)/25))/(LN(2)/25)*Calculateur!V182*Calculateur!X182*VLOOKUP('Données projet'!$B$9,Paramètres!$A$1:$I$89,3,0)*0.475*44/12</f>
        <v>3.3249440690633714</v>
      </c>
      <c r="AB182" s="21">
        <f>EXP(-LN(2)/2)*AB181+(1-EXP(-LN(2)/2))/(LN(2)/2)*V182*Y182*VLOOKUP('Données projet'!$B$9,Paramètres!$A$1:$I$89,3,0)*0.475*44/12</f>
        <v>8.8825334052489649E-14</v>
      </c>
      <c r="AC182" s="22">
        <f t="shared" si="163"/>
        <v>24.900656477905169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68.975196977296974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1.1368683772161603E-13</v>
      </c>
      <c r="AJ182" s="13">
        <f>AI182*VLOOKUP('Données projet'!$B$10,Paramètres!$A$1:$I$89,3,0)*VLOOKUP('Données projet'!$B$10,Paramètres!$A$1:$I$89,5,0)</f>
        <v>5.3205440053716299E-14</v>
      </c>
      <c r="AK182" s="13">
        <f t="shared" si="164"/>
        <v>8.602146238565607E-13</v>
      </c>
      <c r="AL182" s="20">
        <f t="shared" si="165"/>
        <v>1.590873277977066E-12</v>
      </c>
      <c r="AM182" s="59">
        <f t="shared" si="113"/>
        <v>289.57572225009051</v>
      </c>
      <c r="AN182" s="59">
        <f ca="1">AVERAGE(OFFSET($AM$3,0,0,'Données projet'!$E$10+1,1))-AVERAGE(OFFSET($H$3,0,0,'Données projet'!$E$10+1,1))</f>
        <v>382.89338473200229</v>
      </c>
      <c r="AO182" s="59">
        <f t="shared" si="144"/>
        <v>360.46248248971744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42.554749919541941</v>
      </c>
      <c r="AV182" s="21">
        <f>EXP(-LN(2)/25)*AV181+(1-EXP(-LN(2)/25))/(LN(2)/25)*Calculateur!AQ182*Calculateur!AS182*VLOOKUP('Données projet'!$B$10,Paramètres!$A$1:$I$89,3,0)*0.475*44/12</f>
        <v>6.9983802127167438</v>
      </c>
      <c r="AW182" s="21">
        <f>EXP(-LN(2)/2)*AW181+(1-EXP(-LN(2)/2))/(LN(2)/2)*AQ182*AT182*VLOOKUP('Données projet'!$B$10,Paramètres!$A$1:$I$89,3,0)*0.475*44/12</f>
        <v>2.8542181851253278E-10</v>
      </c>
      <c r="AX182" s="21">
        <f t="shared" si="166"/>
        <v>49.553130132544112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68.975196977296974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>
        <f>BD182*VLOOKUP('Données projet'!$B$11,Paramètres!$A$1:$I$89,3,0)*VLOOKUP('Données projet'!$B$11,Paramètres!$A$1:$I$89,5,0)</f>
        <v>0</v>
      </c>
      <c r="BF182" s="13" t="e">
        <f t="shared" si="167"/>
        <v>#NUM!</v>
      </c>
      <c r="BG182" s="20" t="e">
        <f t="shared" si="168"/>
        <v>#NUM!</v>
      </c>
      <c r="BH182" s="59" t="e">
        <f t="shared" si="116"/>
        <v>#NUM!</v>
      </c>
      <c r="BI182" s="59">
        <f ca="1">AVERAGE(OFFSET($BH$3,0,0,'Données projet'!$E$11+1,1))-AVERAGE(OFFSET($H$3,0,0,'Données projet'!$E$11+1,1))</f>
        <v>225.75484198243581</v>
      </c>
      <c r="BJ182" s="59">
        <f t="shared" si="146"/>
        <v>199.49566488421061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1.5510496947347374</v>
      </c>
      <c r="BQ182" s="21">
        <f>EXP(-LN(2)/25)*BQ181+(1-EXP(-LN(2)/25))/(LN(2)/25)*Calculateur!BL182*Calculateur!BN182*VLOOKUP('Données projet'!$B$11,Paramètres!$A$1:$I$89,3,0)*0.475*44/12</f>
        <v>4.5257995255911849</v>
      </c>
      <c r="BR182" s="21">
        <f>EXP(-LN(2)/2)*BR181+(1-EXP(-LN(2)/2))/(LN(2)/2)*BL182*BO182*VLOOKUP('Données projet'!$B$11,Paramètres!$A$1:$I$89,3,0)*0.475*44/12</f>
        <v>0</v>
      </c>
      <c r="BS182" s="22">
        <f t="shared" si="169"/>
        <v>6.0768492203259221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68.975196977296974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1.1368683772161603E-13</v>
      </c>
      <c r="BZ182" s="13">
        <f>BY182*VLOOKUP('Données projet'!$B$12,Paramètres!$A$1:$I$89,3,0)*VLOOKUP('Données projet'!$B$12,Paramètres!$A$1:$I$89,5,0)</f>
        <v>1.0818439477588981E-13</v>
      </c>
      <c r="CA182" s="13">
        <f t="shared" si="170"/>
        <v>1.6104228458716316E-12</v>
      </c>
      <c r="CB182" s="20">
        <f t="shared" si="171"/>
        <v>2.9932409441277661E-12</v>
      </c>
      <c r="CC182" s="59">
        <f t="shared" si="119"/>
        <v>289.57572225009193</v>
      </c>
      <c r="CD182" s="59">
        <f ca="1">AVERAGE(OFFSET($CC$3,0,0,'Données projet'!$E$12+1,1))-AVERAGE(OFFSET($H$3,0,0,'Données projet'!$E$12+1,1))</f>
        <v>413.9352601863377</v>
      </c>
      <c r="CE182" s="59">
        <f t="shared" si="148"/>
        <v>255.13997349799286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14.296591618064937</v>
      </c>
      <c r="CL182" s="21">
        <f>EXP(-LN(2)/25)*CL181+(1-EXP(-LN(2)/25))/(LN(2)/25)*Calculateur!CG182*Calculateur!CI182*VLOOKUP('Données projet'!$B$12,Paramètres!$A$1:$I$89,3,0)*0.475*44/12</f>
        <v>9.0040355066920679</v>
      </c>
      <c r="CM182" s="21">
        <f>EXP(-LN(2)/2)*CM181+(1-EXP(-LN(2)/2))/(LN(2)/2)*CG182*CJ182*VLOOKUP('Données projet'!$B$12,Paramètres!$A$1:$I$89,3,0)*0.475*44/12</f>
        <v>8.5413817422310111E-8</v>
      </c>
      <c r="CN182" s="22">
        <f t="shared" si="172"/>
        <v>23.300627210170823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68.975196977296974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2.8421709430404007E-14</v>
      </c>
      <c r="CU182" s="17">
        <f>CT182*VLOOKUP('Données projet'!$B$13,Paramètres!$A$1:$I$89,3,0)*VLOOKUP('Données projet'!$B$13,Paramètres!$A$1:$I$89,5,0)</f>
        <v>2.4829205358400945E-14</v>
      </c>
      <c r="CV182" s="13">
        <f t="shared" si="173"/>
        <v>4.3867331143352915E-13</v>
      </c>
      <c r="CW182" s="20">
        <f t="shared" si="174"/>
        <v>8.0726688341261168E-13</v>
      </c>
      <c r="CX182" s="59">
        <f t="shared" si="122"/>
        <v>289.57572225008971</v>
      </c>
      <c r="CY182" s="59">
        <f ca="1">AVERAGE(OFFSET($CX$3,0,0,'Données projet'!$E$13+1,1))-AVERAGE(OFFSET($H$3,0,0,'Données projet'!$E$13+1,1))</f>
        <v>280.59827778697775</v>
      </c>
      <c r="CZ182" s="59">
        <f t="shared" si="150"/>
        <v>270.86588231964726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>
        <f>EXP(-LN(2)/35)*DF181+(1-EXP(-LN(2)/35))/(LN(2)/35)*DB182*DC182*VLOOKUP('Données projet'!$B$13,Paramètres!$A$1:$I$89,3,0)*0.475*44/12</f>
        <v>4.6435214676972061</v>
      </c>
      <c r="DG182" s="21">
        <f>EXP(-LN(2)/25)*DG181+(1-EXP(-LN(2)/25))/(LN(2)/25)*Calculateur!DB182*Calculateur!DD182*VLOOKUP('Données projet'!$B$13,Paramètres!$A$1:$I$89,3,0)*0.475*44/12</f>
        <v>2.3451257821581954</v>
      </c>
      <c r="DH182" s="21">
        <f>EXP(-LN(2)/2)*DH181+(1-EXP(-LN(2)/2))/(LN(2)/2)*DB182*DE182*VLOOKUP('Données projet'!$B$13,Paramètres!$A$1:$I$89,3,0)*0.475*44/12</f>
        <v>5.7084092235170003E-14</v>
      </c>
      <c r="DI182" s="22">
        <f t="shared" si="175"/>
        <v>6.9886472498554584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68.975196977296974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>
        <f>DO182*VLOOKUP('Données projet'!$B$14,Paramètres!$A$1:$I$89,3,0)*VLOOKUP('Données projet'!$B$14,Paramètres!$A$1:$I$89,5,0)</f>
        <v>0</v>
      </c>
      <c r="DQ182" s="13" t="e">
        <f t="shared" si="176"/>
        <v>#NUM!</v>
      </c>
      <c r="DR182" s="20" t="e">
        <f t="shared" si="177"/>
        <v>#NUM!</v>
      </c>
      <c r="DS182" s="59" t="e">
        <f t="shared" si="125"/>
        <v>#NUM!</v>
      </c>
      <c r="DT182" s="59">
        <f ca="1">AVERAGE(OFFSET($DS$3,0,0,'Données projet'!$E$14+1,1))-AVERAGE(OFFSET($H$3,0,0,'Données projet'!$E$14+1,1))</f>
        <v>211.42385430331873</v>
      </c>
      <c r="DU182" s="59">
        <f t="shared" si="152"/>
        <v>146.84623106782686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>
        <f>EXP(-LN(2)/35)*EA181+(1-EXP(-LN(2)/35))/(LN(2)/35)*DW182*DX182*VLOOKUP('Données projet'!$B$14,Paramètres!$A$1:$I$89,3,0)*0.475*44/12</f>
        <v>6.8306099486843541</v>
      </c>
      <c r="EB182" s="21">
        <f>EXP(-LN(2)/25)*EB181+(1-EXP(-LN(2)/25))/(LN(2)/25)*Calculateur!DW182*Calculateur!DY182*VLOOKUP('Données projet'!$B$14,Paramètres!$A$1:$I$89,3,0)*0.475*44/12</f>
        <v>4.3193922006255629</v>
      </c>
      <c r="EC182" s="21">
        <f>EXP(-LN(2)/2)*EC181+(1-EXP(-LN(2)/2))/(LN(2)/2)*DW182*DZ182*VLOOKUP('Données projet'!$B$14,Paramètres!$A$1:$I$89,3,0)*0.475*44/12</f>
        <v>6.8405243662273005E-9</v>
      </c>
      <c r="ED182" s="22">
        <f t="shared" si="178"/>
        <v>11.150002156150441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68.975196977296974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-9.9475983006414026E-14</v>
      </c>
      <c r="EK182" s="17">
        <f>EJ182*VLOOKUP('Données projet'!$B$15,Paramètres!$A$1:$I$89,3,0)*VLOOKUP('Données projet'!$B$15,Paramètres!$A$1:$I$89,5,0)</f>
        <v>-1.0707594810810407E-13</v>
      </c>
      <c r="EL182" s="13" t="e">
        <f t="shared" si="179"/>
        <v>#NUM!</v>
      </c>
      <c r="EM182" s="20" t="e">
        <f t="shared" si="180"/>
        <v>#NUM!</v>
      </c>
      <c r="EN182" s="59" t="e">
        <f t="shared" si="128"/>
        <v>#NUM!</v>
      </c>
      <c r="EO182" s="59">
        <f ca="1">AVERAGE(OFFSET($EN$3,0,0,'Données projet'!$E$15+1,1))-AVERAGE(OFFSET($H$3,0,0,'Données projet'!$E$15+1,1))</f>
        <v>212.00478362779876</v>
      </c>
      <c r="EP182" s="59">
        <f t="shared" si="154"/>
        <v>133.62262474506707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>
        <f>EXP(-LN(2)/35)*EV181+(1-EXP(-LN(2)/35))/(LN(2)/35)*ER182*ES182*VLOOKUP('Données projet'!$B$15,Paramètres!$A$1:$I$89,3,0)*0.475*44/12</f>
        <v>4.8684136173153441</v>
      </c>
      <c r="EW182" s="21">
        <f>EXP(-LN(2)/25)*EW181+(1-EXP(-LN(2)/25))/(LN(2)/25)*Calculateur!ER182*Calculateur!ET182*VLOOKUP('Données projet'!$B$15,Paramètres!$A$1:$I$89,3,0)*0.475*44/12</f>
        <v>3.9875680016307005</v>
      </c>
      <c r="EX182" s="21">
        <f>EXP(-LN(2)/2)*EX181+(1-EXP(-LN(2)/2))/(LN(2)/2)*ER182*EU182*VLOOKUP('Données projet'!$B$15,Paramètres!$A$1:$I$89,3,0)*0.475*44/12</f>
        <v>4.1404224791080389E-8</v>
      </c>
      <c r="EY182" s="22">
        <f t="shared" si="181"/>
        <v>8.8559816603502686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68.975196977296974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-9.9475983006414026E-14</v>
      </c>
      <c r="FF182" s="17">
        <f>FE182*VLOOKUP('Données projet'!$B$16,Paramètres!$A$1:$I$89,3,0)*VLOOKUP('Données projet'!$B$16,Paramètres!$A$1:$I$89,5,0)</f>
        <v>-9.6213170763803652E-14</v>
      </c>
      <c r="FG182" s="13" t="e">
        <f t="shared" si="182"/>
        <v>#NUM!</v>
      </c>
      <c r="FH182" s="20" t="e">
        <f t="shared" si="183"/>
        <v>#NUM!</v>
      </c>
      <c r="FI182" s="59" t="e">
        <f t="shared" si="131"/>
        <v>#NUM!</v>
      </c>
      <c r="FJ182" s="59">
        <f ca="1">AVERAGE(OFFSET($FI$3,0,0,'Données projet'!$E$16+1,1))-AVERAGE(OFFSET($H$3,0,0,'Données projet'!$E$16+1,1))</f>
        <v>196.65742339093146</v>
      </c>
      <c r="FK182" s="59">
        <f t="shared" si="156"/>
        <v>125.41980634506001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>
        <f>EXP(-LN(2)/35)*FQ181+(1-EXP(-LN(2)/35))/(LN(2)/35)*FM182*FN182*VLOOKUP('Données projet'!$B$16,Paramètres!$A$1:$I$89,3,0)*0.475*44/12</f>
        <v>4.3745165836746587</v>
      </c>
      <c r="FR182" s="21">
        <f>EXP(-LN(2)/25)*FR181+(1-EXP(-LN(2)/25))/(LN(2)/25)*Calculateur!FM182*Calculateur!FO182*VLOOKUP('Données projet'!$B$16,Paramètres!$A$1:$I$89,3,0)*0.475*44/12</f>
        <v>3.5830321174072992</v>
      </c>
      <c r="FS182" s="21">
        <f>EXP(-LN(2)/2)*FS181+(1-EXP(-LN(2)/2))/(LN(2)/2)*FM182*FP182*VLOOKUP('Données projet'!$B$16,Paramètres!$A$1:$I$89,3,0)*0.475*44/12</f>
        <v>3.7203796189086594E-8</v>
      </c>
      <c r="FT182" s="22">
        <f t="shared" si="184"/>
        <v>7.9575487382857544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68.975196977296974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68.975196977296974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>
      <c r="A183" s="10">
        <f t="shared" si="161"/>
        <v>180</v>
      </c>
      <c r="B183" s="73">
        <f>'Scénario référence'!$B$16*5+'Scénario référence'!$B$17*0+'Scénario référence'!$B$18*5</f>
        <v>4.6999999999999993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9.6033600000000252</v>
      </c>
      <c r="D183" s="11">
        <f t="shared" si="140"/>
        <v>3.4011141859974234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22.222458219479517</v>
      </c>
      <c r="H183" s="67">
        <f t="shared" si="110"/>
        <v>210.38279254061223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68.992975018624549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-2.2737367544323206E-13</v>
      </c>
      <c r="O183" s="13">
        <f>N183*VLOOKUP('Données projet'!$B$9,Paramètres!$A$1:$I$89,3,0)*VLOOKUP('Données projet'!$B$9,Paramètres!$A$1:$I$89,5,0)</f>
        <v>-1.3596945791505279E-13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366.93249569585623</v>
      </c>
      <c r="T183" s="59">
        <f t="shared" si="142"/>
        <v>272.47262353368501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21.152625848389462</v>
      </c>
      <c r="AA183" s="21">
        <f>EXP(-LN(2)/25)*AA182+(1-EXP(-LN(2)/25))/(LN(2)/25)*Calculateur!V183*Calculateur!X183*VLOOKUP('Données projet'!$B$9,Paramètres!$A$1:$I$89,3,0)*0.475*44/12</f>
        <v>3.2340232986436241</v>
      </c>
      <c r="AB183" s="21">
        <f>EXP(-LN(2)/2)*AB182+(1-EXP(-LN(2)/2))/(LN(2)/2)*V183*Y183*VLOOKUP('Données projet'!$B$9,Paramètres!$A$1:$I$89,3,0)*0.475*44/12</f>
        <v>6.2808996049675786E-14</v>
      </c>
      <c r="AC183" s="22">
        <f t="shared" si="163"/>
        <v>24.38664914703315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68.992975018624549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1.1368683772161603E-13</v>
      </c>
      <c r="AJ183" s="13">
        <f>AI183*VLOOKUP('Données projet'!$B$10,Paramètres!$A$1:$I$89,3,0)*VLOOKUP('Données projet'!$B$10,Paramètres!$A$1:$I$89,5,0)</f>
        <v>5.3205440053716299E-14</v>
      </c>
      <c r="AK183" s="13">
        <f t="shared" si="164"/>
        <v>8.602146238565607E-13</v>
      </c>
      <c r="AL183" s="20">
        <f t="shared" si="165"/>
        <v>1.590873277977066E-12</v>
      </c>
      <c r="AM183" s="59">
        <f t="shared" si="113"/>
        <v>289.64090840162493</v>
      </c>
      <c r="AN183" s="59">
        <f ca="1">AVERAGE(OFFSET($AM$3,0,0,'Données projet'!$E$10+1,1))-AVERAGE(OFFSET($H$3,0,0,'Données projet'!$E$10+1,1))</f>
        <v>382.89338473200229</v>
      </c>
      <c r="AO183" s="59">
        <f t="shared" si="144"/>
        <v>360.46248248971744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41.720277229454247</v>
      </c>
      <c r="AV183" s="21">
        <f>EXP(-LN(2)/25)*AV182+(1-EXP(-LN(2)/25))/(LN(2)/25)*Calculateur!AQ183*Calculateur!AS183*VLOOKUP('Données projet'!$B$10,Paramètres!$A$1:$I$89,3,0)*0.475*44/12</f>
        <v>6.8070091377711837</v>
      </c>
      <c r="AW183" s="21">
        <f>EXP(-LN(2)/2)*AW182+(1-EXP(-LN(2)/2))/(LN(2)/2)*AQ183*AT183*VLOOKUP('Données projet'!$B$10,Paramètres!$A$1:$I$89,3,0)*0.475*44/12</f>
        <v>2.0182370336880799E-10</v>
      </c>
      <c r="AX183" s="21">
        <f t="shared" si="166"/>
        <v>48.527286367427251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68.992975018624549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>
        <f>BD183*VLOOKUP('Données projet'!$B$11,Paramètres!$A$1:$I$89,3,0)*VLOOKUP('Données projet'!$B$11,Paramètres!$A$1:$I$89,5,0)</f>
        <v>0</v>
      </c>
      <c r="BF183" s="13" t="e">
        <f t="shared" si="167"/>
        <v>#NUM!</v>
      </c>
      <c r="BG183" s="20" t="e">
        <f t="shared" si="168"/>
        <v>#NUM!</v>
      </c>
      <c r="BH183" s="59" t="e">
        <f t="shared" si="116"/>
        <v>#NUM!</v>
      </c>
      <c r="BI183" s="59">
        <f ca="1">AVERAGE(OFFSET($BH$3,0,0,'Données projet'!$E$11+1,1))-AVERAGE(OFFSET($H$3,0,0,'Données projet'!$E$11+1,1))</f>
        <v>225.75484198243581</v>
      </c>
      <c r="BJ183" s="59">
        <f t="shared" si="146"/>
        <v>199.49566488421061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1.5206345562678887</v>
      </c>
      <c r="BQ183" s="21">
        <f>EXP(-LN(2)/25)*BQ182+(1-EXP(-LN(2)/25))/(LN(2)/25)*Calculateur!BL183*Calculateur!BN183*VLOOKUP('Données projet'!$B$11,Paramètres!$A$1:$I$89,3,0)*0.475*44/12</f>
        <v>4.4020412995624412</v>
      </c>
      <c r="BR183" s="21">
        <f>EXP(-LN(2)/2)*BR182+(1-EXP(-LN(2)/2))/(LN(2)/2)*BL183*BO183*VLOOKUP('Données projet'!$B$11,Paramètres!$A$1:$I$89,3,0)*0.475*44/12</f>
        <v>0</v>
      </c>
      <c r="BS183" s="22">
        <f t="shared" si="169"/>
        <v>5.9226758558303301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68.992975018624549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1.1368683772161603E-13</v>
      </c>
      <c r="BZ183" s="13">
        <f>BY183*VLOOKUP('Données projet'!$B$12,Paramètres!$A$1:$I$89,3,0)*VLOOKUP('Données projet'!$B$12,Paramètres!$A$1:$I$89,5,0)</f>
        <v>1.0818439477588981E-13</v>
      </c>
      <c r="CA183" s="13">
        <f t="shared" si="170"/>
        <v>1.6104228458716316E-12</v>
      </c>
      <c r="CB183" s="20">
        <f t="shared" si="171"/>
        <v>2.9932409441277661E-12</v>
      </c>
      <c r="CC183" s="59">
        <f t="shared" si="119"/>
        <v>289.64090840162635</v>
      </c>
      <c r="CD183" s="59">
        <f ca="1">AVERAGE(OFFSET($CC$3,0,0,'Données projet'!$E$12+1,1))-AVERAGE(OFFSET($H$3,0,0,'Données projet'!$E$12+1,1))</f>
        <v>413.9352601863377</v>
      </c>
      <c r="CE183" s="59">
        <f t="shared" si="148"/>
        <v>255.13997349799286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14.016244176494537</v>
      </c>
      <c r="CL183" s="21">
        <f>EXP(-LN(2)/25)*CL182+(1-EXP(-LN(2)/25))/(LN(2)/25)*Calculateur!CG183*Calculateur!CI183*VLOOKUP('Données projet'!$B$12,Paramètres!$A$1:$I$89,3,0)*0.475*44/12</f>
        <v>8.7578196822599246</v>
      </c>
      <c r="CM183" s="21">
        <f>EXP(-LN(2)/2)*CM182+(1-EXP(-LN(2)/2))/(LN(2)/2)*CG183*CJ183*VLOOKUP('Données projet'!$B$12,Paramètres!$A$1:$I$89,3,0)*0.475*44/12</f>
        <v>6.0396689506345157E-8</v>
      </c>
      <c r="CN183" s="22">
        <f t="shared" si="172"/>
        <v>22.77406391915115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68.992975018624549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2.8421709430404007E-14</v>
      </c>
      <c r="CU183" s="17">
        <f>CT183*VLOOKUP('Données projet'!$B$13,Paramètres!$A$1:$I$89,3,0)*VLOOKUP('Données projet'!$B$13,Paramètres!$A$1:$I$89,5,0)</f>
        <v>2.4829205358400945E-14</v>
      </c>
      <c r="CV183" s="13">
        <f t="shared" si="173"/>
        <v>4.3867331143352915E-13</v>
      </c>
      <c r="CW183" s="20">
        <f t="shared" si="174"/>
        <v>8.0726688341261168E-13</v>
      </c>
      <c r="CX183" s="59">
        <f t="shared" si="122"/>
        <v>289.64090840162413</v>
      </c>
      <c r="CY183" s="59">
        <f ca="1">AVERAGE(OFFSET($CX$3,0,0,'Données projet'!$E$13+1,1))-AVERAGE(OFFSET($H$3,0,0,'Données projet'!$E$13+1,1))</f>
        <v>280.59827778697775</v>
      </c>
      <c r="CZ183" s="59">
        <f t="shared" si="150"/>
        <v>270.86588231964726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>
        <f>EXP(-LN(2)/35)*DF182+(1-EXP(-LN(2)/35))/(LN(2)/35)*DB183*DC183*VLOOKUP('Données projet'!$B$13,Paramètres!$A$1:$I$89,3,0)*0.475*44/12</f>
        <v>4.5524648439840956</v>
      </c>
      <c r="DG183" s="21">
        <f>EXP(-LN(2)/25)*DG182+(1-EXP(-LN(2)/25))/(LN(2)/25)*Calculateur!DB183*Calculateur!DD183*VLOOKUP('Données projet'!$B$13,Paramètres!$A$1:$I$89,3,0)*0.475*44/12</f>
        <v>2.2809981943202744</v>
      </c>
      <c r="DH183" s="21">
        <f>EXP(-LN(2)/2)*DH182+(1-EXP(-LN(2)/2))/(LN(2)/2)*DB183*DE183*VLOOKUP('Données projet'!$B$13,Paramètres!$A$1:$I$89,3,0)*0.475*44/12</f>
        <v>4.0364548717367053E-14</v>
      </c>
      <c r="DI183" s="22">
        <f t="shared" si="175"/>
        <v>6.8334630383044095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68.992975018624549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>
        <f>DO183*VLOOKUP('Données projet'!$B$14,Paramètres!$A$1:$I$89,3,0)*VLOOKUP('Données projet'!$B$14,Paramètres!$A$1:$I$89,5,0)</f>
        <v>0</v>
      </c>
      <c r="DQ183" s="13" t="e">
        <f t="shared" si="176"/>
        <v>#NUM!</v>
      </c>
      <c r="DR183" s="20" t="e">
        <f t="shared" si="177"/>
        <v>#NUM!</v>
      </c>
      <c r="DS183" s="59" t="e">
        <f t="shared" si="125"/>
        <v>#NUM!</v>
      </c>
      <c r="DT183" s="59">
        <f ca="1">AVERAGE(OFFSET($DS$3,0,0,'Données projet'!$E$14+1,1))-AVERAGE(OFFSET($H$3,0,0,'Données projet'!$E$14+1,1))</f>
        <v>211.42385430331873</v>
      </c>
      <c r="DU183" s="59">
        <f t="shared" si="152"/>
        <v>146.84623106782686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>
        <f>EXP(-LN(2)/35)*EA182+(1-EXP(-LN(2)/35))/(LN(2)/35)*DW183*DX183*VLOOKUP('Données projet'!$B$14,Paramètres!$A$1:$I$89,3,0)*0.475*44/12</f>
        <v>6.6966658538513384</v>
      </c>
      <c r="EB183" s="21">
        <f>EXP(-LN(2)/25)*EB182+(1-EXP(-LN(2)/25))/(LN(2)/25)*Calculateur!DW183*Calculateur!DY183*VLOOKUP('Données projet'!$B$14,Paramètres!$A$1:$I$89,3,0)*0.475*44/12</f>
        <v>4.2012781937524935</v>
      </c>
      <c r="EC183" s="21">
        <f>EXP(-LN(2)/2)*EC182+(1-EXP(-LN(2)/2))/(LN(2)/2)*DW183*DZ183*VLOOKUP('Données projet'!$B$14,Paramètres!$A$1:$I$89,3,0)*0.475*44/12</f>
        <v>4.8369811662311344E-9</v>
      </c>
      <c r="ED183" s="22">
        <f t="shared" si="178"/>
        <v>10.897944052440813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68.992975018624549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-9.9475983006414026E-14</v>
      </c>
      <c r="EK183" s="17">
        <f>EJ183*VLOOKUP('Données projet'!$B$15,Paramètres!$A$1:$I$89,3,0)*VLOOKUP('Données projet'!$B$15,Paramètres!$A$1:$I$89,5,0)</f>
        <v>-1.0707594810810407E-13</v>
      </c>
      <c r="EL183" s="13" t="e">
        <f t="shared" si="179"/>
        <v>#NUM!</v>
      </c>
      <c r="EM183" s="20" t="e">
        <f t="shared" si="180"/>
        <v>#NUM!</v>
      </c>
      <c r="EN183" s="59" t="e">
        <f t="shared" si="128"/>
        <v>#NUM!</v>
      </c>
      <c r="EO183" s="59">
        <f ca="1">AVERAGE(OFFSET($EN$3,0,0,'Données projet'!$E$15+1,1))-AVERAGE(OFFSET($H$3,0,0,'Données projet'!$E$15+1,1))</f>
        <v>212.00478362779876</v>
      </c>
      <c r="EP183" s="59">
        <f t="shared" si="154"/>
        <v>133.62262474506707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>
        <f>EXP(-LN(2)/35)*EV182+(1-EXP(-LN(2)/35))/(LN(2)/35)*ER183*ES183*VLOOKUP('Données projet'!$B$15,Paramètres!$A$1:$I$89,3,0)*0.475*44/12</f>
        <v>4.7729469957188888</v>
      </c>
      <c r="EW183" s="21">
        <f>EXP(-LN(2)/25)*EW182+(1-EXP(-LN(2)/25))/(LN(2)/25)*Calculateur!ER183*Calculateur!ET183*VLOOKUP('Données projet'!$B$15,Paramètres!$A$1:$I$89,3,0)*0.475*44/12</f>
        <v>3.8785277449290216</v>
      </c>
      <c r="EX183" s="21">
        <f>EXP(-LN(2)/2)*EX182+(1-EXP(-LN(2)/2))/(LN(2)/2)*ER183*EU183*VLOOKUP('Données projet'!$B$15,Paramètres!$A$1:$I$89,3,0)*0.475*44/12</f>
        <v>2.927720811954511E-8</v>
      </c>
      <c r="EY183" s="22">
        <f t="shared" si="181"/>
        <v>8.6514747699251178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68.992975018624549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-9.9475983006414026E-14</v>
      </c>
      <c r="FF183" s="17">
        <f>FE183*VLOOKUP('Données projet'!$B$16,Paramètres!$A$1:$I$89,3,0)*VLOOKUP('Données projet'!$B$16,Paramètres!$A$1:$I$89,5,0)</f>
        <v>-9.6213170763803652E-14</v>
      </c>
      <c r="FG183" s="13" t="e">
        <f t="shared" si="182"/>
        <v>#NUM!</v>
      </c>
      <c r="FH183" s="20" t="e">
        <f t="shared" si="183"/>
        <v>#NUM!</v>
      </c>
      <c r="FI183" s="59" t="e">
        <f t="shared" si="131"/>
        <v>#NUM!</v>
      </c>
      <c r="FJ183" s="59">
        <f ca="1">AVERAGE(OFFSET($FI$3,0,0,'Données projet'!$E$16+1,1))-AVERAGE(OFFSET($H$3,0,0,'Données projet'!$E$16+1,1))</f>
        <v>196.65742339093146</v>
      </c>
      <c r="FK183" s="59">
        <f t="shared" si="156"/>
        <v>125.41980634506001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>
        <f>EXP(-LN(2)/35)*FQ182+(1-EXP(-LN(2)/35))/(LN(2)/35)*FM183*FN183*VLOOKUP('Données projet'!$B$16,Paramètres!$A$1:$I$89,3,0)*0.475*44/12</f>
        <v>4.2887349816604523</v>
      </c>
      <c r="FR183" s="21">
        <f>EXP(-LN(2)/25)*FR182+(1-EXP(-LN(2)/25))/(LN(2)/25)*Calculateur!FM183*Calculateur!FO183*VLOOKUP('Données projet'!$B$16,Paramètres!$A$1:$I$89,3,0)*0.475*44/12</f>
        <v>3.4850539157333267</v>
      </c>
      <c r="FS183" s="21">
        <f>EXP(-LN(2)/2)*FS182+(1-EXP(-LN(2)/2))/(LN(2)/2)*FM183*FP183*VLOOKUP('Données projet'!$B$16,Paramètres!$A$1:$I$89,3,0)*0.475*44/12</f>
        <v>2.6307056571185365E-8</v>
      </c>
      <c r="FT183" s="22">
        <f t="shared" si="184"/>
        <v>7.7737889237008355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68.992975018624549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68.992975018624549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>
      <c r="A184" s="10">
        <f t="shared" si="161"/>
        <v>181</v>
      </c>
      <c r="B184" s="73">
        <f>'Scénario référence'!$B$16*5+'Scénario référence'!$B$17*0+'Scénario référence'!$B$18*5</f>
        <v>4.6999999999999993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9.6567120000000255</v>
      </c>
      <c r="D184" s="11">
        <f t="shared" si="140"/>
        <v>3.4178044904890186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22.254898865770361</v>
      </c>
      <c r="H184" s="67">
        <f t="shared" si="110"/>
        <v>210.50478288760178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69.010444650680839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-2.2737367544323206E-13</v>
      </c>
      <c r="O184" s="13">
        <f>N184*VLOOKUP('Données projet'!$B$9,Paramètres!$A$1:$I$89,3,0)*VLOOKUP('Données projet'!$B$9,Paramètres!$A$1:$I$89,5,0)</f>
        <v>-1.3596945791505279E-13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366.93249569585623</v>
      </c>
      <c r="T184" s="59">
        <f t="shared" si="142"/>
        <v>272.47262353368501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20.737835757330362</v>
      </c>
      <c r="AA184" s="21">
        <f>EXP(-LN(2)/25)*AA183+(1-EXP(-LN(2)/25))/(LN(2)/25)*Calculateur!V184*Calculateur!X184*VLOOKUP('Données projet'!$B$9,Paramètres!$A$1:$I$89,3,0)*0.475*44/12</f>
        <v>3.1455887614723204</v>
      </c>
      <c r="AB184" s="21">
        <f>EXP(-LN(2)/2)*AB183+(1-EXP(-LN(2)/2))/(LN(2)/2)*V184*Y184*VLOOKUP('Données projet'!$B$9,Paramètres!$A$1:$I$89,3,0)*0.475*44/12</f>
        <v>4.4412667026244825E-14</v>
      </c>
      <c r="AC184" s="22">
        <f t="shared" si="163"/>
        <v>23.88342451880273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69.010444650680839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1.1368683772161603E-13</v>
      </c>
      <c r="AJ184" s="13">
        <f>AI184*VLOOKUP('Données projet'!$B$10,Paramètres!$A$1:$I$89,3,0)*VLOOKUP('Données projet'!$B$10,Paramètres!$A$1:$I$89,5,0)</f>
        <v>5.3205440053716299E-14</v>
      </c>
      <c r="AK184" s="13">
        <f t="shared" si="164"/>
        <v>8.602146238565607E-13</v>
      </c>
      <c r="AL184" s="20">
        <f t="shared" si="165"/>
        <v>1.590873277977066E-12</v>
      </c>
      <c r="AM184" s="59">
        <f t="shared" si="113"/>
        <v>289.70496371916465</v>
      </c>
      <c r="AN184" s="59">
        <f ca="1">AVERAGE(OFFSET($AM$3,0,0,'Données projet'!$E$10+1,1))-AVERAGE(OFFSET($H$3,0,0,'Données projet'!$E$10+1,1))</f>
        <v>382.89338473200229</v>
      </c>
      <c r="AO184" s="59">
        <f t="shared" si="144"/>
        <v>360.46248248971744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40.902168039841094</v>
      </c>
      <c r="AV184" s="21">
        <f>EXP(-LN(2)/25)*AV183+(1-EXP(-LN(2)/25))/(LN(2)/25)*Calculateur!AQ184*Calculateur!AS184*VLOOKUP('Données projet'!$B$10,Paramètres!$A$1:$I$89,3,0)*0.475*44/12</f>
        <v>6.6208711149337773</v>
      </c>
      <c r="AW184" s="21">
        <f>EXP(-LN(2)/2)*AW183+(1-EXP(-LN(2)/2))/(LN(2)/2)*AQ184*AT184*VLOOKUP('Données projet'!$B$10,Paramètres!$A$1:$I$89,3,0)*0.475*44/12</f>
        <v>1.4271090925626639E-10</v>
      </c>
      <c r="AX184" s="21">
        <f t="shared" si="166"/>
        <v>47.523039154917583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69.010444650680839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>
        <f>BD184*VLOOKUP('Données projet'!$B$11,Paramètres!$A$1:$I$89,3,0)*VLOOKUP('Données projet'!$B$11,Paramètres!$A$1:$I$89,5,0)</f>
        <v>0</v>
      </c>
      <c r="BF184" s="13" t="e">
        <f t="shared" si="167"/>
        <v>#NUM!</v>
      </c>
      <c r="BG184" s="20" t="e">
        <f t="shared" si="168"/>
        <v>#NUM!</v>
      </c>
      <c r="BH184" s="59" t="e">
        <f t="shared" si="116"/>
        <v>#NUM!</v>
      </c>
      <c r="BI184" s="59">
        <f ca="1">AVERAGE(OFFSET($BH$3,0,0,'Données projet'!$E$11+1,1))-AVERAGE(OFFSET($H$3,0,0,'Données projet'!$E$11+1,1))</f>
        <v>225.75484198243581</v>
      </c>
      <c r="BJ184" s="59">
        <f t="shared" si="146"/>
        <v>199.49566488421061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1.490815840114972</v>
      </c>
      <c r="BQ184" s="21">
        <f>EXP(-LN(2)/25)*BQ183+(1-EXP(-LN(2)/25))/(LN(2)/25)*Calculateur!BL184*Calculateur!BN184*VLOOKUP('Données projet'!$B$11,Paramètres!$A$1:$I$89,3,0)*0.475*44/12</f>
        <v>4.2816672487326155</v>
      </c>
      <c r="BR184" s="21">
        <f>EXP(-LN(2)/2)*BR183+(1-EXP(-LN(2)/2))/(LN(2)/2)*BL184*BO184*VLOOKUP('Données projet'!$B$11,Paramètres!$A$1:$I$89,3,0)*0.475*44/12</f>
        <v>0</v>
      </c>
      <c r="BS184" s="22">
        <f t="shared" si="169"/>
        <v>5.7724830888475873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69.010444650680839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1.1368683772161603E-13</v>
      </c>
      <c r="BZ184" s="13">
        <f>BY184*VLOOKUP('Données projet'!$B$12,Paramètres!$A$1:$I$89,3,0)*VLOOKUP('Données projet'!$B$12,Paramètres!$A$1:$I$89,5,0)</f>
        <v>1.0818439477588981E-13</v>
      </c>
      <c r="CA184" s="13">
        <f t="shared" si="170"/>
        <v>1.6104228458716316E-12</v>
      </c>
      <c r="CB184" s="20">
        <f t="shared" si="171"/>
        <v>2.9932409441277661E-12</v>
      </c>
      <c r="CC184" s="59">
        <f t="shared" si="119"/>
        <v>289.70496371916607</v>
      </c>
      <c r="CD184" s="59">
        <f ca="1">AVERAGE(OFFSET($CC$3,0,0,'Données projet'!$E$12+1,1))-AVERAGE(OFFSET($H$3,0,0,'Données projet'!$E$12+1,1))</f>
        <v>413.9352601863377</v>
      </c>
      <c r="CE184" s="59">
        <f t="shared" si="148"/>
        <v>255.13997349799286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13.741394177258277</v>
      </c>
      <c r="CL184" s="21">
        <f>EXP(-LN(2)/25)*CL183+(1-EXP(-LN(2)/25))/(LN(2)/25)*Calculateur!CG184*Calculateur!CI184*VLOOKUP('Données projet'!$B$12,Paramètres!$A$1:$I$89,3,0)*0.475*44/12</f>
        <v>8.5183366424948055</v>
      </c>
      <c r="CM184" s="21">
        <f>EXP(-LN(2)/2)*CM183+(1-EXP(-LN(2)/2))/(LN(2)/2)*CG184*CJ184*VLOOKUP('Données projet'!$B$12,Paramètres!$A$1:$I$89,3,0)*0.475*44/12</f>
        <v>4.2706908711155056E-8</v>
      </c>
      <c r="CN184" s="22">
        <f t="shared" si="172"/>
        <v>22.259730862459989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69.010444650680839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2.8421709430404007E-14</v>
      </c>
      <c r="CU184" s="17">
        <f>CT184*VLOOKUP('Données projet'!$B$13,Paramètres!$A$1:$I$89,3,0)*VLOOKUP('Données projet'!$B$13,Paramètres!$A$1:$I$89,5,0)</f>
        <v>2.4829205358400945E-14</v>
      </c>
      <c r="CV184" s="13">
        <f t="shared" si="173"/>
        <v>4.3867331143352915E-13</v>
      </c>
      <c r="CW184" s="20">
        <f t="shared" si="174"/>
        <v>8.0726688341261168E-13</v>
      </c>
      <c r="CX184" s="59">
        <f t="shared" si="122"/>
        <v>289.70496371916386</v>
      </c>
      <c r="CY184" s="59">
        <f ca="1">AVERAGE(OFFSET($CX$3,0,0,'Données projet'!$E$13+1,1))-AVERAGE(OFFSET($H$3,0,0,'Données projet'!$E$13+1,1))</f>
        <v>280.59827778697775</v>
      </c>
      <c r="CZ184" s="59">
        <f t="shared" si="150"/>
        <v>270.86588231964726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>
        <f>EXP(-LN(2)/35)*DF183+(1-EXP(-LN(2)/35))/(LN(2)/35)*DB184*DC184*VLOOKUP('Données projet'!$B$13,Paramètres!$A$1:$I$89,3,0)*0.475*44/12</f>
        <v>4.4631937851229431</v>
      </c>
      <c r="DG184" s="21">
        <f>EXP(-LN(2)/25)*DG183+(1-EXP(-LN(2)/25))/(LN(2)/25)*Calculateur!DB184*Calculateur!DD184*VLOOKUP('Données projet'!$B$13,Paramètres!$A$1:$I$89,3,0)*0.475*44/12</f>
        <v>2.2186241787441046</v>
      </c>
      <c r="DH184" s="21">
        <f>EXP(-LN(2)/2)*DH183+(1-EXP(-LN(2)/2))/(LN(2)/2)*DB184*DE184*VLOOKUP('Données projet'!$B$13,Paramètres!$A$1:$I$89,3,0)*0.475*44/12</f>
        <v>2.8542046117585002E-14</v>
      </c>
      <c r="DI184" s="22">
        <f t="shared" si="175"/>
        <v>6.6818179638670756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69.010444650680839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>
        <f>DO184*VLOOKUP('Données projet'!$B$14,Paramètres!$A$1:$I$89,3,0)*VLOOKUP('Données projet'!$B$14,Paramètres!$A$1:$I$89,5,0)</f>
        <v>0</v>
      </c>
      <c r="DQ184" s="13" t="e">
        <f t="shared" si="176"/>
        <v>#NUM!</v>
      </c>
      <c r="DR184" s="20" t="e">
        <f t="shared" si="177"/>
        <v>#NUM!</v>
      </c>
      <c r="DS184" s="59" t="e">
        <f t="shared" si="125"/>
        <v>#NUM!</v>
      </c>
      <c r="DT184" s="59">
        <f ca="1">AVERAGE(OFFSET($DS$3,0,0,'Données projet'!$E$14+1,1))-AVERAGE(OFFSET($H$3,0,0,'Données projet'!$E$14+1,1))</f>
        <v>211.42385430331873</v>
      </c>
      <c r="DU184" s="59">
        <f t="shared" si="152"/>
        <v>146.84623106782686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>
        <f>EXP(-LN(2)/35)*EA183+(1-EXP(-LN(2)/35))/(LN(2)/35)*DW184*DX184*VLOOKUP('Données projet'!$B$14,Paramètres!$A$1:$I$89,3,0)*0.475*44/12</f>
        <v>6.5653483210201671</v>
      </c>
      <c r="EB184" s="21">
        <f>EXP(-LN(2)/25)*EB183+(1-EXP(-LN(2)/25))/(LN(2)/25)*Calculateur!DW184*Calculateur!DY184*VLOOKUP('Données projet'!$B$14,Paramètres!$A$1:$I$89,3,0)*0.475*44/12</f>
        <v>4.0863940206087133</v>
      </c>
      <c r="EC184" s="21">
        <f>EXP(-LN(2)/2)*EC183+(1-EXP(-LN(2)/2))/(LN(2)/2)*DW184*DZ184*VLOOKUP('Données projet'!$B$14,Paramètres!$A$1:$I$89,3,0)*0.475*44/12</f>
        <v>3.4202621831136502E-9</v>
      </c>
      <c r="ED184" s="22">
        <f t="shared" si="178"/>
        <v>10.651742345049142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69.010444650680839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-9.9475983006414026E-14</v>
      </c>
      <c r="EK184" s="17">
        <f>EJ184*VLOOKUP('Données projet'!$B$15,Paramètres!$A$1:$I$89,3,0)*VLOOKUP('Données projet'!$B$15,Paramètres!$A$1:$I$89,5,0)</f>
        <v>-1.0707594810810407E-13</v>
      </c>
      <c r="EL184" s="13" t="e">
        <f t="shared" si="179"/>
        <v>#NUM!</v>
      </c>
      <c r="EM184" s="20" t="e">
        <f t="shared" si="180"/>
        <v>#NUM!</v>
      </c>
      <c r="EN184" s="59" t="e">
        <f t="shared" si="128"/>
        <v>#NUM!</v>
      </c>
      <c r="EO184" s="59">
        <f ca="1">AVERAGE(OFFSET($EN$3,0,0,'Données projet'!$E$15+1,1))-AVERAGE(OFFSET($H$3,0,0,'Données projet'!$E$15+1,1))</f>
        <v>212.00478362779876</v>
      </c>
      <c r="EP184" s="59">
        <f t="shared" si="154"/>
        <v>133.62262474506707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>
        <f>EXP(-LN(2)/35)*EV183+(1-EXP(-LN(2)/35))/(LN(2)/35)*ER184*ES184*VLOOKUP('Données projet'!$B$15,Paramètres!$A$1:$I$89,3,0)*0.475*44/12</f>
        <v>4.6793524163430504</v>
      </c>
      <c r="EW184" s="21">
        <f>EXP(-LN(2)/25)*EW183+(1-EXP(-LN(2)/25))/(LN(2)/25)*Calculateur!ER184*Calculateur!ET184*VLOOKUP('Données projet'!$B$15,Paramètres!$A$1:$I$89,3,0)*0.475*44/12</f>
        <v>3.7724691997810278</v>
      </c>
      <c r="EX184" s="21">
        <f>EXP(-LN(2)/2)*EX183+(1-EXP(-LN(2)/2))/(LN(2)/2)*ER184*EU184*VLOOKUP('Données projet'!$B$15,Paramètres!$A$1:$I$89,3,0)*0.475*44/12</f>
        <v>2.0702112395540198E-8</v>
      </c>
      <c r="EY184" s="22">
        <f t="shared" si="181"/>
        <v>8.4518216368261907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69.010444650680839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-9.9475983006414026E-14</v>
      </c>
      <c r="FF184" s="17">
        <f>FE184*VLOOKUP('Données projet'!$B$16,Paramètres!$A$1:$I$89,3,0)*VLOOKUP('Données projet'!$B$16,Paramètres!$A$1:$I$89,5,0)</f>
        <v>-9.6213170763803652E-14</v>
      </c>
      <c r="FG184" s="13" t="e">
        <f t="shared" si="182"/>
        <v>#NUM!</v>
      </c>
      <c r="FH184" s="20" t="e">
        <f t="shared" si="183"/>
        <v>#NUM!</v>
      </c>
      <c r="FI184" s="59" t="e">
        <f t="shared" si="131"/>
        <v>#NUM!</v>
      </c>
      <c r="FJ184" s="59">
        <f ca="1">AVERAGE(OFFSET($FI$3,0,0,'Données projet'!$E$16+1,1))-AVERAGE(OFFSET($H$3,0,0,'Données projet'!$E$16+1,1))</f>
        <v>196.65742339093146</v>
      </c>
      <c r="FK184" s="59">
        <f t="shared" si="156"/>
        <v>125.41980634506001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>
        <f>EXP(-LN(2)/35)*FQ183+(1-EXP(-LN(2)/35))/(LN(2)/35)*FM184*FN184*VLOOKUP('Données projet'!$B$16,Paramètres!$A$1:$I$89,3,0)*0.475*44/12</f>
        <v>4.2046355045401338</v>
      </c>
      <c r="FR184" s="21">
        <f>EXP(-LN(2)/25)*FR183+(1-EXP(-LN(2)/25))/(LN(2)/25)*Calculateur!FM184*Calculateur!FO184*VLOOKUP('Données projet'!$B$16,Paramètres!$A$1:$I$89,3,0)*0.475*44/12</f>
        <v>3.3897549331365786</v>
      </c>
      <c r="FS184" s="21">
        <f>EXP(-LN(2)/2)*FS183+(1-EXP(-LN(2)/2))/(LN(2)/2)*FM184*FP184*VLOOKUP('Données projet'!$B$16,Paramètres!$A$1:$I$89,3,0)*0.475*44/12</f>
        <v>1.8601898094543297E-8</v>
      </c>
      <c r="FT184" s="22">
        <f t="shared" si="184"/>
        <v>7.5943904562786102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69.010444650680839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69.010444650680839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>
      <c r="A185" s="10">
        <f t="shared" si="161"/>
        <v>182</v>
      </c>
      <c r="B185" s="73">
        <f>'Scénario référence'!$B$16*5+'Scénario référence'!$B$17*0+'Scénario référence'!$B$18*5</f>
        <v>4.6999999999999993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9.7100640000000258</v>
      </c>
      <c r="D185" s="11">
        <f t="shared" si="140"/>
        <v>3.4344840649400443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22.287334542358206</v>
      </c>
      <c r="H185" s="67">
        <f t="shared" si="110"/>
        <v>210.6267545464373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69.027611223677198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-2.2737367544323206E-13</v>
      </c>
      <c r="O185" s="13">
        <f>N185*VLOOKUP('Données projet'!$B$9,Paramètres!$A$1:$I$89,3,0)*VLOOKUP('Données projet'!$B$9,Paramètres!$A$1:$I$89,5,0)</f>
        <v>-1.3596945791505279E-13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366.93249569585623</v>
      </c>
      <c r="T185" s="59">
        <f t="shared" si="142"/>
        <v>272.47262353368501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20.331179446959958</v>
      </c>
      <c r="AA185" s="21">
        <f>EXP(-LN(2)/25)*AA184+(1-EXP(-LN(2)/25))/(LN(2)/25)*Calculateur!V185*Calculateur!X185*VLOOKUP('Données projet'!$B$9,Paramètres!$A$1:$I$89,3,0)*0.475*44/12</f>
        <v>3.0595724713705361</v>
      </c>
      <c r="AB185" s="21">
        <f>EXP(-LN(2)/2)*AB184+(1-EXP(-LN(2)/2))/(LN(2)/2)*V185*Y185*VLOOKUP('Données projet'!$B$9,Paramètres!$A$1:$I$89,3,0)*0.475*44/12</f>
        <v>3.1404498024837893E-14</v>
      </c>
      <c r="AC185" s="22">
        <f t="shared" si="163"/>
        <v>23.390751918330526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69.027611223677198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1.1368683772161603E-13</v>
      </c>
      <c r="AJ185" s="13">
        <f>AI185*VLOOKUP('Données projet'!$B$10,Paramètres!$A$1:$I$89,3,0)*VLOOKUP('Données projet'!$B$10,Paramètres!$A$1:$I$89,5,0)</f>
        <v>5.3205440053716299E-14</v>
      </c>
      <c r="AK185" s="13">
        <f t="shared" si="164"/>
        <v>8.602146238565607E-13</v>
      </c>
      <c r="AL185" s="20">
        <f t="shared" si="165"/>
        <v>1.590873277977066E-12</v>
      </c>
      <c r="AM185" s="59">
        <f t="shared" si="113"/>
        <v>289.76790782015132</v>
      </c>
      <c r="AN185" s="59">
        <f ca="1">AVERAGE(OFFSET($AM$3,0,0,'Données projet'!$E$10+1,1))-AVERAGE(OFFSET($H$3,0,0,'Données projet'!$E$10+1,1))</f>
        <v>382.89338473200229</v>
      </c>
      <c r="AO185" s="59">
        <f t="shared" si="144"/>
        <v>360.46248248971744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40.100101472438915</v>
      </c>
      <c r="AV185" s="21">
        <f>EXP(-LN(2)/25)*AV184+(1-EXP(-LN(2)/25))/(LN(2)/25)*Calculateur!AQ185*Calculateur!AS185*VLOOKUP('Données projet'!$B$10,Paramètres!$A$1:$I$89,3,0)*0.475*44/12</f>
        <v>6.4398230461194332</v>
      </c>
      <c r="AW185" s="21">
        <f>EXP(-LN(2)/2)*AW184+(1-EXP(-LN(2)/2))/(LN(2)/2)*AQ185*AT185*VLOOKUP('Données projet'!$B$10,Paramètres!$A$1:$I$89,3,0)*0.475*44/12</f>
        <v>1.00911851684404E-10</v>
      </c>
      <c r="AX185" s="21">
        <f t="shared" si="166"/>
        <v>46.539924518659262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69.027611223677198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>
        <f>BD185*VLOOKUP('Données projet'!$B$11,Paramètres!$A$1:$I$89,3,0)*VLOOKUP('Données projet'!$B$11,Paramètres!$A$1:$I$89,5,0)</f>
        <v>0</v>
      </c>
      <c r="BF185" s="13" t="e">
        <f t="shared" si="167"/>
        <v>#NUM!</v>
      </c>
      <c r="BG185" s="20" t="e">
        <f t="shared" si="168"/>
        <v>#NUM!</v>
      </c>
      <c r="BH185" s="59" t="e">
        <f t="shared" si="116"/>
        <v>#NUM!</v>
      </c>
      <c r="BI185" s="59">
        <f ca="1">AVERAGE(OFFSET($BH$3,0,0,'Données projet'!$E$11+1,1))-AVERAGE(OFFSET($H$3,0,0,'Données projet'!$E$11+1,1))</f>
        <v>225.75484198243581</v>
      </c>
      <c r="BJ185" s="59">
        <f t="shared" si="146"/>
        <v>199.49566488421061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1.4615818507981932</v>
      </c>
      <c r="BQ185" s="21">
        <f>EXP(-LN(2)/25)*BQ184+(1-EXP(-LN(2)/25))/(LN(2)/25)*Calculateur!BL185*Calculateur!BN185*VLOOKUP('Données projet'!$B$11,Paramètres!$A$1:$I$89,3,0)*0.475*44/12</f>
        <v>4.1645848326529276</v>
      </c>
      <c r="BR185" s="21">
        <f>EXP(-LN(2)/2)*BR184+(1-EXP(-LN(2)/2))/(LN(2)/2)*BL185*BO185*VLOOKUP('Données projet'!$B$11,Paramètres!$A$1:$I$89,3,0)*0.475*44/12</f>
        <v>0</v>
      </c>
      <c r="BS185" s="22">
        <f t="shared" si="169"/>
        <v>5.626166683451121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69.027611223677198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1.1368683772161603E-13</v>
      </c>
      <c r="BZ185" s="13">
        <f>BY185*VLOOKUP('Données projet'!$B$12,Paramètres!$A$1:$I$89,3,0)*VLOOKUP('Données projet'!$B$12,Paramètres!$A$1:$I$89,5,0)</f>
        <v>1.0818439477588981E-13</v>
      </c>
      <c r="CA185" s="13">
        <f t="shared" si="170"/>
        <v>1.6104228458716316E-12</v>
      </c>
      <c r="CB185" s="20">
        <f t="shared" si="171"/>
        <v>2.9932409441277661E-12</v>
      </c>
      <c r="CC185" s="59">
        <f t="shared" si="119"/>
        <v>289.76790782015274</v>
      </c>
      <c r="CD185" s="59">
        <f ca="1">AVERAGE(OFFSET($CC$3,0,0,'Données projet'!$E$12+1,1))-AVERAGE(OFFSET($H$3,0,0,'Données projet'!$E$12+1,1))</f>
        <v>413.9352601863377</v>
      </c>
      <c r="CE185" s="59">
        <f t="shared" si="148"/>
        <v>255.13997349799286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13.471933818865093</v>
      </c>
      <c r="CL185" s="21">
        <f>EXP(-LN(2)/25)*CL184+(1-EXP(-LN(2)/25))/(LN(2)/25)*Calculateur!CG185*Calculateur!CI185*VLOOKUP('Données projet'!$B$12,Paramètres!$A$1:$I$89,3,0)*0.475*44/12</f>
        <v>8.2854022790459307</v>
      </c>
      <c r="CM185" s="21">
        <f>EXP(-LN(2)/2)*CM184+(1-EXP(-LN(2)/2))/(LN(2)/2)*CG185*CJ185*VLOOKUP('Données projet'!$B$12,Paramètres!$A$1:$I$89,3,0)*0.475*44/12</f>
        <v>3.0198344753172578E-8</v>
      </c>
      <c r="CN185" s="22">
        <f t="shared" si="172"/>
        <v>21.757336128109365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69.027611223677198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2.8421709430404007E-14</v>
      </c>
      <c r="CU185" s="17">
        <f>CT185*VLOOKUP('Données projet'!$B$13,Paramètres!$A$1:$I$89,3,0)*VLOOKUP('Données projet'!$B$13,Paramètres!$A$1:$I$89,5,0)</f>
        <v>2.4829205358400945E-14</v>
      </c>
      <c r="CV185" s="13">
        <f t="shared" si="173"/>
        <v>4.3867331143352915E-13</v>
      </c>
      <c r="CW185" s="20">
        <f t="shared" si="174"/>
        <v>8.0726688341261168E-13</v>
      </c>
      <c r="CX185" s="59">
        <f t="shared" si="122"/>
        <v>289.76790782015053</v>
      </c>
      <c r="CY185" s="59">
        <f ca="1">AVERAGE(OFFSET($CX$3,0,0,'Données projet'!$E$13+1,1))-AVERAGE(OFFSET($H$3,0,0,'Données projet'!$E$13+1,1))</f>
        <v>280.59827778697775</v>
      </c>
      <c r="CZ185" s="59">
        <f t="shared" si="150"/>
        <v>270.86588231964726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>
        <f>EXP(-LN(2)/35)*DF184+(1-EXP(-LN(2)/35))/(LN(2)/35)*DB185*DC185*VLOOKUP('Données projet'!$B$13,Paramètres!$A$1:$I$89,3,0)*0.475*44/12</f>
        <v>4.3756732772760882</v>
      </c>
      <c r="DG185" s="21">
        <f>EXP(-LN(2)/25)*DG184+(1-EXP(-LN(2)/25))/(LN(2)/25)*Calculateur!DB185*Calculateur!DD185*VLOOKUP('Données projet'!$B$13,Paramètres!$A$1:$I$89,3,0)*0.475*44/12</f>
        <v>2.1579557839039722</v>
      </c>
      <c r="DH185" s="21">
        <f>EXP(-LN(2)/2)*DH184+(1-EXP(-LN(2)/2))/(LN(2)/2)*DB185*DE185*VLOOKUP('Données projet'!$B$13,Paramètres!$A$1:$I$89,3,0)*0.475*44/12</f>
        <v>2.0182274358683527E-14</v>
      </c>
      <c r="DI185" s="22">
        <f t="shared" si="175"/>
        <v>6.5336290611800809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69.027611223677198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>
        <f>DO185*VLOOKUP('Données projet'!$B$14,Paramètres!$A$1:$I$89,3,0)*VLOOKUP('Données projet'!$B$14,Paramètres!$A$1:$I$89,5,0)</f>
        <v>0</v>
      </c>
      <c r="DQ185" s="13" t="e">
        <f t="shared" si="176"/>
        <v>#NUM!</v>
      </c>
      <c r="DR185" s="20" t="e">
        <f t="shared" si="177"/>
        <v>#NUM!</v>
      </c>
      <c r="DS185" s="59" t="e">
        <f t="shared" si="125"/>
        <v>#NUM!</v>
      </c>
      <c r="DT185" s="59">
        <f ca="1">AVERAGE(OFFSET($DS$3,0,0,'Données projet'!$E$14+1,1))-AVERAGE(OFFSET($H$3,0,0,'Données projet'!$E$14+1,1))</f>
        <v>211.42385430331873</v>
      </c>
      <c r="DU185" s="59">
        <f t="shared" si="152"/>
        <v>146.84623106782686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>
        <f>EXP(-LN(2)/35)*EA184+(1-EXP(-LN(2)/35))/(LN(2)/35)*DW185*DX185*VLOOKUP('Données projet'!$B$14,Paramètres!$A$1:$I$89,3,0)*0.475*44/12</f>
        <v>6.4366058449120294</v>
      </c>
      <c r="EB185" s="21">
        <f>EXP(-LN(2)/25)*EB184+(1-EXP(-LN(2)/25))/(LN(2)/25)*Calculateur!DW185*Calculateur!DY185*VLOOKUP('Données projet'!$B$14,Paramètres!$A$1:$I$89,3,0)*0.475*44/12</f>
        <v>3.9746513612210461</v>
      </c>
      <c r="EC185" s="21">
        <f>EXP(-LN(2)/2)*EC184+(1-EXP(-LN(2)/2))/(LN(2)/2)*DW185*DZ185*VLOOKUP('Données projet'!$B$14,Paramètres!$A$1:$I$89,3,0)*0.475*44/12</f>
        <v>2.4184905831155672E-9</v>
      </c>
      <c r="ED185" s="22">
        <f t="shared" si="178"/>
        <v>10.411257208551566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69.027611223677198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-9.9475983006414026E-14</v>
      </c>
      <c r="EK185" s="17">
        <f>EJ185*VLOOKUP('Données projet'!$B$15,Paramètres!$A$1:$I$89,3,0)*VLOOKUP('Données projet'!$B$15,Paramètres!$A$1:$I$89,5,0)</f>
        <v>-1.0707594810810407E-13</v>
      </c>
      <c r="EL185" s="13" t="e">
        <f t="shared" si="179"/>
        <v>#NUM!</v>
      </c>
      <c r="EM185" s="20" t="e">
        <f t="shared" si="180"/>
        <v>#NUM!</v>
      </c>
      <c r="EN185" s="59" t="e">
        <f t="shared" si="128"/>
        <v>#NUM!</v>
      </c>
      <c r="EO185" s="59">
        <f ca="1">AVERAGE(OFFSET($EN$3,0,0,'Données projet'!$E$15+1,1))-AVERAGE(OFFSET($H$3,0,0,'Données projet'!$E$15+1,1))</f>
        <v>212.00478362779876</v>
      </c>
      <c r="EP185" s="59">
        <f t="shared" si="154"/>
        <v>133.62262474506707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>
        <f>EXP(-LN(2)/35)*EV184+(1-EXP(-LN(2)/35))/(LN(2)/35)*ER185*ES185*VLOOKUP('Données projet'!$B$15,Paramètres!$A$1:$I$89,3,0)*0.475*44/12</f>
        <v>4.5875931695817158</v>
      </c>
      <c r="EW185" s="21">
        <f>EXP(-LN(2)/25)*EW184+(1-EXP(-LN(2)/25))/(LN(2)/25)*Calculateur!ER185*Calculateur!ET185*VLOOKUP('Données projet'!$B$15,Paramètres!$A$1:$I$89,3,0)*0.475*44/12</f>
        <v>3.6693108311274827</v>
      </c>
      <c r="EX185" s="21">
        <f>EXP(-LN(2)/2)*EX184+(1-EXP(-LN(2)/2))/(LN(2)/2)*ER185*EU185*VLOOKUP('Données projet'!$B$15,Paramètres!$A$1:$I$89,3,0)*0.475*44/12</f>
        <v>1.4638604059772557E-8</v>
      </c>
      <c r="EY185" s="22">
        <f t="shared" si="181"/>
        <v>8.2569040153478017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69.027611223677198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-9.9475983006414026E-14</v>
      </c>
      <c r="FF185" s="17">
        <f>FE185*VLOOKUP('Données projet'!$B$16,Paramètres!$A$1:$I$89,3,0)*VLOOKUP('Données projet'!$B$16,Paramètres!$A$1:$I$89,5,0)</f>
        <v>-9.6213170763803652E-14</v>
      </c>
      <c r="FG185" s="13" t="e">
        <f t="shared" si="182"/>
        <v>#NUM!</v>
      </c>
      <c r="FH185" s="20" t="e">
        <f t="shared" si="183"/>
        <v>#NUM!</v>
      </c>
      <c r="FI185" s="59" t="e">
        <f t="shared" si="131"/>
        <v>#NUM!</v>
      </c>
      <c r="FJ185" s="59">
        <f ca="1">AVERAGE(OFFSET($FI$3,0,0,'Données projet'!$E$16+1,1))-AVERAGE(OFFSET($H$3,0,0,'Données projet'!$E$16+1,1))</f>
        <v>196.65742339093146</v>
      </c>
      <c r="FK185" s="59">
        <f t="shared" si="156"/>
        <v>125.41980634506001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>
        <f>EXP(-LN(2)/35)*FQ184+(1-EXP(-LN(2)/35))/(LN(2)/35)*FM185*FN185*VLOOKUP('Données projet'!$B$16,Paramètres!$A$1:$I$89,3,0)*0.475*44/12</f>
        <v>4.1221851668705289</v>
      </c>
      <c r="FR185" s="21">
        <f>EXP(-LN(2)/25)*FR184+(1-EXP(-LN(2)/25))/(LN(2)/25)*Calculateur!FM185*Calculateur!FO185*VLOOKUP('Données projet'!$B$16,Paramètres!$A$1:$I$89,3,0)*0.475*44/12</f>
        <v>3.2970619062304944</v>
      </c>
      <c r="FS185" s="21">
        <f>EXP(-LN(2)/2)*FS184+(1-EXP(-LN(2)/2))/(LN(2)/2)*FM185*FP185*VLOOKUP('Données projet'!$B$16,Paramètres!$A$1:$I$89,3,0)*0.475*44/12</f>
        <v>1.3153528285592683E-8</v>
      </c>
      <c r="FT185" s="22">
        <f t="shared" si="184"/>
        <v>7.4192470862545514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69.027611223677198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69.027611223677198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>
      <c r="A186" s="10">
        <f t="shared" si="161"/>
        <v>183</v>
      </c>
      <c r="B186" s="73">
        <f>'Scénario référence'!$B$16*5+'Scénario référence'!$B$17*0+'Scénario référence'!$B$18*5</f>
        <v>4.6999999999999993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9.7634160000000261</v>
      </c>
      <c r="D186" s="11">
        <f t="shared" si="140"/>
        <v>3.4511529751488985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22.319765279718098</v>
      </c>
      <c r="H186" s="67">
        <f t="shared" si="110"/>
        <v>210.74870763171774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69.044479995010775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-2.2737367544323206E-13</v>
      </c>
      <c r="O186" s="13">
        <f>N186*VLOOKUP('Données projet'!$B$9,Paramètres!$A$1:$I$89,3,0)*VLOOKUP('Données projet'!$B$9,Paramètres!$A$1:$I$89,5,0)</f>
        <v>-1.3596945791505279E-13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366.93249569585623</v>
      </c>
      <c r="T186" s="59">
        <f t="shared" si="142"/>
        <v>272.47262353368501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19.932497418800057</v>
      </c>
      <c r="AA186" s="21">
        <f>EXP(-LN(2)/25)*AA185+(1-EXP(-LN(2)/25))/(LN(2)/25)*Calculateur!V186*Calculateur!X186*VLOOKUP('Données projet'!$B$9,Paramètres!$A$1:$I$89,3,0)*0.475*44/12</f>
        <v>2.9759083012449854</v>
      </c>
      <c r="AB186" s="21">
        <f>EXP(-LN(2)/2)*AB185+(1-EXP(-LN(2)/2))/(LN(2)/2)*V186*Y186*VLOOKUP('Données projet'!$B$9,Paramètres!$A$1:$I$89,3,0)*0.475*44/12</f>
        <v>2.2206333513122412E-14</v>
      </c>
      <c r="AC186" s="22">
        <f t="shared" si="163"/>
        <v>22.908405720045064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69.044479995010775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1.1368683772161603E-13</v>
      </c>
      <c r="AJ186" s="13">
        <f>AI186*VLOOKUP('Données projet'!$B$10,Paramètres!$A$1:$I$89,3,0)*VLOOKUP('Données projet'!$B$10,Paramètres!$A$1:$I$89,5,0)</f>
        <v>5.3205440053716299E-14</v>
      </c>
      <c r="AK186" s="13">
        <f t="shared" si="164"/>
        <v>8.602146238565607E-13</v>
      </c>
      <c r="AL186" s="20">
        <f t="shared" si="165"/>
        <v>1.590873277977066E-12</v>
      </c>
      <c r="AM186" s="59">
        <f t="shared" si="113"/>
        <v>289.82975998170775</v>
      </c>
      <c r="AN186" s="59">
        <f ca="1">AVERAGE(OFFSET($AM$3,0,0,'Données projet'!$E$10+1,1))-AVERAGE(OFFSET($H$3,0,0,'Données projet'!$E$10+1,1))</f>
        <v>382.89338473200229</v>
      </c>
      <c r="AO186" s="59">
        <f t="shared" si="144"/>
        <v>360.46248248971744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39.313762941211195</v>
      </c>
      <c r="AV186" s="21">
        <f>EXP(-LN(2)/25)*AV185+(1-EXP(-LN(2)/25))/(LN(2)/25)*Calculateur!AQ186*Calculateur!AS186*VLOOKUP('Données projet'!$B$10,Paramètres!$A$1:$I$89,3,0)*0.475*44/12</f>
        <v>6.2637257462677214</v>
      </c>
      <c r="AW186" s="21">
        <f>EXP(-LN(2)/2)*AW185+(1-EXP(-LN(2)/2))/(LN(2)/2)*AQ186*AT186*VLOOKUP('Données projet'!$B$10,Paramètres!$A$1:$I$89,3,0)*0.475*44/12</f>
        <v>7.1355454628133194E-11</v>
      </c>
      <c r="AX186" s="21">
        <f t="shared" si="166"/>
        <v>45.577488687550272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69.044479995010775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>
        <f>BD186*VLOOKUP('Données projet'!$B$11,Paramètres!$A$1:$I$89,3,0)*VLOOKUP('Données projet'!$B$11,Paramètres!$A$1:$I$89,5,0)</f>
        <v>0</v>
      </c>
      <c r="BF186" s="13" t="e">
        <f t="shared" si="167"/>
        <v>#NUM!</v>
      </c>
      <c r="BG186" s="20" t="e">
        <f t="shared" si="168"/>
        <v>#NUM!</v>
      </c>
      <c r="BH186" s="59" t="e">
        <f t="shared" si="116"/>
        <v>#NUM!</v>
      </c>
      <c r="BI186" s="59">
        <f ca="1">AVERAGE(OFFSET($BH$3,0,0,'Données projet'!$E$11+1,1))-AVERAGE(OFFSET($H$3,0,0,'Données projet'!$E$11+1,1))</f>
        <v>225.75484198243581</v>
      </c>
      <c r="BJ186" s="59">
        <f t="shared" si="146"/>
        <v>199.49566488421061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1.4329211221809437</v>
      </c>
      <c r="BQ186" s="21">
        <f>EXP(-LN(2)/25)*BQ185+(1-EXP(-LN(2)/25))/(LN(2)/25)*Calculateur!BL186*Calculateur!BN186*VLOOKUP('Données projet'!$B$11,Paramètres!$A$1:$I$89,3,0)*0.475*44/12</f>
        <v>4.0507040413980349</v>
      </c>
      <c r="BR186" s="21">
        <f>EXP(-LN(2)/2)*BR185+(1-EXP(-LN(2)/2))/(LN(2)/2)*BL186*BO186*VLOOKUP('Données projet'!$B$11,Paramètres!$A$1:$I$89,3,0)*0.475*44/12</f>
        <v>0</v>
      </c>
      <c r="BS186" s="22">
        <f t="shared" si="169"/>
        <v>5.4836251635789788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69.044479995010775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1.1368683772161603E-13</v>
      </c>
      <c r="BZ186" s="13">
        <f>BY186*VLOOKUP('Données projet'!$B$12,Paramètres!$A$1:$I$89,3,0)*VLOOKUP('Données projet'!$B$12,Paramètres!$A$1:$I$89,5,0)</f>
        <v>1.0818439477588981E-13</v>
      </c>
      <c r="CA186" s="13">
        <f t="shared" si="170"/>
        <v>1.6104228458716316E-12</v>
      </c>
      <c r="CB186" s="20">
        <f t="shared" si="171"/>
        <v>2.9932409441277661E-12</v>
      </c>
      <c r="CC186" s="59">
        <f t="shared" si="119"/>
        <v>289.82975998170917</v>
      </c>
      <c r="CD186" s="59">
        <f ca="1">AVERAGE(OFFSET($CC$3,0,0,'Données projet'!$E$12+1,1))-AVERAGE(OFFSET($H$3,0,0,'Données projet'!$E$12+1,1))</f>
        <v>413.9352601863377</v>
      </c>
      <c r="CE186" s="59">
        <f t="shared" si="148"/>
        <v>255.13997349799286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13.20775741374541</v>
      </c>
      <c r="CL186" s="21">
        <f>EXP(-LN(2)/25)*CL185+(1-EXP(-LN(2)/25))/(LN(2)/25)*Calculateur!CG186*Calculateur!CI186*VLOOKUP('Données projet'!$B$12,Paramètres!$A$1:$I$89,3,0)*0.475*44/12</f>
        <v>8.05883751801505</v>
      </c>
      <c r="CM186" s="21">
        <f>EXP(-LN(2)/2)*CM185+(1-EXP(-LN(2)/2))/(LN(2)/2)*CG186*CJ186*VLOOKUP('Données projet'!$B$12,Paramètres!$A$1:$I$89,3,0)*0.475*44/12</f>
        <v>2.1353454355577528E-8</v>
      </c>
      <c r="CN186" s="22">
        <f t="shared" si="172"/>
        <v>21.266594953113913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69.044479995010775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2.8421709430404007E-14</v>
      </c>
      <c r="CU186" s="17">
        <f>CT186*VLOOKUP('Données projet'!$B$13,Paramètres!$A$1:$I$89,3,0)*VLOOKUP('Données projet'!$B$13,Paramètres!$A$1:$I$89,5,0)</f>
        <v>2.4829205358400945E-14</v>
      </c>
      <c r="CV186" s="13">
        <f t="shared" si="173"/>
        <v>4.3867331143352915E-13</v>
      </c>
      <c r="CW186" s="20">
        <f t="shared" si="174"/>
        <v>8.0726688341261168E-13</v>
      </c>
      <c r="CX186" s="59">
        <f t="shared" si="122"/>
        <v>289.82975998170696</v>
      </c>
      <c r="CY186" s="59">
        <f ca="1">AVERAGE(OFFSET($CX$3,0,0,'Données projet'!$E$13+1,1))-AVERAGE(OFFSET($H$3,0,0,'Données projet'!$E$13+1,1))</f>
        <v>280.59827778697775</v>
      </c>
      <c r="CZ186" s="59">
        <f t="shared" si="150"/>
        <v>270.86588231964726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>
        <f>EXP(-LN(2)/35)*DF185+(1-EXP(-LN(2)/35))/(LN(2)/35)*DB186*DC186*VLOOKUP('Données projet'!$B$13,Paramètres!$A$1:$I$89,3,0)*0.475*44/12</f>
        <v>4.2898689932058716</v>
      </c>
      <c r="DG186" s="21">
        <f>EXP(-LN(2)/25)*DG185+(1-EXP(-LN(2)/25))/(LN(2)/25)*Calculateur!DB186*Calculateur!DD186*VLOOKUP('Données projet'!$B$13,Paramètres!$A$1:$I$89,3,0)*0.475*44/12</f>
        <v>2.0989463695111557</v>
      </c>
      <c r="DH186" s="21">
        <f>EXP(-LN(2)/2)*DH185+(1-EXP(-LN(2)/2))/(LN(2)/2)*DB186*DE186*VLOOKUP('Données projet'!$B$13,Paramètres!$A$1:$I$89,3,0)*0.475*44/12</f>
        <v>1.4271023058792501E-14</v>
      </c>
      <c r="DI186" s="22">
        <f t="shared" si="175"/>
        <v>6.3888153627170414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69.044479995010775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>
        <f>DO186*VLOOKUP('Données projet'!$B$14,Paramètres!$A$1:$I$89,3,0)*VLOOKUP('Données projet'!$B$14,Paramètres!$A$1:$I$89,5,0)</f>
        <v>0</v>
      </c>
      <c r="DQ186" s="13" t="e">
        <f t="shared" si="176"/>
        <v>#NUM!</v>
      </c>
      <c r="DR186" s="20" t="e">
        <f t="shared" si="177"/>
        <v>#NUM!</v>
      </c>
      <c r="DS186" s="59" t="e">
        <f t="shared" si="125"/>
        <v>#NUM!</v>
      </c>
      <c r="DT186" s="59">
        <f ca="1">AVERAGE(OFFSET($DS$3,0,0,'Données projet'!$E$14+1,1))-AVERAGE(OFFSET($H$3,0,0,'Données projet'!$E$14+1,1))</f>
        <v>211.42385430331873</v>
      </c>
      <c r="DU186" s="59">
        <f t="shared" si="152"/>
        <v>146.84623106782686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>
        <f>EXP(-LN(2)/35)*EA185+(1-EXP(-LN(2)/35))/(LN(2)/35)*DW186*DX186*VLOOKUP('Données projet'!$B$14,Paramètres!$A$1:$I$89,3,0)*0.475*44/12</f>
        <v>6.3103879302352155</v>
      </c>
      <c r="EB186" s="21">
        <f>EXP(-LN(2)/25)*EB185+(1-EXP(-LN(2)/25))/(LN(2)/25)*Calculateur!DW186*Calculateur!DY186*VLOOKUP('Données projet'!$B$14,Paramètres!$A$1:$I$89,3,0)*0.475*44/12</f>
        <v>3.8659643107306256</v>
      </c>
      <c r="EC186" s="21">
        <f>EXP(-LN(2)/2)*EC185+(1-EXP(-LN(2)/2))/(LN(2)/2)*DW186*DZ186*VLOOKUP('Données projet'!$B$14,Paramètres!$A$1:$I$89,3,0)*0.475*44/12</f>
        <v>1.7101310915568251E-9</v>
      </c>
      <c r="ED186" s="22">
        <f t="shared" si="178"/>
        <v>10.176352242675971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69.044479995010775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-9.9475983006414026E-14</v>
      </c>
      <c r="EK186" s="17">
        <f>EJ186*VLOOKUP('Données projet'!$B$15,Paramètres!$A$1:$I$89,3,0)*VLOOKUP('Données projet'!$B$15,Paramètres!$A$1:$I$89,5,0)</f>
        <v>-1.0707594810810407E-13</v>
      </c>
      <c r="EL186" s="13" t="e">
        <f t="shared" si="179"/>
        <v>#NUM!</v>
      </c>
      <c r="EM186" s="20" t="e">
        <f t="shared" si="180"/>
        <v>#NUM!</v>
      </c>
      <c r="EN186" s="59" t="e">
        <f t="shared" si="128"/>
        <v>#NUM!</v>
      </c>
      <c r="EO186" s="59">
        <f ca="1">AVERAGE(OFFSET($EN$3,0,0,'Données projet'!$E$15+1,1))-AVERAGE(OFFSET($H$3,0,0,'Données projet'!$E$15+1,1))</f>
        <v>212.00478362779876</v>
      </c>
      <c r="EP186" s="59">
        <f t="shared" si="154"/>
        <v>133.62262474506707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>
        <f>EXP(-LN(2)/35)*EV185+(1-EXP(-LN(2)/35))/(LN(2)/35)*ER186*ES186*VLOOKUP('Données projet'!$B$15,Paramètres!$A$1:$I$89,3,0)*0.475*44/12</f>
        <v>4.497633265681757</v>
      </c>
      <c r="EW186" s="21">
        <f>EXP(-LN(2)/25)*EW185+(1-EXP(-LN(2)/25))/(LN(2)/25)*Calculateur!ER186*Calculateur!ET186*VLOOKUP('Données projet'!$B$15,Paramètres!$A$1:$I$89,3,0)*0.475*44/12</f>
        <v>3.5689733334896312</v>
      </c>
      <c r="EX186" s="21">
        <f>EXP(-LN(2)/2)*EX185+(1-EXP(-LN(2)/2))/(LN(2)/2)*ER186*EU186*VLOOKUP('Données projet'!$B$15,Paramètres!$A$1:$I$89,3,0)*0.475*44/12</f>
        <v>1.0351056197770101E-8</v>
      </c>
      <c r="EY186" s="22">
        <f t="shared" si="181"/>
        <v>8.0666066095224451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69.044479995010775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-9.9475983006414026E-14</v>
      </c>
      <c r="FF186" s="17">
        <f>FE186*VLOOKUP('Données projet'!$B$16,Paramètres!$A$1:$I$89,3,0)*VLOOKUP('Données projet'!$B$16,Paramètres!$A$1:$I$89,5,0)</f>
        <v>-9.6213170763803652E-14</v>
      </c>
      <c r="FG186" s="13" t="e">
        <f t="shared" si="182"/>
        <v>#NUM!</v>
      </c>
      <c r="FH186" s="20" t="e">
        <f t="shared" si="183"/>
        <v>#NUM!</v>
      </c>
      <c r="FI186" s="59" t="e">
        <f t="shared" si="131"/>
        <v>#NUM!</v>
      </c>
      <c r="FJ186" s="59">
        <f ca="1">AVERAGE(OFFSET($FI$3,0,0,'Données projet'!$E$16+1,1))-AVERAGE(OFFSET($H$3,0,0,'Données projet'!$E$16+1,1))</f>
        <v>196.65742339093146</v>
      </c>
      <c r="FK186" s="59">
        <f t="shared" si="156"/>
        <v>125.41980634506001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>
        <f>EXP(-LN(2)/35)*FQ185+(1-EXP(-LN(2)/35))/(LN(2)/35)*FM186*FN186*VLOOKUP('Données projet'!$B$16,Paramètres!$A$1:$I$89,3,0)*0.475*44/12</f>
        <v>4.0413516300328842</v>
      </c>
      <c r="FR186" s="21">
        <f>EXP(-LN(2)/25)*FR185+(1-EXP(-LN(2)/25))/(LN(2)/25)*Calculateur!FM186*Calculateur!FO186*VLOOKUP('Données projet'!$B$16,Paramètres!$A$1:$I$89,3,0)*0.475*44/12</f>
        <v>3.2069035750196715</v>
      </c>
      <c r="FS186" s="21">
        <f>EXP(-LN(2)/2)*FS185+(1-EXP(-LN(2)/2))/(LN(2)/2)*FM186*FP186*VLOOKUP('Données projet'!$B$16,Paramètres!$A$1:$I$89,3,0)*0.475*44/12</f>
        <v>9.3009490472716485E-9</v>
      </c>
      <c r="FT186" s="22">
        <f t="shared" si="184"/>
        <v>7.2482552143535051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69.044479995010775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69.044479995010775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>
      <c r="A187" s="10">
        <f t="shared" si="161"/>
        <v>184</v>
      </c>
      <c r="B187" s="73">
        <f>'Scénario référence'!$B$16*5+'Scénario référence'!$B$17*0+'Scénario référence'!$B$18*5</f>
        <v>4.6999999999999993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9.8167680000000264</v>
      </c>
      <c r="D187" s="11">
        <f t="shared" si="140"/>
        <v>3.4678112861532475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22.352191107972743</v>
      </c>
      <c r="H187" s="67">
        <f t="shared" si="110"/>
        <v>210.87064225671696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69.061056130874633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-2.2737367544323206E-13</v>
      </c>
      <c r="O187" s="13">
        <f>N187*VLOOKUP('Données projet'!$B$9,Paramètres!$A$1:$I$89,3,0)*VLOOKUP('Données projet'!$B$9,Paramètres!$A$1:$I$89,5,0)</f>
        <v>-1.3596945791505279E-13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366.93249569585623</v>
      </c>
      <c r="T187" s="59">
        <f t="shared" si="142"/>
        <v>272.47262353368501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19.541633302040349</v>
      </c>
      <c r="AA187" s="21">
        <f>EXP(-LN(2)/25)*AA186+(1-EXP(-LN(2)/25))/(LN(2)/25)*Calculateur!V187*Calculateur!X187*VLOOKUP('Données projet'!$B$9,Paramètres!$A$1:$I$89,3,0)*0.475*44/12</f>
        <v>2.8945319322512253</v>
      </c>
      <c r="AB187" s="21">
        <f>EXP(-LN(2)/2)*AB186+(1-EXP(-LN(2)/2))/(LN(2)/2)*V187*Y187*VLOOKUP('Données projet'!$B$9,Paramètres!$A$1:$I$89,3,0)*0.475*44/12</f>
        <v>1.5702249012418947E-14</v>
      </c>
      <c r="AC187" s="22">
        <f t="shared" si="163"/>
        <v>22.43616523429159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69.061056130874633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1.1368683772161603E-13</v>
      </c>
      <c r="AJ187" s="13">
        <f>AI187*VLOOKUP('Données projet'!$B$10,Paramètres!$A$1:$I$89,3,0)*VLOOKUP('Données projet'!$B$10,Paramètres!$A$1:$I$89,5,0)</f>
        <v>5.3205440053716299E-14</v>
      </c>
      <c r="AK187" s="13">
        <f t="shared" si="164"/>
        <v>8.602146238565607E-13</v>
      </c>
      <c r="AL187" s="20">
        <f t="shared" si="165"/>
        <v>1.590873277977066E-12</v>
      </c>
      <c r="AM187" s="59">
        <f t="shared" si="113"/>
        <v>289.89053914654193</v>
      </c>
      <c r="AN187" s="59">
        <f ca="1">AVERAGE(OFFSET($AM$3,0,0,'Données projet'!$E$10+1,1))-AVERAGE(OFFSET($H$3,0,0,'Données projet'!$E$10+1,1))</f>
        <v>382.89338473200229</v>
      </c>
      <c r="AO187" s="59">
        <f t="shared" si="144"/>
        <v>360.46248248971744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38.542844028961703</v>
      </c>
      <c r="AV187" s="21">
        <f>EXP(-LN(2)/25)*AV186+(1-EXP(-LN(2)/25))/(LN(2)/25)*Calculateur!AQ187*Calculateur!AS187*VLOOKUP('Données projet'!$B$10,Paramètres!$A$1:$I$89,3,0)*0.475*44/12</f>
        <v>6.0924438363410092</v>
      </c>
      <c r="AW187" s="21">
        <f>EXP(-LN(2)/2)*AW186+(1-EXP(-LN(2)/2))/(LN(2)/2)*AQ187*AT187*VLOOKUP('Données projet'!$B$10,Paramètres!$A$1:$I$89,3,0)*0.475*44/12</f>
        <v>5.0455925842201999E-11</v>
      </c>
      <c r="AX187" s="21">
        <f t="shared" si="166"/>
        <v>44.63528786535317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69.061056130874633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>
        <f>BD187*VLOOKUP('Données projet'!$B$11,Paramètres!$A$1:$I$89,3,0)*VLOOKUP('Données projet'!$B$11,Paramètres!$A$1:$I$89,5,0)</f>
        <v>0</v>
      </c>
      <c r="BF187" s="13" t="e">
        <f t="shared" si="167"/>
        <v>#NUM!</v>
      </c>
      <c r="BG187" s="20" t="e">
        <f t="shared" si="168"/>
        <v>#NUM!</v>
      </c>
      <c r="BH187" s="59" t="e">
        <f t="shared" si="116"/>
        <v>#NUM!</v>
      </c>
      <c r="BI187" s="59">
        <f ca="1">AVERAGE(OFFSET($BH$3,0,0,'Données projet'!$E$11+1,1))-AVERAGE(OFFSET($H$3,0,0,'Données projet'!$E$11+1,1))</f>
        <v>225.75484198243581</v>
      </c>
      <c r="BJ187" s="59">
        <f t="shared" si="146"/>
        <v>199.49566488421061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1.40482241297056</v>
      </c>
      <c r="BQ187" s="21">
        <f>EXP(-LN(2)/25)*BQ186+(1-EXP(-LN(2)/25))/(LN(2)/25)*Calculateur!BL187*Calculateur!BN187*VLOOKUP('Données projet'!$B$11,Paramètres!$A$1:$I$89,3,0)*0.475*44/12</f>
        <v>3.9399373263687383</v>
      </c>
      <c r="BR187" s="21">
        <f>EXP(-LN(2)/2)*BR186+(1-EXP(-LN(2)/2))/(LN(2)/2)*BL187*BO187*VLOOKUP('Données projet'!$B$11,Paramètres!$A$1:$I$89,3,0)*0.475*44/12</f>
        <v>0</v>
      </c>
      <c r="BS187" s="22">
        <f t="shared" si="169"/>
        <v>5.344759739339298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69.061056130874633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1.1368683772161603E-13</v>
      </c>
      <c r="BZ187" s="13">
        <f>BY187*VLOOKUP('Données projet'!$B$12,Paramètres!$A$1:$I$89,3,0)*VLOOKUP('Données projet'!$B$12,Paramètres!$A$1:$I$89,5,0)</f>
        <v>1.0818439477588981E-13</v>
      </c>
      <c r="CA187" s="13">
        <f t="shared" si="170"/>
        <v>1.6104228458716316E-12</v>
      </c>
      <c r="CB187" s="20">
        <f t="shared" si="171"/>
        <v>2.9932409441277661E-12</v>
      </c>
      <c r="CC187" s="59">
        <f t="shared" si="119"/>
        <v>289.89053914654335</v>
      </c>
      <c r="CD187" s="59">
        <f ca="1">AVERAGE(OFFSET($CC$3,0,0,'Données projet'!$E$12+1,1))-AVERAGE(OFFSET($H$3,0,0,'Données projet'!$E$12+1,1))</f>
        <v>413.9352601863377</v>
      </c>
      <c r="CE187" s="59">
        <f t="shared" si="148"/>
        <v>255.13997349799286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12.948761346798427</v>
      </c>
      <c r="CL187" s="21">
        <f>EXP(-LN(2)/25)*CL186+(1-EXP(-LN(2)/25))/(LN(2)/25)*Calculateur!CG187*Calculateur!CI187*VLOOKUP('Données projet'!$B$12,Paramètres!$A$1:$I$89,3,0)*0.475*44/12</f>
        <v>7.8384681822890823</v>
      </c>
      <c r="CM187" s="21">
        <f>EXP(-LN(2)/2)*CM186+(1-EXP(-LN(2)/2))/(LN(2)/2)*CG187*CJ187*VLOOKUP('Données projet'!$B$12,Paramètres!$A$1:$I$89,3,0)*0.475*44/12</f>
        <v>1.5099172376586289E-8</v>
      </c>
      <c r="CN187" s="22">
        <f t="shared" si="172"/>
        <v>20.787229544186683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69.061056130874633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2.8421709430404007E-14</v>
      </c>
      <c r="CU187" s="17">
        <f>CT187*VLOOKUP('Données projet'!$B$13,Paramètres!$A$1:$I$89,3,0)*VLOOKUP('Données projet'!$B$13,Paramètres!$A$1:$I$89,5,0)</f>
        <v>2.4829205358400945E-14</v>
      </c>
      <c r="CV187" s="13">
        <f t="shared" si="173"/>
        <v>4.3867331143352915E-13</v>
      </c>
      <c r="CW187" s="20">
        <f t="shared" si="174"/>
        <v>8.0726688341261168E-13</v>
      </c>
      <c r="CX187" s="59">
        <f t="shared" si="122"/>
        <v>289.89053914654113</v>
      </c>
      <c r="CY187" s="59">
        <f ca="1">AVERAGE(OFFSET($CX$3,0,0,'Données projet'!$E$13+1,1))-AVERAGE(OFFSET($H$3,0,0,'Données projet'!$E$13+1,1))</f>
        <v>280.59827778697775</v>
      </c>
      <c r="CZ187" s="59">
        <f t="shared" si="150"/>
        <v>270.86588231964726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>
        <f>EXP(-LN(2)/35)*DF186+(1-EXP(-LN(2)/35))/(LN(2)/35)*DB187*DC187*VLOOKUP('Données projet'!$B$13,Paramètres!$A$1:$I$89,3,0)*0.475*44/12</f>
        <v>4.2057472788108266</v>
      </c>
      <c r="DG187" s="21">
        <f>EXP(-LN(2)/25)*DG186+(1-EXP(-LN(2)/25))/(LN(2)/25)*Calculateur!DB187*Calculateur!DD187*VLOOKUP('Données projet'!$B$13,Paramètres!$A$1:$I$89,3,0)*0.475*44/12</f>
        <v>2.0415505706580808</v>
      </c>
      <c r="DH187" s="21">
        <f>EXP(-LN(2)/2)*DH186+(1-EXP(-LN(2)/2))/(LN(2)/2)*DB187*DE187*VLOOKUP('Données projet'!$B$13,Paramètres!$A$1:$I$89,3,0)*0.475*44/12</f>
        <v>1.0091137179341763E-14</v>
      </c>
      <c r="DI187" s="22">
        <f t="shared" si="175"/>
        <v>6.2472978494689171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69.061056130874633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>
        <f>DO187*VLOOKUP('Données projet'!$B$14,Paramètres!$A$1:$I$89,3,0)*VLOOKUP('Données projet'!$B$14,Paramètres!$A$1:$I$89,5,0)</f>
        <v>0</v>
      </c>
      <c r="DQ187" s="13" t="e">
        <f t="shared" si="176"/>
        <v>#NUM!</v>
      </c>
      <c r="DR187" s="20" t="e">
        <f t="shared" si="177"/>
        <v>#NUM!</v>
      </c>
      <c r="DS187" s="59" t="e">
        <f t="shared" si="125"/>
        <v>#NUM!</v>
      </c>
      <c r="DT187" s="59">
        <f ca="1">AVERAGE(OFFSET($DS$3,0,0,'Données projet'!$E$14+1,1))-AVERAGE(OFFSET($H$3,0,0,'Données projet'!$E$14+1,1))</f>
        <v>211.42385430331873</v>
      </c>
      <c r="DU187" s="59">
        <f t="shared" si="152"/>
        <v>146.84623106782686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>
        <f>EXP(-LN(2)/35)*EA186+(1-EXP(-LN(2)/35))/(LN(2)/35)*DW187*DX187*VLOOKUP('Données projet'!$B$14,Paramètres!$A$1:$I$89,3,0)*0.475*44/12</f>
        <v>6.1866450718798873</v>
      </c>
      <c r="EB187" s="21">
        <f>EXP(-LN(2)/25)*EB186+(1-EXP(-LN(2)/25))/(LN(2)/25)*Calculateur!DW187*Calculateur!DY187*VLOOKUP('Données projet'!$B$14,Paramètres!$A$1:$I$89,3,0)*0.475*44/12</f>
        <v>3.7602493133514692</v>
      </c>
      <c r="EC187" s="21">
        <f>EXP(-LN(2)/2)*EC186+(1-EXP(-LN(2)/2))/(LN(2)/2)*DW187*DZ187*VLOOKUP('Données projet'!$B$14,Paramètres!$A$1:$I$89,3,0)*0.475*44/12</f>
        <v>1.2092452915577836E-9</v>
      </c>
      <c r="ED187" s="22">
        <f t="shared" si="178"/>
        <v>9.9468943864406025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69.061056130874633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-9.9475983006414026E-14</v>
      </c>
      <c r="EK187" s="17">
        <f>EJ187*VLOOKUP('Données projet'!$B$15,Paramètres!$A$1:$I$89,3,0)*VLOOKUP('Données projet'!$B$15,Paramètres!$A$1:$I$89,5,0)</f>
        <v>-1.0707594810810407E-13</v>
      </c>
      <c r="EL187" s="13" t="e">
        <f t="shared" si="179"/>
        <v>#NUM!</v>
      </c>
      <c r="EM187" s="20" t="e">
        <f t="shared" si="180"/>
        <v>#NUM!</v>
      </c>
      <c r="EN187" s="59" t="e">
        <f t="shared" si="128"/>
        <v>#NUM!</v>
      </c>
      <c r="EO187" s="59">
        <f ca="1">AVERAGE(OFFSET($EN$3,0,0,'Données projet'!$E$15+1,1))-AVERAGE(OFFSET($H$3,0,0,'Données projet'!$E$15+1,1))</f>
        <v>212.00478362779876</v>
      </c>
      <c r="EP187" s="59">
        <f t="shared" si="154"/>
        <v>133.62262474506707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>
        <f>EXP(-LN(2)/35)*EV186+(1-EXP(-LN(2)/35))/(LN(2)/35)*ER187*ES187*VLOOKUP('Données projet'!$B$15,Paramètres!$A$1:$I$89,3,0)*0.475*44/12</f>
        <v>4.4094374206271532</v>
      </c>
      <c r="EW187" s="21">
        <f>EXP(-LN(2)/25)*EW186+(1-EXP(-LN(2)/25))/(LN(2)/25)*Calculateur!ER187*Calculateur!ET187*VLOOKUP('Données projet'!$B$15,Paramètres!$A$1:$I$89,3,0)*0.475*44/12</f>
        <v>3.4713795700012064</v>
      </c>
      <c r="EX187" s="21">
        <f>EXP(-LN(2)/2)*EX186+(1-EXP(-LN(2)/2))/(LN(2)/2)*ER187*EU187*VLOOKUP('Données projet'!$B$15,Paramètres!$A$1:$I$89,3,0)*0.475*44/12</f>
        <v>7.3193020298862799E-9</v>
      </c>
      <c r="EY187" s="22">
        <f t="shared" si="181"/>
        <v>7.8808169979476608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69.061056130874633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-9.9475983006414026E-14</v>
      </c>
      <c r="FF187" s="17">
        <f>FE187*VLOOKUP('Données projet'!$B$16,Paramètres!$A$1:$I$89,3,0)*VLOOKUP('Données projet'!$B$16,Paramètres!$A$1:$I$89,5,0)</f>
        <v>-9.6213170763803652E-14</v>
      </c>
      <c r="FG187" s="13" t="e">
        <f t="shared" si="182"/>
        <v>#NUM!</v>
      </c>
      <c r="FH187" s="20" t="e">
        <f t="shared" si="183"/>
        <v>#NUM!</v>
      </c>
      <c r="FI187" s="59" t="e">
        <f t="shared" si="131"/>
        <v>#NUM!</v>
      </c>
      <c r="FJ187" s="59">
        <f ca="1">AVERAGE(OFFSET($FI$3,0,0,'Données projet'!$E$16+1,1))-AVERAGE(OFFSET($H$3,0,0,'Données projet'!$E$16+1,1))</f>
        <v>196.65742339093146</v>
      </c>
      <c r="FK187" s="59">
        <f t="shared" si="156"/>
        <v>125.41980634506001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>
        <f>EXP(-LN(2)/35)*FQ186+(1-EXP(-LN(2)/35))/(LN(2)/35)*FM187*FN187*VLOOKUP('Données projet'!$B$16,Paramètres!$A$1:$I$89,3,0)*0.475*44/12</f>
        <v>3.9621031895490368</v>
      </c>
      <c r="FR187" s="21">
        <f>EXP(-LN(2)/25)*FR186+(1-EXP(-LN(2)/25))/(LN(2)/25)*Calculateur!FM187*Calculateur!FO187*VLOOKUP('Données projet'!$B$16,Paramètres!$A$1:$I$89,3,0)*0.475*44/12</f>
        <v>3.1192106281170289</v>
      </c>
      <c r="FS187" s="21">
        <f>EXP(-LN(2)/2)*FS186+(1-EXP(-LN(2)/2))/(LN(2)/2)*FM187*FP187*VLOOKUP('Données projet'!$B$16,Paramètres!$A$1:$I$89,3,0)*0.475*44/12</f>
        <v>6.5767641427963413E-9</v>
      </c>
      <c r="FT187" s="22">
        <f t="shared" si="184"/>
        <v>7.0813138242428302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69.061056130874633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69.061056130874633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>
      <c r="A188" s="10">
        <f t="shared" si="161"/>
        <v>185</v>
      </c>
      <c r="B188" s="73">
        <f>'Scénario référence'!$B$16*5+'Scénario référence'!$B$17*0+'Scénario référence'!$B$18*5</f>
        <v>4.6999999999999993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9.8701200000000266</v>
      </c>
      <c r="D188" s="11">
        <f t="shared" si="140"/>
        <v>3.4844590622429115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22.384612056898483</v>
      </c>
      <c r="H188" s="67">
        <f t="shared" si="110"/>
        <v>210.99255853340645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69.077344707839956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-2.2737367544323206E-13</v>
      </c>
      <c r="O188" s="13">
        <f>N188*VLOOKUP('Données projet'!$B$9,Paramètres!$A$1:$I$89,3,0)*VLOOKUP('Données projet'!$B$9,Paramètres!$A$1:$I$89,5,0)</f>
        <v>-1.3596945791505279E-13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366.93249569585623</v>
      </c>
      <c r="T188" s="59">
        <f t="shared" si="142"/>
        <v>272.47262353368501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19.158433792206726</v>
      </c>
      <c r="AA188" s="21">
        <f>EXP(-LN(2)/25)*AA187+(1-EXP(-LN(2)/25))/(LN(2)/25)*Calculateur!V188*Calculateur!X188*VLOOKUP('Données projet'!$B$9,Paramètres!$A$1:$I$89,3,0)*0.475*44/12</f>
        <v>2.8153808043469968</v>
      </c>
      <c r="AB188" s="21">
        <f>EXP(-LN(2)/2)*AB187+(1-EXP(-LN(2)/2))/(LN(2)/2)*V188*Y188*VLOOKUP('Données projet'!$B$9,Paramètres!$A$1:$I$89,3,0)*0.475*44/12</f>
        <v>1.1103166756561206E-14</v>
      </c>
      <c r="AC188" s="22">
        <f t="shared" si="163"/>
        <v>21.973814596553733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69.077344707839956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1.1368683772161603E-13</v>
      </c>
      <c r="AJ188" s="13">
        <f>AI188*VLOOKUP('Données projet'!$B$10,Paramètres!$A$1:$I$89,3,0)*VLOOKUP('Données projet'!$B$10,Paramètres!$A$1:$I$89,5,0)</f>
        <v>5.3205440053716299E-14</v>
      </c>
      <c r="AK188" s="13">
        <f t="shared" si="164"/>
        <v>8.602146238565607E-13</v>
      </c>
      <c r="AL188" s="20">
        <f t="shared" si="165"/>
        <v>1.590873277977066E-12</v>
      </c>
      <c r="AM188" s="59">
        <f t="shared" si="113"/>
        <v>289.95026392874809</v>
      </c>
      <c r="AN188" s="59">
        <f ca="1">AVERAGE(OFFSET($AM$3,0,0,'Données projet'!$E$10+1,1))-AVERAGE(OFFSET($H$3,0,0,'Données projet'!$E$10+1,1))</f>
        <v>382.89338473200229</v>
      </c>
      <c r="AO188" s="59">
        <f t="shared" si="144"/>
        <v>360.46248248971744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37.787042366367317</v>
      </c>
      <c r="AV188" s="21">
        <f>EXP(-LN(2)/25)*AV187+(1-EXP(-LN(2)/25))/(LN(2)/25)*Calculateur!AQ188*Calculateur!AS188*VLOOKUP('Données projet'!$B$10,Paramètres!$A$1:$I$89,3,0)*0.475*44/12</f>
        <v>5.9258456392485677</v>
      </c>
      <c r="AW188" s="21">
        <f>EXP(-LN(2)/2)*AW187+(1-EXP(-LN(2)/2))/(LN(2)/2)*AQ188*AT188*VLOOKUP('Données projet'!$B$10,Paramètres!$A$1:$I$89,3,0)*0.475*44/12</f>
        <v>3.5677727314066597E-11</v>
      </c>
      <c r="AX188" s="21">
        <f t="shared" si="166"/>
        <v>43.712888005651557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69.077344707839956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>
        <f>BD188*VLOOKUP('Données projet'!$B$11,Paramètres!$A$1:$I$89,3,0)*VLOOKUP('Données projet'!$B$11,Paramètres!$A$1:$I$89,5,0)</f>
        <v>0</v>
      </c>
      <c r="BF188" s="13" t="e">
        <f t="shared" si="167"/>
        <v>#NUM!</v>
      </c>
      <c r="BG188" s="20" t="e">
        <f t="shared" si="168"/>
        <v>#NUM!</v>
      </c>
      <c r="BH188" s="59" t="e">
        <f t="shared" si="116"/>
        <v>#NUM!</v>
      </c>
      <c r="BI188" s="59">
        <f ca="1">AVERAGE(OFFSET($BH$3,0,0,'Données projet'!$E$11+1,1))-AVERAGE(OFFSET($H$3,0,0,'Données projet'!$E$11+1,1))</f>
        <v>225.75484198243581</v>
      </c>
      <c r="BJ188" s="59">
        <f t="shared" si="146"/>
        <v>199.49566488421061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1.3772747023092715</v>
      </c>
      <c r="BQ188" s="21">
        <f>EXP(-LN(2)/25)*BQ187+(1-EXP(-LN(2)/25))/(LN(2)/25)*Calculateur!BL188*Calculateur!BN188*VLOOKUP('Données projet'!$B$11,Paramètres!$A$1:$I$89,3,0)*0.475*44/12</f>
        <v>3.8321995329868859</v>
      </c>
      <c r="BR188" s="21">
        <f>EXP(-LN(2)/2)*BR187+(1-EXP(-LN(2)/2))/(LN(2)/2)*BL188*BO188*VLOOKUP('Données projet'!$B$11,Paramètres!$A$1:$I$89,3,0)*0.475*44/12</f>
        <v>0</v>
      </c>
      <c r="BS188" s="22">
        <f t="shared" si="169"/>
        <v>5.2094742352961578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69.077344707839956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1.1368683772161603E-13</v>
      </c>
      <c r="BZ188" s="13">
        <f>BY188*VLOOKUP('Données projet'!$B$12,Paramètres!$A$1:$I$89,3,0)*VLOOKUP('Données projet'!$B$12,Paramètres!$A$1:$I$89,5,0)</f>
        <v>1.0818439477588981E-13</v>
      </c>
      <c r="CA188" s="13">
        <f t="shared" si="170"/>
        <v>1.6104228458716316E-12</v>
      </c>
      <c r="CB188" s="20">
        <f t="shared" si="171"/>
        <v>2.9932409441277661E-12</v>
      </c>
      <c r="CC188" s="59">
        <f t="shared" si="119"/>
        <v>289.95026392874951</v>
      </c>
      <c r="CD188" s="59">
        <f ca="1">AVERAGE(OFFSET($CC$3,0,0,'Données projet'!$E$12+1,1))-AVERAGE(OFFSET($H$3,0,0,'Données projet'!$E$12+1,1))</f>
        <v>413.9352601863377</v>
      </c>
      <c r="CE188" s="59">
        <f t="shared" si="148"/>
        <v>255.13997349799286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12.694844034752272</v>
      </c>
      <c r="CL188" s="21">
        <f>EXP(-LN(2)/25)*CL187+(1-EXP(-LN(2)/25))/(LN(2)/25)*Calculateur!CG188*Calculateur!CI188*VLOOKUP('Données projet'!$B$12,Paramètres!$A$1:$I$89,3,0)*0.475*44/12</f>
        <v>7.6241248576372609</v>
      </c>
      <c r="CM188" s="21">
        <f>EXP(-LN(2)/2)*CM187+(1-EXP(-LN(2)/2))/(LN(2)/2)*CG188*CJ188*VLOOKUP('Données projet'!$B$12,Paramètres!$A$1:$I$89,3,0)*0.475*44/12</f>
        <v>1.0676727177788764E-8</v>
      </c>
      <c r="CN188" s="22">
        <f t="shared" si="172"/>
        <v>20.318968903066263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69.077344707839956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2.8421709430404007E-14</v>
      </c>
      <c r="CU188" s="17">
        <f>CT188*VLOOKUP('Données projet'!$B$13,Paramètres!$A$1:$I$89,3,0)*VLOOKUP('Données projet'!$B$13,Paramètres!$A$1:$I$89,5,0)</f>
        <v>2.4829205358400945E-14</v>
      </c>
      <c r="CV188" s="13">
        <f t="shared" si="173"/>
        <v>4.3867331143352915E-13</v>
      </c>
      <c r="CW188" s="20">
        <f t="shared" si="174"/>
        <v>8.0726688341261168E-13</v>
      </c>
      <c r="CX188" s="59">
        <f t="shared" si="122"/>
        <v>289.95026392874729</v>
      </c>
      <c r="CY188" s="59">
        <f ca="1">AVERAGE(OFFSET($CX$3,0,0,'Données projet'!$E$13+1,1))-AVERAGE(OFFSET($H$3,0,0,'Données projet'!$E$13+1,1))</f>
        <v>280.59827778697775</v>
      </c>
      <c r="CZ188" s="59">
        <f t="shared" si="150"/>
        <v>270.86588231964726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>
        <f>EXP(-LN(2)/35)*DF187+(1-EXP(-LN(2)/35))/(LN(2)/35)*DB188*DC188*VLOOKUP('Données projet'!$B$13,Paramètres!$A$1:$I$89,3,0)*0.475*44/12</f>
        <v>4.1232751399258882</v>
      </c>
      <c r="DG188" s="21">
        <f>EXP(-LN(2)/25)*DG187+(1-EXP(-LN(2)/25))/(LN(2)/25)*Calculateur!DB188*Calculateur!DD188*VLOOKUP('Données projet'!$B$13,Paramètres!$A$1:$I$89,3,0)*0.475*44/12</f>
        <v>1.985724262942957</v>
      </c>
      <c r="DH188" s="21">
        <f>EXP(-LN(2)/2)*DH187+(1-EXP(-LN(2)/2))/(LN(2)/2)*DB188*DE188*VLOOKUP('Données projet'!$B$13,Paramètres!$A$1:$I$89,3,0)*0.475*44/12</f>
        <v>7.1355115293962504E-15</v>
      </c>
      <c r="DI188" s="22">
        <f t="shared" si="175"/>
        <v>6.1089994028688519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69.077344707839956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>
        <f>DO188*VLOOKUP('Données projet'!$B$14,Paramètres!$A$1:$I$89,3,0)*VLOOKUP('Données projet'!$B$14,Paramètres!$A$1:$I$89,5,0)</f>
        <v>0</v>
      </c>
      <c r="DQ188" s="13" t="e">
        <f t="shared" si="176"/>
        <v>#NUM!</v>
      </c>
      <c r="DR188" s="20" t="e">
        <f t="shared" si="177"/>
        <v>#NUM!</v>
      </c>
      <c r="DS188" s="59" t="e">
        <f t="shared" si="125"/>
        <v>#NUM!</v>
      </c>
      <c r="DT188" s="59">
        <f ca="1">AVERAGE(OFFSET($DS$3,0,0,'Données projet'!$E$14+1,1))-AVERAGE(OFFSET($H$3,0,0,'Données projet'!$E$14+1,1))</f>
        <v>211.42385430331873</v>
      </c>
      <c r="DU188" s="59">
        <f t="shared" si="152"/>
        <v>146.84623106782686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>
        <f>EXP(-LN(2)/35)*EA187+(1-EXP(-LN(2)/35))/(LN(2)/35)*DW188*DX188*VLOOKUP('Données projet'!$B$14,Paramètres!$A$1:$I$89,3,0)*0.475*44/12</f>
        <v>6.0653287355012164</v>
      </c>
      <c r="EB188" s="21">
        <f>EXP(-LN(2)/25)*EB187+(1-EXP(-LN(2)/25))/(LN(2)/25)*Calculateur!DW188*Calculateur!DY188*VLOOKUP('Données projet'!$B$14,Paramètres!$A$1:$I$89,3,0)*0.475*44/12</f>
        <v>3.6574250981349561</v>
      </c>
      <c r="EC188" s="21">
        <f>EXP(-LN(2)/2)*EC187+(1-EXP(-LN(2)/2))/(LN(2)/2)*DW188*DZ188*VLOOKUP('Données projet'!$B$14,Paramètres!$A$1:$I$89,3,0)*0.475*44/12</f>
        <v>8.5506554577841256E-10</v>
      </c>
      <c r="ED188" s="22">
        <f t="shared" si="178"/>
        <v>9.7227538344912379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69.077344707839956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-9.9475983006414026E-14</v>
      </c>
      <c r="EK188" s="17">
        <f>EJ188*VLOOKUP('Données projet'!$B$15,Paramètres!$A$1:$I$89,3,0)*VLOOKUP('Données projet'!$B$15,Paramètres!$A$1:$I$89,5,0)</f>
        <v>-1.0707594810810407E-13</v>
      </c>
      <c r="EL188" s="13" t="e">
        <f t="shared" si="179"/>
        <v>#NUM!</v>
      </c>
      <c r="EM188" s="20" t="e">
        <f t="shared" si="180"/>
        <v>#NUM!</v>
      </c>
      <c r="EN188" s="59" t="e">
        <f t="shared" si="128"/>
        <v>#NUM!</v>
      </c>
      <c r="EO188" s="59">
        <f ca="1">AVERAGE(OFFSET($EN$3,0,0,'Données projet'!$E$15+1,1))-AVERAGE(OFFSET($H$3,0,0,'Données projet'!$E$15+1,1))</f>
        <v>212.00478362779876</v>
      </c>
      <c r="EP188" s="59">
        <f t="shared" si="154"/>
        <v>133.62262474506707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>
        <f>EXP(-LN(2)/35)*EV187+(1-EXP(-LN(2)/35))/(LN(2)/35)*ER188*ES188*VLOOKUP('Données projet'!$B$15,Paramètres!$A$1:$I$89,3,0)*0.475*44/12</f>
        <v>4.3229710422999164</v>
      </c>
      <c r="EW188" s="21">
        <f>EXP(-LN(2)/25)*EW187+(1-EXP(-LN(2)/25))/(LN(2)/25)*Calculateur!ER188*Calculateur!ET188*VLOOKUP('Données projet'!$B$15,Paramètres!$A$1:$I$89,3,0)*0.475*44/12</f>
        <v>3.376454513107606</v>
      </c>
      <c r="EX188" s="21">
        <f>EXP(-LN(2)/2)*EX187+(1-EXP(-LN(2)/2))/(LN(2)/2)*ER188*EU188*VLOOKUP('Données projet'!$B$15,Paramètres!$A$1:$I$89,3,0)*0.475*44/12</f>
        <v>5.1755280988850511E-9</v>
      </c>
      <c r="EY188" s="22">
        <f t="shared" si="181"/>
        <v>7.6994255605830508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69.077344707839956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-9.9475983006414026E-14</v>
      </c>
      <c r="FF188" s="17">
        <f>FE188*VLOOKUP('Données projet'!$B$16,Paramètres!$A$1:$I$89,3,0)*VLOOKUP('Données projet'!$B$16,Paramètres!$A$1:$I$89,5,0)</f>
        <v>-9.6213170763803652E-14</v>
      </c>
      <c r="FG188" s="13" t="e">
        <f t="shared" si="182"/>
        <v>#NUM!</v>
      </c>
      <c r="FH188" s="20" t="e">
        <f t="shared" si="183"/>
        <v>#NUM!</v>
      </c>
      <c r="FI188" s="59" t="e">
        <f t="shared" si="131"/>
        <v>#NUM!</v>
      </c>
      <c r="FJ188" s="59">
        <f ca="1">AVERAGE(OFFSET($FI$3,0,0,'Données projet'!$E$16+1,1))-AVERAGE(OFFSET($H$3,0,0,'Données projet'!$E$16+1,1))</f>
        <v>196.65742339093146</v>
      </c>
      <c r="FK188" s="59">
        <f t="shared" si="156"/>
        <v>125.41980634506001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>
        <f>EXP(-LN(2)/35)*FQ187+(1-EXP(-LN(2)/35))/(LN(2)/35)*FM188*FN188*VLOOKUP('Données projet'!$B$16,Paramètres!$A$1:$I$89,3,0)*0.475*44/12</f>
        <v>3.8844087626463022</v>
      </c>
      <c r="FR188" s="21">
        <f>EXP(-LN(2)/25)*FR187+(1-EXP(-LN(2)/25))/(LN(2)/25)*Calculateur!FM188*Calculateur!FO188*VLOOKUP('Données projet'!$B$16,Paramètres!$A$1:$I$89,3,0)*0.475*44/12</f>
        <v>3.0339156494590109</v>
      </c>
      <c r="FS188" s="21">
        <f>EXP(-LN(2)/2)*FS187+(1-EXP(-LN(2)/2))/(LN(2)/2)*FM188*FP188*VLOOKUP('Données projet'!$B$16,Paramètres!$A$1:$I$89,3,0)*0.475*44/12</f>
        <v>4.6504745236358242E-9</v>
      </c>
      <c r="FT188" s="22">
        <f t="shared" si="184"/>
        <v>6.9183244167557882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69.077344707839956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69.077344707839956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>
      <c r="A189" s="10">
        <f t="shared" si="161"/>
        <v>186</v>
      </c>
      <c r="B189" s="73">
        <f>'Scénario référence'!$B$16*5+'Scénario référence'!$B$17*0+'Scénario référence'!$B$18*5</f>
        <v>4.6999999999999993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9.9234720000000269</v>
      </c>
      <c r="D189" s="11">
        <f t="shared" si="140"/>
        <v>3.5010963669724524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22.417028155931114</v>
      </c>
      <c r="H189" s="67">
        <f t="shared" si="110"/>
        <v>211.11445657247708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69.093350714410718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-2.2737367544323206E-13</v>
      </c>
      <c r="O189" s="13">
        <f>N189*VLOOKUP('Données projet'!$B$9,Paramètres!$A$1:$I$89,3,0)*VLOOKUP('Données projet'!$B$9,Paramètres!$A$1:$I$89,5,0)</f>
        <v>-1.3596945791505279E-13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366.93249569585623</v>
      </c>
      <c r="T189" s="59">
        <f t="shared" si="142"/>
        <v>272.47262353368501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18.78274859103232</v>
      </c>
      <c r="AA189" s="21">
        <f>EXP(-LN(2)/25)*AA188+(1-EXP(-LN(2)/25))/(LN(2)/25)*Calculateur!V189*Calculateur!X189*VLOOKUP('Données projet'!$B$9,Paramètres!$A$1:$I$89,3,0)*0.475*44/12</f>
        <v>2.7383940681976862</v>
      </c>
      <c r="AB189" s="21">
        <f>EXP(-LN(2)/2)*AB188+(1-EXP(-LN(2)/2))/(LN(2)/2)*V189*Y189*VLOOKUP('Données projet'!$B$9,Paramètres!$A$1:$I$89,3,0)*0.475*44/12</f>
        <v>7.8511245062094733E-15</v>
      </c>
      <c r="AC189" s="22">
        <f t="shared" si="163"/>
        <v>21.521142659230012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69.093350714410718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1.1368683772161603E-13</v>
      </c>
      <c r="AJ189" s="13">
        <f>AI189*VLOOKUP('Données projet'!$B$10,Paramètres!$A$1:$I$89,3,0)*VLOOKUP('Données projet'!$B$10,Paramètres!$A$1:$I$89,5,0)</f>
        <v>5.3205440053716299E-14</v>
      </c>
      <c r="AK189" s="13">
        <f t="shared" si="164"/>
        <v>8.602146238565607E-13</v>
      </c>
      <c r="AL189" s="20">
        <f t="shared" si="165"/>
        <v>1.590873277977066E-12</v>
      </c>
      <c r="AM189" s="59">
        <f t="shared" si="113"/>
        <v>290.00895261950757</v>
      </c>
      <c r="AN189" s="59">
        <f ca="1">AVERAGE(OFFSET($AM$3,0,0,'Données projet'!$E$10+1,1))-AVERAGE(OFFSET($H$3,0,0,'Données projet'!$E$10+1,1))</f>
        <v>382.89338473200229</v>
      </c>
      <c r="AO189" s="59">
        <f t="shared" si="144"/>
        <v>360.46248248971744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37.046061513382917</v>
      </c>
      <c r="AV189" s="21">
        <f>EXP(-LN(2)/25)*AV188+(1-EXP(-LN(2)/25))/(LN(2)/25)*Calculateur!AQ189*Calculateur!AS189*VLOOKUP('Données projet'!$B$10,Paramètres!$A$1:$I$89,3,0)*0.475*44/12</f>
        <v>5.763803078616637</v>
      </c>
      <c r="AW189" s="21">
        <f>EXP(-LN(2)/2)*AW188+(1-EXP(-LN(2)/2))/(LN(2)/2)*AQ189*AT189*VLOOKUP('Données projet'!$B$10,Paramètres!$A$1:$I$89,3,0)*0.475*44/12</f>
        <v>2.5227962921100999E-11</v>
      </c>
      <c r="AX189" s="21">
        <f t="shared" si="166"/>
        <v>42.809864592024788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69.093350714410718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>
        <f>BD189*VLOOKUP('Données projet'!$B$11,Paramètres!$A$1:$I$89,3,0)*VLOOKUP('Données projet'!$B$11,Paramètres!$A$1:$I$89,5,0)</f>
        <v>0</v>
      </c>
      <c r="BF189" s="13" t="e">
        <f t="shared" si="167"/>
        <v>#NUM!</v>
      </c>
      <c r="BG189" s="20" t="e">
        <f t="shared" si="168"/>
        <v>#NUM!</v>
      </c>
      <c r="BH189" s="59" t="e">
        <f t="shared" si="116"/>
        <v>#NUM!</v>
      </c>
      <c r="BI189" s="59">
        <f ca="1">AVERAGE(OFFSET($BH$3,0,0,'Données projet'!$E$11+1,1))-AVERAGE(OFFSET($H$3,0,0,'Données projet'!$E$11+1,1))</f>
        <v>225.75484198243581</v>
      </c>
      <c r="BJ189" s="59">
        <f t="shared" si="146"/>
        <v>199.49566488421061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1.3502671854516066</v>
      </c>
      <c r="BQ189" s="21">
        <f>EXP(-LN(2)/25)*BQ188+(1-EXP(-LN(2)/25))/(LN(2)/25)*Calculateur!BL189*Calculateur!BN189*VLOOKUP('Données projet'!$B$11,Paramètres!$A$1:$I$89,3,0)*0.475*44/12</f>
        <v>3.7274078352307445</v>
      </c>
      <c r="BR189" s="21">
        <f>EXP(-LN(2)/2)*BR188+(1-EXP(-LN(2)/2))/(LN(2)/2)*BL189*BO189*VLOOKUP('Données projet'!$B$11,Paramètres!$A$1:$I$89,3,0)*0.475*44/12</f>
        <v>0</v>
      </c>
      <c r="BS189" s="22">
        <f t="shared" si="169"/>
        <v>5.0776750206823511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69.093350714410718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1.1368683772161603E-13</v>
      </c>
      <c r="BZ189" s="13">
        <f>BY189*VLOOKUP('Données projet'!$B$12,Paramètres!$A$1:$I$89,3,0)*VLOOKUP('Données projet'!$B$12,Paramètres!$A$1:$I$89,5,0)</f>
        <v>1.0818439477588981E-13</v>
      </c>
      <c r="CA189" s="13">
        <f t="shared" si="170"/>
        <v>1.6104228458716316E-12</v>
      </c>
      <c r="CB189" s="20">
        <f t="shared" si="171"/>
        <v>2.9932409441277661E-12</v>
      </c>
      <c r="CC189" s="59">
        <f t="shared" si="119"/>
        <v>290.00895261950899</v>
      </c>
      <c r="CD189" s="59">
        <f ca="1">AVERAGE(OFFSET($CC$3,0,0,'Données projet'!$E$12+1,1))-AVERAGE(OFFSET($H$3,0,0,'Données projet'!$E$12+1,1))</f>
        <v>413.9352601863377</v>
      </c>
      <c r="CE189" s="59">
        <f t="shared" si="148"/>
        <v>255.13997349799286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12.445905886321075</v>
      </c>
      <c r="CL189" s="21">
        <f>EXP(-LN(2)/25)*CL188+(1-EXP(-LN(2)/25))/(LN(2)/25)*Calculateur!CG189*Calculateur!CI189*VLOOKUP('Données projet'!$B$12,Paramètres!$A$1:$I$89,3,0)*0.475*44/12</f>
        <v>7.4156427624698686</v>
      </c>
      <c r="CM189" s="21">
        <f>EXP(-LN(2)/2)*CM188+(1-EXP(-LN(2)/2))/(LN(2)/2)*CG189*CJ189*VLOOKUP('Données projet'!$B$12,Paramètres!$A$1:$I$89,3,0)*0.475*44/12</f>
        <v>7.5495861882931446E-9</v>
      </c>
      <c r="CN189" s="22">
        <f t="shared" si="172"/>
        <v>19.861548656340531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69.093350714410718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2.8421709430404007E-14</v>
      </c>
      <c r="CU189" s="17">
        <f>CT189*VLOOKUP('Données projet'!$B$13,Paramètres!$A$1:$I$89,3,0)*VLOOKUP('Données projet'!$B$13,Paramètres!$A$1:$I$89,5,0)</f>
        <v>2.4829205358400945E-14</v>
      </c>
      <c r="CV189" s="13">
        <f t="shared" si="173"/>
        <v>4.3867331143352915E-13</v>
      </c>
      <c r="CW189" s="20">
        <f t="shared" si="174"/>
        <v>8.0726688341261168E-13</v>
      </c>
      <c r="CX189" s="59">
        <f t="shared" si="122"/>
        <v>290.00895261950677</v>
      </c>
      <c r="CY189" s="59">
        <f ca="1">AVERAGE(OFFSET($CX$3,0,0,'Données projet'!$E$13+1,1))-AVERAGE(OFFSET($H$3,0,0,'Données projet'!$E$13+1,1))</f>
        <v>280.59827778697775</v>
      </c>
      <c r="CZ189" s="59">
        <f t="shared" si="150"/>
        <v>270.86588231964726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>
        <f>EXP(-LN(2)/35)*DF188+(1-EXP(-LN(2)/35))/(LN(2)/35)*DB189*DC189*VLOOKUP('Données projet'!$B$13,Paramètres!$A$1:$I$89,3,0)*0.475*44/12</f>
        <v>4.0424202293814462</v>
      </c>
      <c r="DG189" s="21">
        <f>EXP(-LN(2)/25)*DG188+(1-EXP(-LN(2)/25))/(LN(2)/25)*Calculateur!DB189*Calculateur!DD189*VLOOKUP('Données projet'!$B$13,Paramètres!$A$1:$I$89,3,0)*0.475*44/12</f>
        <v>1.9314245285480813</v>
      </c>
      <c r="DH189" s="21">
        <f>EXP(-LN(2)/2)*DH188+(1-EXP(-LN(2)/2))/(LN(2)/2)*DB189*DE189*VLOOKUP('Données projet'!$B$13,Paramètres!$A$1:$I$89,3,0)*0.475*44/12</f>
        <v>5.0455685896708816E-15</v>
      </c>
      <c r="DI189" s="22">
        <f t="shared" si="175"/>
        <v>5.9738447579295331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69.093350714410718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>
        <f>DO189*VLOOKUP('Données projet'!$B$14,Paramètres!$A$1:$I$89,3,0)*VLOOKUP('Données projet'!$B$14,Paramètres!$A$1:$I$89,5,0)</f>
        <v>0</v>
      </c>
      <c r="DQ189" s="13" t="e">
        <f t="shared" si="176"/>
        <v>#NUM!</v>
      </c>
      <c r="DR189" s="20" t="e">
        <f t="shared" si="177"/>
        <v>#NUM!</v>
      </c>
      <c r="DS189" s="59" t="e">
        <f t="shared" si="125"/>
        <v>#NUM!</v>
      </c>
      <c r="DT189" s="59">
        <f ca="1">AVERAGE(OFFSET($DS$3,0,0,'Données projet'!$E$14+1,1))-AVERAGE(OFFSET($H$3,0,0,'Données projet'!$E$14+1,1))</f>
        <v>211.42385430331873</v>
      </c>
      <c r="DU189" s="59">
        <f t="shared" si="152"/>
        <v>146.84623106782686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>
        <f>EXP(-LN(2)/35)*EA188+(1-EXP(-LN(2)/35))/(LN(2)/35)*DW189*DX189*VLOOKUP('Données projet'!$B$14,Paramètres!$A$1:$I$89,3,0)*0.475*44/12</f>
        <v>5.9463913384832727</v>
      </c>
      <c r="EB189" s="21">
        <f>EXP(-LN(2)/25)*EB188+(1-EXP(-LN(2)/25))/(LN(2)/25)*Calculateur!DW189*Calculateur!DY189*VLOOKUP('Données projet'!$B$14,Paramètres!$A$1:$I$89,3,0)*0.475*44/12</f>
        <v>3.5574126164908288</v>
      </c>
      <c r="EC189" s="21">
        <f>EXP(-LN(2)/2)*EC188+(1-EXP(-LN(2)/2))/(LN(2)/2)*DW189*DZ189*VLOOKUP('Données projet'!$B$14,Paramètres!$A$1:$I$89,3,0)*0.475*44/12</f>
        <v>6.046226457788918E-10</v>
      </c>
      <c r="ED189" s="22">
        <f t="shared" si="178"/>
        <v>9.5038039555787233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69.093350714410718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-9.9475983006414026E-14</v>
      </c>
      <c r="EK189" s="17">
        <f>EJ189*VLOOKUP('Données projet'!$B$15,Paramètres!$A$1:$I$89,3,0)*VLOOKUP('Données projet'!$B$15,Paramètres!$A$1:$I$89,5,0)</f>
        <v>-1.0707594810810407E-13</v>
      </c>
      <c r="EL189" s="13" t="e">
        <f t="shared" si="179"/>
        <v>#NUM!</v>
      </c>
      <c r="EM189" s="20" t="e">
        <f t="shared" si="180"/>
        <v>#NUM!</v>
      </c>
      <c r="EN189" s="59" t="e">
        <f t="shared" si="128"/>
        <v>#NUM!</v>
      </c>
      <c r="EO189" s="59">
        <f ca="1">AVERAGE(OFFSET($EN$3,0,0,'Données projet'!$E$15+1,1))-AVERAGE(OFFSET($H$3,0,0,'Données projet'!$E$15+1,1))</f>
        <v>212.00478362779876</v>
      </c>
      <c r="EP189" s="59">
        <f t="shared" si="154"/>
        <v>133.62262474506707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>
        <f>EXP(-LN(2)/35)*EV188+(1-EXP(-LN(2)/35))/(LN(2)/35)*ER189*ES189*VLOOKUP('Données projet'!$B$15,Paramètres!$A$1:$I$89,3,0)*0.475*44/12</f>
        <v>4.2382002169123929</v>
      </c>
      <c r="EW189" s="21">
        <f>EXP(-LN(2)/25)*EW188+(1-EXP(-LN(2)/25))/(LN(2)/25)*Calculateur!ER189*Calculateur!ET189*VLOOKUP('Données projet'!$B$15,Paramètres!$A$1:$I$89,3,0)*0.475*44/12</f>
        <v>3.2841251868866528</v>
      </c>
      <c r="EX189" s="21">
        <f>EXP(-LN(2)/2)*EX188+(1-EXP(-LN(2)/2))/(LN(2)/2)*ER189*EU189*VLOOKUP('Données projet'!$B$15,Paramètres!$A$1:$I$89,3,0)*0.475*44/12</f>
        <v>3.6596510149431404E-9</v>
      </c>
      <c r="EY189" s="22">
        <f t="shared" si="181"/>
        <v>7.5223254074586974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69.093350714410718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-9.9475983006414026E-14</v>
      </c>
      <c r="FF189" s="17">
        <f>FE189*VLOOKUP('Données projet'!$B$16,Paramètres!$A$1:$I$89,3,0)*VLOOKUP('Données projet'!$B$16,Paramètres!$A$1:$I$89,5,0)</f>
        <v>-9.6213170763803652E-14</v>
      </c>
      <c r="FG189" s="13" t="e">
        <f t="shared" si="182"/>
        <v>#NUM!</v>
      </c>
      <c r="FH189" s="20" t="e">
        <f t="shared" si="183"/>
        <v>#NUM!</v>
      </c>
      <c r="FI189" s="59" t="e">
        <f t="shared" si="131"/>
        <v>#NUM!</v>
      </c>
      <c r="FJ189" s="59">
        <f ca="1">AVERAGE(OFFSET($FI$3,0,0,'Données projet'!$E$16+1,1))-AVERAGE(OFFSET($H$3,0,0,'Données projet'!$E$16+1,1))</f>
        <v>196.65742339093146</v>
      </c>
      <c r="FK189" s="59">
        <f t="shared" si="156"/>
        <v>125.41980634506001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>
        <f>EXP(-LN(2)/35)*FQ188+(1-EXP(-LN(2)/35))/(LN(2)/35)*FM189*FN189*VLOOKUP('Données projet'!$B$16,Paramètres!$A$1:$I$89,3,0)*0.475*44/12</f>
        <v>3.808237876066209</v>
      </c>
      <c r="FR189" s="21">
        <f>EXP(-LN(2)/25)*FR188+(1-EXP(-LN(2)/25))/(LN(2)/25)*Calculateur!FM189*Calculateur!FO189*VLOOKUP('Données projet'!$B$16,Paramètres!$A$1:$I$89,3,0)*0.475*44/12</f>
        <v>2.9509530664778643</v>
      </c>
      <c r="FS189" s="21">
        <f>EXP(-LN(2)/2)*FS188+(1-EXP(-LN(2)/2))/(LN(2)/2)*FM189*FP189*VLOOKUP('Données projet'!$B$16,Paramètres!$A$1:$I$89,3,0)*0.475*44/12</f>
        <v>3.2883820713981707E-9</v>
      </c>
      <c r="FT189" s="22">
        <f t="shared" si="184"/>
        <v>6.7591909458324553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69.093350714410718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69.093350714410718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>
      <c r="A190" s="10">
        <f t="shared" si="161"/>
        <v>187</v>
      </c>
      <c r="B190" s="73">
        <f>'Scénario référence'!$B$16*5+'Scénario référence'!$B$17*0+'Scénario référence'!$B$18*5</f>
        <v>4.6999999999999993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9.9768240000000272</v>
      </c>
      <c r="D190" s="11">
        <f t="shared" si="140"/>
        <v>3.5177232631734965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22.449439434171595</v>
      </c>
      <c r="H190" s="67">
        <f t="shared" si="110"/>
        <v>211.23633648336056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69.10907905255155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-2.2737367544323206E-13</v>
      </c>
      <c r="O190" s="13">
        <f>N190*VLOOKUP('Données projet'!$B$9,Paramètres!$A$1:$I$89,3,0)*VLOOKUP('Données projet'!$B$9,Paramètres!$A$1:$I$89,5,0)</f>
        <v>-1.3596945791505279E-13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366.93249569585623</v>
      </c>
      <c r="T190" s="59">
        <f t="shared" si="142"/>
        <v>272.47262353368501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18.414430347507597</v>
      </c>
      <c r="AA190" s="21">
        <f>EXP(-LN(2)/25)*AA189+(1-EXP(-LN(2)/25))/(LN(2)/25)*Calculateur!V190*Calculateur!X190*VLOOKUP('Données projet'!$B$9,Paramètres!$A$1:$I$89,3,0)*0.475*44/12</f>
        <v>2.6635125383969349</v>
      </c>
      <c r="AB190" s="21">
        <f>EXP(-LN(2)/2)*AB189+(1-EXP(-LN(2)/2))/(LN(2)/2)*V190*Y190*VLOOKUP('Données projet'!$B$9,Paramètres!$A$1:$I$89,3,0)*0.475*44/12</f>
        <v>5.5515833782806031E-15</v>
      </c>
      <c r="AC190" s="22">
        <f t="shared" si="163"/>
        <v>21.077942885904541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69.10907905255155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1.1368683772161603E-13</v>
      </c>
      <c r="AJ190" s="13">
        <f>AI190*VLOOKUP('Données projet'!$B$10,Paramètres!$A$1:$I$89,3,0)*VLOOKUP('Données projet'!$B$10,Paramètres!$A$1:$I$89,5,0)</f>
        <v>5.3205440053716299E-14</v>
      </c>
      <c r="AK190" s="13">
        <f t="shared" si="164"/>
        <v>8.602146238565607E-13</v>
      </c>
      <c r="AL190" s="20">
        <f t="shared" si="165"/>
        <v>1.590873277977066E-12</v>
      </c>
      <c r="AM190" s="59">
        <f t="shared" si="113"/>
        <v>290.0666231926906</v>
      </c>
      <c r="AN190" s="59">
        <f ca="1">AVERAGE(OFFSET($AM$3,0,0,'Données projet'!$E$10+1,1))-AVERAGE(OFFSET($H$3,0,0,'Données projet'!$E$10+1,1))</f>
        <v>382.89338473200229</v>
      </c>
      <c r="AO190" s="59">
        <f t="shared" si="144"/>
        <v>360.46248248971744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36.319610842971841</v>
      </c>
      <c r="AV190" s="21">
        <f>EXP(-LN(2)/25)*AV189+(1-EXP(-LN(2)/25))/(LN(2)/25)*Calculateur!AQ190*Calculateur!AS190*VLOOKUP('Données projet'!$B$10,Paramètres!$A$1:$I$89,3,0)*0.475*44/12</f>
        <v>5.6061915803266347</v>
      </c>
      <c r="AW190" s="21">
        <f>EXP(-LN(2)/2)*AW189+(1-EXP(-LN(2)/2))/(LN(2)/2)*AQ190*AT190*VLOOKUP('Données projet'!$B$10,Paramètres!$A$1:$I$89,3,0)*0.475*44/12</f>
        <v>1.7838863657033299E-11</v>
      </c>
      <c r="AX190" s="21">
        <f t="shared" si="166"/>
        <v>41.92580242331632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69.10907905255155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>
        <f>BD190*VLOOKUP('Données projet'!$B$11,Paramètres!$A$1:$I$89,3,0)*VLOOKUP('Données projet'!$B$11,Paramètres!$A$1:$I$89,5,0)</f>
        <v>0</v>
      </c>
      <c r="BF190" s="13" t="e">
        <f t="shared" si="167"/>
        <v>#NUM!</v>
      </c>
      <c r="BG190" s="20" t="e">
        <f t="shared" si="168"/>
        <v>#NUM!</v>
      </c>
      <c r="BH190" s="59" t="e">
        <f t="shared" si="116"/>
        <v>#NUM!</v>
      </c>
      <c r="BI190" s="59">
        <f ca="1">AVERAGE(OFFSET($BH$3,0,0,'Données projet'!$E$11+1,1))-AVERAGE(OFFSET($H$3,0,0,'Données projet'!$E$11+1,1))</f>
        <v>225.75484198243581</v>
      </c>
      <c r="BJ190" s="59">
        <f t="shared" si="146"/>
        <v>199.49566488421061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1.3237892695265618</v>
      </c>
      <c r="BQ190" s="21">
        <f>EXP(-LN(2)/25)*BQ189+(1-EXP(-LN(2)/25))/(LN(2)/25)*Calculateur!BL190*Calculateur!BN190*VLOOKUP('Données projet'!$B$11,Paramètres!$A$1:$I$89,3,0)*0.475*44/12</f>
        <v>3.6254816719605008</v>
      </c>
      <c r="BR190" s="21">
        <f>EXP(-LN(2)/2)*BR189+(1-EXP(-LN(2)/2))/(LN(2)/2)*BL190*BO190*VLOOKUP('Données projet'!$B$11,Paramètres!$A$1:$I$89,3,0)*0.475*44/12</f>
        <v>0</v>
      </c>
      <c r="BS190" s="22">
        <f t="shared" si="169"/>
        <v>4.9492709414870628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69.10907905255155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1.1368683772161603E-13</v>
      </c>
      <c r="BZ190" s="13">
        <f>BY190*VLOOKUP('Données projet'!$B$12,Paramètres!$A$1:$I$89,3,0)*VLOOKUP('Données projet'!$B$12,Paramètres!$A$1:$I$89,5,0)</f>
        <v>1.0818439477588981E-13</v>
      </c>
      <c r="CA190" s="13">
        <f t="shared" si="170"/>
        <v>1.6104228458716316E-12</v>
      </c>
      <c r="CB190" s="20">
        <f t="shared" si="171"/>
        <v>2.9932409441277661E-12</v>
      </c>
      <c r="CC190" s="59">
        <f t="shared" si="119"/>
        <v>290.06662319269202</v>
      </c>
      <c r="CD190" s="59">
        <f ca="1">AVERAGE(OFFSET($CC$3,0,0,'Données projet'!$E$12+1,1))-AVERAGE(OFFSET($H$3,0,0,'Données projet'!$E$12+1,1))</f>
        <v>413.9352601863377</v>
      </c>
      <c r="CE190" s="59">
        <f t="shared" si="148"/>
        <v>255.13997349799286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12.201849263143336</v>
      </c>
      <c r="CL190" s="21">
        <f>EXP(-LN(2)/25)*CL189+(1-EXP(-LN(2)/25))/(LN(2)/25)*Calculateur!CG190*Calculateur!CI190*VLOOKUP('Données projet'!$B$12,Paramètres!$A$1:$I$89,3,0)*0.475*44/12</f>
        <v>7.2128616211584262</v>
      </c>
      <c r="CM190" s="21">
        <f>EXP(-LN(2)/2)*CM189+(1-EXP(-LN(2)/2))/(LN(2)/2)*CG190*CJ190*VLOOKUP('Données projet'!$B$12,Paramètres!$A$1:$I$89,3,0)*0.475*44/12</f>
        <v>5.3383635888943819E-9</v>
      </c>
      <c r="CN190" s="22">
        <f t="shared" si="172"/>
        <v>19.414710889640126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69.10907905255155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2.8421709430404007E-14</v>
      </c>
      <c r="CU190" s="17">
        <f>CT190*VLOOKUP('Données projet'!$B$13,Paramètres!$A$1:$I$89,3,0)*VLOOKUP('Données projet'!$B$13,Paramètres!$A$1:$I$89,5,0)</f>
        <v>2.4829205358400945E-14</v>
      </c>
      <c r="CV190" s="13">
        <f t="shared" si="173"/>
        <v>4.3867331143352915E-13</v>
      </c>
      <c r="CW190" s="20">
        <f t="shared" si="174"/>
        <v>8.0726688341261168E-13</v>
      </c>
      <c r="CX190" s="59">
        <f t="shared" si="122"/>
        <v>290.0666231926898</v>
      </c>
      <c r="CY190" s="59">
        <f ca="1">AVERAGE(OFFSET($CX$3,0,0,'Données projet'!$E$13+1,1))-AVERAGE(OFFSET($H$3,0,0,'Données projet'!$E$13+1,1))</f>
        <v>280.59827778697775</v>
      </c>
      <c r="CZ190" s="59">
        <f t="shared" si="150"/>
        <v>270.86588231964726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>
        <f>EXP(-LN(2)/35)*DF189+(1-EXP(-LN(2)/35))/(LN(2)/35)*DB190*DC190*VLOOKUP('Données projet'!$B$13,Paramètres!$A$1:$I$89,3,0)*0.475*44/12</f>
        <v>3.963150834316155</v>
      </c>
      <c r="DG190" s="21">
        <f>EXP(-LN(2)/25)*DG189+(1-EXP(-LN(2)/25))/(LN(2)/25)*Calculateur!DB190*Calculateur!DD190*VLOOKUP('Données projet'!$B$13,Paramètres!$A$1:$I$89,3,0)*0.475*44/12</f>
        <v>1.8786096232457323</v>
      </c>
      <c r="DH190" s="21">
        <f>EXP(-LN(2)/2)*DH189+(1-EXP(-LN(2)/2))/(LN(2)/2)*DB190*DE190*VLOOKUP('Données projet'!$B$13,Paramètres!$A$1:$I$89,3,0)*0.475*44/12</f>
        <v>3.5677557646981252E-15</v>
      </c>
      <c r="DI190" s="22">
        <f t="shared" si="175"/>
        <v>5.8417604575618913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69.10907905255155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>
        <f>DO190*VLOOKUP('Données projet'!$B$14,Paramètres!$A$1:$I$89,3,0)*VLOOKUP('Données projet'!$B$14,Paramètres!$A$1:$I$89,5,0)</f>
        <v>0</v>
      </c>
      <c r="DQ190" s="13" t="e">
        <f t="shared" si="176"/>
        <v>#NUM!</v>
      </c>
      <c r="DR190" s="20" t="e">
        <f t="shared" si="177"/>
        <v>#NUM!</v>
      </c>
      <c r="DS190" s="59" t="e">
        <f t="shared" si="125"/>
        <v>#NUM!</v>
      </c>
      <c r="DT190" s="59">
        <f ca="1">AVERAGE(OFFSET($DS$3,0,0,'Données projet'!$E$14+1,1))-AVERAGE(OFFSET($H$3,0,0,'Données projet'!$E$14+1,1))</f>
        <v>211.42385430331873</v>
      </c>
      <c r="DU190" s="59">
        <f t="shared" si="152"/>
        <v>146.84623106782686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>
        <f>EXP(-LN(2)/35)*EA189+(1-EXP(-LN(2)/35))/(LN(2)/35)*DW190*DX190*VLOOKUP('Données projet'!$B$14,Paramètres!$A$1:$I$89,3,0)*0.475*44/12</f>
        <v>5.8297862312762012</v>
      </c>
      <c r="EB190" s="21">
        <f>EXP(-LN(2)/25)*EB189+(1-EXP(-LN(2)/25))/(LN(2)/25)*Calculateur!DW190*Calculateur!DY190*VLOOKUP('Données projet'!$B$14,Paramètres!$A$1:$I$89,3,0)*0.475*44/12</f>
        <v>3.4601349814166884</v>
      </c>
      <c r="EC190" s="21">
        <f>EXP(-LN(2)/2)*EC189+(1-EXP(-LN(2)/2))/(LN(2)/2)*DW190*DZ190*VLOOKUP('Données projet'!$B$14,Paramètres!$A$1:$I$89,3,0)*0.475*44/12</f>
        <v>4.2753277288920628E-10</v>
      </c>
      <c r="ED190" s="22">
        <f t="shared" si="178"/>
        <v>9.2899212131204223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69.10907905255155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-9.9475983006414026E-14</v>
      </c>
      <c r="EK190" s="17">
        <f>EJ190*VLOOKUP('Données projet'!$B$15,Paramètres!$A$1:$I$89,3,0)*VLOOKUP('Données projet'!$B$15,Paramètres!$A$1:$I$89,5,0)</f>
        <v>-1.0707594810810407E-13</v>
      </c>
      <c r="EL190" s="13" t="e">
        <f t="shared" si="179"/>
        <v>#NUM!</v>
      </c>
      <c r="EM190" s="20" t="e">
        <f t="shared" si="180"/>
        <v>#NUM!</v>
      </c>
      <c r="EN190" s="59" t="e">
        <f t="shared" si="128"/>
        <v>#NUM!</v>
      </c>
      <c r="EO190" s="59">
        <f ca="1">AVERAGE(OFFSET($EN$3,0,0,'Données projet'!$E$15+1,1))-AVERAGE(OFFSET($H$3,0,0,'Données projet'!$E$15+1,1))</f>
        <v>212.00478362779876</v>
      </c>
      <c r="EP190" s="59">
        <f t="shared" si="154"/>
        <v>133.62262474506707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>
        <f>EXP(-LN(2)/35)*EV189+(1-EXP(-LN(2)/35))/(LN(2)/35)*ER190*ES190*VLOOKUP('Données projet'!$B$15,Paramètres!$A$1:$I$89,3,0)*0.475*44/12</f>
        <v>4.1550916957056208</v>
      </c>
      <c r="EW190" s="21">
        <f>EXP(-LN(2)/25)*EW189+(1-EXP(-LN(2)/25))/(LN(2)/25)*Calculateur!ER190*Calculateur!ET190*VLOOKUP('Données projet'!$B$15,Paramètres!$A$1:$I$89,3,0)*0.475*44/12</f>
        <v>3.1943206109465998</v>
      </c>
      <c r="EX190" s="21">
        <f>EXP(-LN(2)/2)*EX189+(1-EXP(-LN(2)/2))/(LN(2)/2)*ER190*EU190*VLOOKUP('Données projet'!$B$15,Paramètres!$A$1:$I$89,3,0)*0.475*44/12</f>
        <v>2.587764049442526E-9</v>
      </c>
      <c r="EY190" s="22">
        <f t="shared" si="181"/>
        <v>7.3494123092399848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69.10907905255155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-9.9475983006414026E-14</v>
      </c>
      <c r="FF190" s="17">
        <f>FE190*VLOOKUP('Données projet'!$B$16,Paramètres!$A$1:$I$89,3,0)*VLOOKUP('Données projet'!$B$16,Paramètres!$A$1:$I$89,5,0)</f>
        <v>-9.6213170763803652E-14</v>
      </c>
      <c r="FG190" s="13" t="e">
        <f t="shared" si="182"/>
        <v>#NUM!</v>
      </c>
      <c r="FH190" s="20" t="e">
        <f t="shared" si="183"/>
        <v>#NUM!</v>
      </c>
      <c r="FI190" s="59" t="e">
        <f t="shared" si="131"/>
        <v>#NUM!</v>
      </c>
      <c r="FJ190" s="59">
        <f ca="1">AVERAGE(OFFSET($FI$3,0,0,'Données projet'!$E$16+1,1))-AVERAGE(OFFSET($H$3,0,0,'Données projet'!$E$16+1,1))</f>
        <v>196.65742339093146</v>
      </c>
      <c r="FK190" s="59">
        <f t="shared" si="156"/>
        <v>125.41980634506001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>
        <f>EXP(-LN(2)/35)*FQ189+(1-EXP(-LN(2)/35))/(LN(2)/35)*FM190*FN190*VLOOKUP('Données projet'!$B$16,Paramètres!$A$1:$I$89,3,0)*0.475*44/12</f>
        <v>3.7335606541122979</v>
      </c>
      <c r="FR190" s="21">
        <f>EXP(-LN(2)/25)*FR189+(1-EXP(-LN(2)/25))/(LN(2)/25)*Calculateur!FM190*Calculateur!FO190*VLOOKUP('Données projet'!$B$16,Paramètres!$A$1:$I$89,3,0)*0.475*44/12</f>
        <v>2.8702590996911499</v>
      </c>
      <c r="FS190" s="21">
        <f>EXP(-LN(2)/2)*FS189+(1-EXP(-LN(2)/2))/(LN(2)/2)*FM190*FP190*VLOOKUP('Données projet'!$B$16,Paramètres!$A$1:$I$89,3,0)*0.475*44/12</f>
        <v>2.3252372618179121E-9</v>
      </c>
      <c r="FT190" s="22">
        <f t="shared" si="184"/>
        <v>6.6038197561286847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69.10907905255155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69.10907905255155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>
      <c r="A191" s="10">
        <f t="shared" si="161"/>
        <v>188</v>
      </c>
      <c r="B191" s="73">
        <f>'Scénario référence'!$B$16*5+'Scénario référence'!$B$17*0+'Scénario référence'!$B$18*5</f>
        <v>4.6999999999999993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10.030176000000028</v>
      </c>
      <c r="D191" s="11">
        <f t="shared" si="140"/>
        <v>3.5343398129667736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22.481845920391642</v>
      </c>
      <c r="H191" s="67">
        <f t="shared" si="110"/>
        <v>211.35819837425052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69.124534539188929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-2.2737367544323206E-13</v>
      </c>
      <c r="O191" s="13">
        <f>N191*VLOOKUP('Données projet'!$B$9,Paramètres!$A$1:$I$89,3,0)*VLOOKUP('Données projet'!$B$9,Paramètres!$A$1:$I$89,5,0)</f>
        <v>-1.3596945791505279E-13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366.93249569585623</v>
      </c>
      <c r="T191" s="59">
        <f t="shared" si="142"/>
        <v>272.47262353368501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18.053334600086448</v>
      </c>
      <c r="AA191" s="21">
        <f>EXP(-LN(2)/25)*AA190+(1-EXP(-LN(2)/25))/(LN(2)/25)*Calculateur!V191*Calculateur!X191*VLOOKUP('Données projet'!$B$9,Paramètres!$A$1:$I$89,3,0)*0.475*44/12</f>
        <v>2.5906786479664339</v>
      </c>
      <c r="AB191" s="21">
        <f>EXP(-LN(2)/2)*AB190+(1-EXP(-LN(2)/2))/(LN(2)/2)*V191*Y191*VLOOKUP('Données projet'!$B$9,Paramètres!$A$1:$I$89,3,0)*0.475*44/12</f>
        <v>3.9255622531047366E-15</v>
      </c>
      <c r="AC191" s="22">
        <f t="shared" si="163"/>
        <v>20.644013248052886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69.124534539188929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1.1368683772161603E-13</v>
      </c>
      <c r="AJ191" s="13">
        <f>AI191*VLOOKUP('Données projet'!$B$10,Paramètres!$A$1:$I$89,3,0)*VLOOKUP('Données projet'!$B$10,Paramètres!$A$1:$I$89,5,0)</f>
        <v>5.3205440053716299E-14</v>
      </c>
      <c r="AK191" s="13">
        <f t="shared" si="164"/>
        <v>8.602146238565607E-13</v>
      </c>
      <c r="AL191" s="20">
        <f t="shared" si="165"/>
        <v>1.590873277977066E-12</v>
      </c>
      <c r="AM191" s="59">
        <f t="shared" si="113"/>
        <v>290.12329331036102</v>
      </c>
      <c r="AN191" s="59">
        <f ca="1">AVERAGE(OFFSET($AM$3,0,0,'Données projet'!$E$10+1,1))-AVERAGE(OFFSET($H$3,0,0,'Données projet'!$E$10+1,1))</f>
        <v>382.89338473200229</v>
      </c>
      <c r="AO191" s="59">
        <f t="shared" si="144"/>
        <v>360.46248248971744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35.607405427116369</v>
      </c>
      <c r="AV191" s="21">
        <f>EXP(-LN(2)/25)*AV190+(1-EXP(-LN(2)/25))/(LN(2)/25)*Calculateur!AQ191*Calculateur!AS191*VLOOKUP('Données projet'!$B$10,Paramètres!$A$1:$I$89,3,0)*0.475*44/12</f>
        <v>5.4528899767458006</v>
      </c>
      <c r="AW191" s="21">
        <f>EXP(-LN(2)/2)*AW190+(1-EXP(-LN(2)/2))/(LN(2)/2)*AQ191*AT191*VLOOKUP('Données projet'!$B$10,Paramètres!$A$1:$I$89,3,0)*0.475*44/12</f>
        <v>1.26139814605505E-11</v>
      </c>
      <c r="AX191" s="21">
        <f t="shared" si="166"/>
        <v>41.060295403874782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69.124534539188929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>
        <f>BD191*VLOOKUP('Données projet'!$B$11,Paramètres!$A$1:$I$89,3,0)*VLOOKUP('Données projet'!$B$11,Paramètres!$A$1:$I$89,5,0)</f>
        <v>0</v>
      </c>
      <c r="BF191" s="13" t="e">
        <f t="shared" si="167"/>
        <v>#NUM!</v>
      </c>
      <c r="BG191" s="20" t="e">
        <f t="shared" si="168"/>
        <v>#NUM!</v>
      </c>
      <c r="BH191" s="59" t="e">
        <f t="shared" si="116"/>
        <v>#NUM!</v>
      </c>
      <c r="BI191" s="59">
        <f ca="1">AVERAGE(OFFSET($BH$3,0,0,'Données projet'!$E$11+1,1))-AVERAGE(OFFSET($H$3,0,0,'Données projet'!$E$11+1,1))</f>
        <v>225.75484198243581</v>
      </c>
      <c r="BJ191" s="59">
        <f t="shared" si="146"/>
        <v>199.49566488421061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1.2978305693828731</v>
      </c>
      <c r="BQ191" s="21">
        <f>EXP(-LN(2)/25)*BQ190+(1-EXP(-LN(2)/25))/(LN(2)/25)*Calculateur!BL191*Calculateur!BN191*VLOOKUP('Données projet'!$B$11,Paramètres!$A$1:$I$89,3,0)*0.475*44/12</f>
        <v>3.5263426849849457</v>
      </c>
      <c r="BR191" s="21">
        <f>EXP(-LN(2)/2)*BR190+(1-EXP(-LN(2)/2))/(LN(2)/2)*BL191*BO191*VLOOKUP('Données projet'!$B$11,Paramètres!$A$1:$I$89,3,0)*0.475*44/12</f>
        <v>0</v>
      </c>
      <c r="BS191" s="22">
        <f t="shared" si="169"/>
        <v>4.8241732543678193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69.124534539188929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1.1368683772161603E-13</v>
      </c>
      <c r="BZ191" s="13">
        <f>BY191*VLOOKUP('Données projet'!$B$12,Paramètres!$A$1:$I$89,3,0)*VLOOKUP('Données projet'!$B$12,Paramètres!$A$1:$I$89,5,0)</f>
        <v>1.0818439477588981E-13</v>
      </c>
      <c r="CA191" s="13">
        <f t="shared" si="170"/>
        <v>1.6104228458716316E-12</v>
      </c>
      <c r="CB191" s="20">
        <f t="shared" si="171"/>
        <v>2.9932409441277661E-12</v>
      </c>
      <c r="CC191" s="59">
        <f t="shared" si="119"/>
        <v>290.12329331036244</v>
      </c>
      <c r="CD191" s="59">
        <f ca="1">AVERAGE(OFFSET($CC$3,0,0,'Données projet'!$E$12+1,1))-AVERAGE(OFFSET($H$3,0,0,'Données projet'!$E$12+1,1))</f>
        <v>413.9352601863377</v>
      </c>
      <c r="CE191" s="59">
        <f t="shared" si="148"/>
        <v>255.13997349799286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11.96257844148627</v>
      </c>
      <c r="CL191" s="21">
        <f>EXP(-LN(2)/25)*CL190+(1-EXP(-LN(2)/25))/(LN(2)/25)*Calculateur!CG191*Calculateur!CI191*VLOOKUP('Données projet'!$B$12,Paramètres!$A$1:$I$89,3,0)*0.475*44/12</f>
        <v>7.0156255408199417</v>
      </c>
      <c r="CM191" s="21">
        <f>EXP(-LN(2)/2)*CM190+(1-EXP(-LN(2)/2))/(LN(2)/2)*CG191*CJ191*VLOOKUP('Données projet'!$B$12,Paramètres!$A$1:$I$89,3,0)*0.475*44/12</f>
        <v>3.7747930941465723E-9</v>
      </c>
      <c r="CN191" s="22">
        <f t="shared" si="172"/>
        <v>18.978203986081006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69.124534539188929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2.8421709430404007E-14</v>
      </c>
      <c r="CU191" s="17">
        <f>CT191*VLOOKUP('Données projet'!$B$13,Paramètres!$A$1:$I$89,3,0)*VLOOKUP('Données projet'!$B$13,Paramètres!$A$1:$I$89,5,0)</f>
        <v>2.4829205358400945E-14</v>
      </c>
      <c r="CV191" s="13">
        <f t="shared" si="173"/>
        <v>4.3867331143352915E-13</v>
      </c>
      <c r="CW191" s="20">
        <f t="shared" si="174"/>
        <v>8.0726688341261168E-13</v>
      </c>
      <c r="CX191" s="59">
        <f t="shared" si="122"/>
        <v>290.12329331036022</v>
      </c>
      <c r="CY191" s="59">
        <f ca="1">AVERAGE(OFFSET($CX$3,0,0,'Données projet'!$E$13+1,1))-AVERAGE(OFFSET($H$3,0,0,'Données projet'!$E$13+1,1))</f>
        <v>280.59827778697775</v>
      </c>
      <c r="CZ191" s="59">
        <f t="shared" si="150"/>
        <v>270.86588231964726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>
        <f>EXP(-LN(2)/35)*DF190+(1-EXP(-LN(2)/35))/(LN(2)/35)*DB191*DC191*VLOOKUP('Données projet'!$B$13,Paramètres!$A$1:$I$89,3,0)*0.475*44/12</f>
        <v>3.8854358637385373</v>
      </c>
      <c r="DG191" s="21">
        <f>EXP(-LN(2)/25)*DG190+(1-EXP(-LN(2)/25))/(LN(2)/25)*Calculateur!DB191*Calculateur!DD191*VLOOKUP('Données projet'!$B$13,Paramètres!$A$1:$I$89,3,0)*0.475*44/12</f>
        <v>1.8272389443062913</v>
      </c>
      <c r="DH191" s="21">
        <f>EXP(-LN(2)/2)*DH190+(1-EXP(-LN(2)/2))/(LN(2)/2)*DB191*DE191*VLOOKUP('Données projet'!$B$13,Paramètres!$A$1:$I$89,3,0)*0.475*44/12</f>
        <v>2.5227842948354408E-15</v>
      </c>
      <c r="DI191" s="22">
        <f t="shared" si="175"/>
        <v>5.7126748080448317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69.124534539188929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>
        <f>DO191*VLOOKUP('Données projet'!$B$14,Paramètres!$A$1:$I$89,3,0)*VLOOKUP('Données projet'!$B$14,Paramètres!$A$1:$I$89,5,0)</f>
        <v>0</v>
      </c>
      <c r="DQ191" s="13" t="e">
        <f t="shared" si="176"/>
        <v>#NUM!</v>
      </c>
      <c r="DR191" s="20" t="e">
        <f t="shared" si="177"/>
        <v>#NUM!</v>
      </c>
      <c r="DS191" s="59" t="e">
        <f t="shared" si="125"/>
        <v>#NUM!</v>
      </c>
      <c r="DT191" s="59">
        <f ca="1">AVERAGE(OFFSET($DS$3,0,0,'Données projet'!$E$14+1,1))-AVERAGE(OFFSET($H$3,0,0,'Données projet'!$E$14+1,1))</f>
        <v>211.42385430331873</v>
      </c>
      <c r="DU191" s="59">
        <f t="shared" si="152"/>
        <v>146.84623106782686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>
        <f>EXP(-LN(2)/35)*EA190+(1-EXP(-LN(2)/35))/(LN(2)/35)*DW191*DX191*VLOOKUP('Données projet'!$B$14,Paramètres!$A$1:$I$89,3,0)*0.475*44/12</f>
        <v>5.7154676790993681</v>
      </c>
      <c r="EB191" s="21">
        <f>EXP(-LN(2)/25)*EB190+(1-EXP(-LN(2)/25))/(LN(2)/25)*Calculateur!DW191*Calculateur!DY191*VLOOKUP('Données projet'!$B$14,Paramètres!$A$1:$I$89,3,0)*0.475*44/12</f>
        <v>3.3655174083892585</v>
      </c>
      <c r="EC191" s="21">
        <f>EXP(-LN(2)/2)*EC190+(1-EXP(-LN(2)/2))/(LN(2)/2)*DW191*DZ191*VLOOKUP('Données projet'!$B$14,Paramètres!$A$1:$I$89,3,0)*0.475*44/12</f>
        <v>3.023113228894459E-10</v>
      </c>
      <c r="ED191" s="22">
        <f t="shared" si="178"/>
        <v>9.0809850877909373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69.124534539188929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-9.9475983006414026E-14</v>
      </c>
      <c r="EK191" s="17">
        <f>EJ191*VLOOKUP('Données projet'!$B$15,Paramètres!$A$1:$I$89,3,0)*VLOOKUP('Données projet'!$B$15,Paramètres!$A$1:$I$89,5,0)</f>
        <v>-1.0707594810810407E-13</v>
      </c>
      <c r="EL191" s="13" t="e">
        <f t="shared" si="179"/>
        <v>#NUM!</v>
      </c>
      <c r="EM191" s="20" t="e">
        <f t="shared" si="180"/>
        <v>#NUM!</v>
      </c>
      <c r="EN191" s="59" t="e">
        <f t="shared" si="128"/>
        <v>#NUM!</v>
      </c>
      <c r="EO191" s="59">
        <f ca="1">AVERAGE(OFFSET($EN$3,0,0,'Données projet'!$E$15+1,1))-AVERAGE(OFFSET($H$3,0,0,'Données projet'!$E$15+1,1))</f>
        <v>212.00478362779876</v>
      </c>
      <c r="EP191" s="59">
        <f t="shared" si="154"/>
        <v>133.62262474506707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>
        <f>EXP(-LN(2)/35)*EV190+(1-EXP(-LN(2)/35))/(LN(2)/35)*ER191*ES191*VLOOKUP('Données projet'!$B$15,Paramètres!$A$1:$I$89,3,0)*0.475*44/12</f>
        <v>4.0736128819085211</v>
      </c>
      <c r="EW191" s="21">
        <f>EXP(-LN(2)/25)*EW190+(1-EXP(-LN(2)/25))/(LN(2)/25)*Calculateur!ER191*Calculateur!ET191*VLOOKUP('Données projet'!$B$15,Paramètres!$A$1:$I$89,3,0)*0.475*44/12</f>
        <v>3.1069717458582446</v>
      </c>
      <c r="EX191" s="21">
        <f>EXP(-LN(2)/2)*EX190+(1-EXP(-LN(2)/2))/(LN(2)/2)*ER191*EU191*VLOOKUP('Données projet'!$B$15,Paramètres!$A$1:$I$89,3,0)*0.475*44/12</f>
        <v>1.8298255074715704E-9</v>
      </c>
      <c r="EY191" s="22">
        <f t="shared" si="181"/>
        <v>7.1805846295965914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69.124534539188929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-9.9475983006414026E-14</v>
      </c>
      <c r="FF191" s="17">
        <f>FE191*VLOOKUP('Données projet'!$B$16,Paramètres!$A$1:$I$89,3,0)*VLOOKUP('Données projet'!$B$16,Paramètres!$A$1:$I$89,5,0)</f>
        <v>-9.6213170763803652E-14</v>
      </c>
      <c r="FG191" s="13" t="e">
        <f t="shared" si="182"/>
        <v>#NUM!</v>
      </c>
      <c r="FH191" s="20" t="e">
        <f t="shared" si="183"/>
        <v>#NUM!</v>
      </c>
      <c r="FI191" s="59" t="e">
        <f t="shared" si="131"/>
        <v>#NUM!</v>
      </c>
      <c r="FJ191" s="59">
        <f ca="1">AVERAGE(OFFSET($FI$3,0,0,'Données projet'!$E$16+1,1))-AVERAGE(OFFSET($H$3,0,0,'Données projet'!$E$16+1,1))</f>
        <v>196.65742339093146</v>
      </c>
      <c r="FK191" s="59">
        <f t="shared" si="156"/>
        <v>125.41980634506001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>
        <f>EXP(-LN(2)/35)*FQ190+(1-EXP(-LN(2)/35))/(LN(2)/35)*FM191*FN191*VLOOKUP('Données projet'!$B$16,Paramètres!$A$1:$I$89,3,0)*0.475*44/12</f>
        <v>3.6603478069322954</v>
      </c>
      <c r="FR191" s="21">
        <f>EXP(-LN(2)/25)*FR190+(1-EXP(-LN(2)/25))/(LN(2)/25)*Calculateur!FM191*Calculateur!FO191*VLOOKUP('Données projet'!$B$16,Paramètres!$A$1:$I$89,3,0)*0.475*44/12</f>
        <v>2.7917717136697293</v>
      </c>
      <c r="FS191" s="21">
        <f>EXP(-LN(2)/2)*FS190+(1-EXP(-LN(2)/2))/(LN(2)/2)*FM191*FP191*VLOOKUP('Données projet'!$B$16,Paramètres!$A$1:$I$89,3,0)*0.475*44/12</f>
        <v>1.6441910356990853E-9</v>
      </c>
      <c r="FT191" s="22">
        <f t="shared" si="184"/>
        <v>6.4521195222462167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69.124534539188929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69.124534539188929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>
      <c r="A192" s="10">
        <f t="shared" si="161"/>
        <v>189</v>
      </c>
      <c r="B192" s="73">
        <f>'Scénario référence'!$B$16*5+'Scénario référence'!$B$17*0+'Scénario référence'!$B$18*5</f>
        <v>4.6999999999999993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10.083528000000028</v>
      </c>
      <c r="D192" s="11">
        <f t="shared" si="140"/>
        <v>3.5509460777738973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22.514247643039148</v>
      </c>
      <c r="H192" s="67">
        <f t="shared" si="110"/>
        <v>211.48004235212295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69.13972190768645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-2.2737367544323206E-13</v>
      </c>
      <c r="O192" s="13">
        <f>N192*VLOOKUP('Données projet'!$B$9,Paramètres!$A$1:$I$89,3,0)*VLOOKUP('Données projet'!$B$9,Paramètres!$A$1:$I$89,5,0)</f>
        <v>-1.3596945791505279E-13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366.93249569585623</v>
      </c>
      <c r="T192" s="59">
        <f t="shared" si="142"/>
        <v>272.47262353368501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17.699319720025567</v>
      </c>
      <c r="AA192" s="21">
        <f>EXP(-LN(2)/25)*AA191+(1-EXP(-LN(2)/25))/(LN(2)/25)*Calculateur!V192*Calculateur!X192*VLOOKUP('Données projet'!$B$9,Paramètres!$A$1:$I$89,3,0)*0.475*44/12</f>
        <v>2.5198364040999226</v>
      </c>
      <c r="AB192" s="21">
        <f>EXP(-LN(2)/2)*AB191+(1-EXP(-LN(2)/2))/(LN(2)/2)*V192*Y192*VLOOKUP('Données projet'!$B$9,Paramètres!$A$1:$I$89,3,0)*0.475*44/12</f>
        <v>2.7757916891403015E-15</v>
      </c>
      <c r="AC192" s="22">
        <f t="shared" si="163"/>
        <v>20.219156124125494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69.13972190768645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1.1368683772161603E-13</v>
      </c>
      <c r="AJ192" s="13">
        <f>AI192*VLOOKUP('Données projet'!$B$10,Paramètres!$A$1:$I$89,3,0)*VLOOKUP('Données projet'!$B$10,Paramètres!$A$1:$I$89,5,0)</f>
        <v>5.3205440053716299E-14</v>
      </c>
      <c r="AK192" s="13">
        <f t="shared" si="164"/>
        <v>8.602146238565607E-13</v>
      </c>
      <c r="AL192" s="20">
        <f t="shared" si="165"/>
        <v>1.590873277977066E-12</v>
      </c>
      <c r="AM192" s="59">
        <f t="shared" si="113"/>
        <v>290.17898032818522</v>
      </c>
      <c r="AN192" s="59">
        <f ca="1">AVERAGE(OFFSET($AM$3,0,0,'Données projet'!$E$10+1,1))-AVERAGE(OFFSET($H$3,0,0,'Données projet'!$E$10+1,1))</f>
        <v>382.89338473200229</v>
      </c>
      <c r="AO192" s="59">
        <f t="shared" si="144"/>
        <v>360.46248248971744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34.909165925063419</v>
      </c>
      <c r="AV192" s="21">
        <f>EXP(-LN(2)/25)*AV191+(1-EXP(-LN(2)/25))/(LN(2)/25)*Calculateur!AQ192*Calculateur!AS192*VLOOKUP('Données projet'!$B$10,Paramètres!$A$1:$I$89,3,0)*0.475*44/12</f>
        <v>5.3037804135766651</v>
      </c>
      <c r="AW192" s="21">
        <f>EXP(-LN(2)/2)*AW191+(1-EXP(-LN(2)/2))/(LN(2)/2)*AQ192*AT192*VLOOKUP('Données projet'!$B$10,Paramètres!$A$1:$I$89,3,0)*0.475*44/12</f>
        <v>8.9194318285166493E-12</v>
      </c>
      <c r="AX192" s="21">
        <f t="shared" si="166"/>
        <v>40.212946338649004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69.13972190768645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>
        <f>BD192*VLOOKUP('Données projet'!$B$11,Paramètres!$A$1:$I$89,3,0)*VLOOKUP('Données projet'!$B$11,Paramètres!$A$1:$I$89,5,0)</f>
        <v>0</v>
      </c>
      <c r="BF192" s="13" t="e">
        <f t="shared" si="167"/>
        <v>#NUM!</v>
      </c>
      <c r="BG192" s="20" t="e">
        <f t="shared" si="168"/>
        <v>#NUM!</v>
      </c>
      <c r="BH192" s="59" t="e">
        <f t="shared" si="116"/>
        <v>#NUM!</v>
      </c>
      <c r="BI192" s="59">
        <f ca="1">AVERAGE(OFFSET($BH$3,0,0,'Données projet'!$E$11+1,1))-AVERAGE(OFFSET($H$3,0,0,'Données projet'!$E$11+1,1))</f>
        <v>225.75484198243581</v>
      </c>
      <c r="BJ192" s="59">
        <f t="shared" si="146"/>
        <v>199.49566488421061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1.2723809035157585</v>
      </c>
      <c r="BQ192" s="21">
        <f>EXP(-LN(2)/25)*BQ191+(1-EXP(-LN(2)/25))/(LN(2)/25)*Calculateur!BL192*Calculateur!BN192*VLOOKUP('Données projet'!$B$11,Paramètres!$A$1:$I$89,3,0)*0.475*44/12</f>
        <v>3.4299146588217302</v>
      </c>
      <c r="BR192" s="21">
        <f>EXP(-LN(2)/2)*BR191+(1-EXP(-LN(2)/2))/(LN(2)/2)*BL192*BO192*VLOOKUP('Données projet'!$B$11,Paramètres!$A$1:$I$89,3,0)*0.475*44/12</f>
        <v>0</v>
      </c>
      <c r="BS192" s="22">
        <f t="shared" si="169"/>
        <v>4.7022955623374889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69.13972190768645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1.1368683772161603E-13</v>
      </c>
      <c r="BZ192" s="13">
        <f>BY192*VLOOKUP('Données projet'!$B$12,Paramètres!$A$1:$I$89,3,0)*VLOOKUP('Données projet'!$B$12,Paramètres!$A$1:$I$89,5,0)</f>
        <v>1.0818439477588981E-13</v>
      </c>
      <c r="CA192" s="13">
        <f t="shared" si="170"/>
        <v>1.6104228458716316E-12</v>
      </c>
      <c r="CB192" s="20">
        <f t="shared" si="171"/>
        <v>2.9932409441277661E-12</v>
      </c>
      <c r="CC192" s="59">
        <f t="shared" si="119"/>
        <v>290.17898032818664</v>
      </c>
      <c r="CD192" s="59">
        <f ca="1">AVERAGE(OFFSET($CC$3,0,0,'Données projet'!$E$12+1,1))-AVERAGE(OFFSET($H$3,0,0,'Données projet'!$E$12+1,1))</f>
        <v>413.9352601863377</v>
      </c>
      <c r="CE192" s="59">
        <f t="shared" si="148"/>
        <v>255.13997349799286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11.727999574701109</v>
      </c>
      <c r="CL192" s="21">
        <f>EXP(-LN(2)/25)*CL191+(1-EXP(-LN(2)/25))/(LN(2)/25)*Calculateur!CG192*Calculateur!CI192*VLOOKUP('Données projet'!$B$12,Paramètres!$A$1:$I$89,3,0)*0.475*44/12</f>
        <v>6.8237828914705076</v>
      </c>
      <c r="CM192" s="21">
        <f>EXP(-LN(2)/2)*CM191+(1-EXP(-LN(2)/2))/(LN(2)/2)*CG192*CJ192*VLOOKUP('Données projet'!$B$12,Paramètres!$A$1:$I$89,3,0)*0.475*44/12</f>
        <v>2.669181794447191E-9</v>
      </c>
      <c r="CN192" s="22">
        <f t="shared" si="172"/>
        <v>18.551782468840798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69.13972190768645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2.8421709430404007E-14</v>
      </c>
      <c r="CU192" s="17">
        <f>CT192*VLOOKUP('Données projet'!$B$13,Paramètres!$A$1:$I$89,3,0)*VLOOKUP('Données projet'!$B$13,Paramètres!$A$1:$I$89,5,0)</f>
        <v>2.4829205358400945E-14</v>
      </c>
      <c r="CV192" s="13">
        <f t="shared" si="173"/>
        <v>4.3867331143352915E-13</v>
      </c>
      <c r="CW192" s="20">
        <f t="shared" si="174"/>
        <v>8.0726688341261168E-13</v>
      </c>
      <c r="CX192" s="59">
        <f t="shared" si="122"/>
        <v>290.17898032818442</v>
      </c>
      <c r="CY192" s="59">
        <f ca="1">AVERAGE(OFFSET($CX$3,0,0,'Données projet'!$E$13+1,1))-AVERAGE(OFFSET($H$3,0,0,'Données projet'!$E$13+1,1))</f>
        <v>280.59827778697775</v>
      </c>
      <c r="CZ192" s="59">
        <f t="shared" si="150"/>
        <v>270.86588231964726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>
        <f>EXP(-LN(2)/35)*DF191+(1-EXP(-LN(2)/35))/(LN(2)/35)*DB192*DC192*VLOOKUP('Données projet'!$B$13,Paramètres!$A$1:$I$89,3,0)*0.475*44/12</f>
        <v>3.8092448363324949</v>
      </c>
      <c r="DG192" s="21">
        <f>EXP(-LN(2)/25)*DG191+(1-EXP(-LN(2)/25))/(LN(2)/25)*Calculateur!DB192*Calculateur!DD192*VLOOKUP('Données projet'!$B$13,Paramètres!$A$1:$I$89,3,0)*0.475*44/12</f>
        <v>1.7772729992839158</v>
      </c>
      <c r="DH192" s="21">
        <f>EXP(-LN(2)/2)*DH191+(1-EXP(-LN(2)/2))/(LN(2)/2)*DB192*DE192*VLOOKUP('Données projet'!$B$13,Paramètres!$A$1:$I$89,3,0)*0.475*44/12</f>
        <v>1.7838778823490626E-15</v>
      </c>
      <c r="DI192" s="22">
        <f t="shared" si="175"/>
        <v>5.5865178356164122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69.13972190768645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>
        <f>DO192*VLOOKUP('Données projet'!$B$14,Paramètres!$A$1:$I$89,3,0)*VLOOKUP('Données projet'!$B$14,Paramètres!$A$1:$I$89,5,0)</f>
        <v>0</v>
      </c>
      <c r="DQ192" s="13" t="e">
        <f t="shared" si="176"/>
        <v>#NUM!</v>
      </c>
      <c r="DR192" s="20" t="e">
        <f t="shared" si="177"/>
        <v>#NUM!</v>
      </c>
      <c r="DS192" s="59" t="e">
        <f t="shared" si="125"/>
        <v>#NUM!</v>
      </c>
      <c r="DT192" s="59">
        <f ca="1">AVERAGE(OFFSET($DS$3,0,0,'Données projet'!$E$14+1,1))-AVERAGE(OFFSET($H$3,0,0,'Données projet'!$E$14+1,1))</f>
        <v>211.42385430331873</v>
      </c>
      <c r="DU192" s="59">
        <f t="shared" si="152"/>
        <v>146.84623106782686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>
        <f>EXP(-LN(2)/35)*EA191+(1-EXP(-LN(2)/35))/(LN(2)/35)*DW192*DX192*VLOOKUP('Données projet'!$B$14,Paramètres!$A$1:$I$89,3,0)*0.475*44/12</f>
        <v>5.6033908440032905</v>
      </c>
      <c r="EB192" s="21">
        <f>EXP(-LN(2)/25)*EB191+(1-EXP(-LN(2)/25))/(LN(2)/25)*Calculateur!DW192*Calculateur!DY192*VLOOKUP('Données projet'!$B$14,Paramètres!$A$1:$I$89,3,0)*0.475*44/12</f>
        <v>3.2734871578719855</v>
      </c>
      <c r="EC192" s="21">
        <f>EXP(-LN(2)/2)*EC191+(1-EXP(-LN(2)/2))/(LN(2)/2)*DW192*DZ192*VLOOKUP('Données projet'!$B$14,Paramètres!$A$1:$I$89,3,0)*0.475*44/12</f>
        <v>2.1376638644460314E-10</v>
      </c>
      <c r="ED192" s="22">
        <f t="shared" si="178"/>
        <v>8.8768780020890432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69.13972190768645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-9.9475983006414026E-14</v>
      </c>
      <c r="EK192" s="17">
        <f>EJ192*VLOOKUP('Données projet'!$B$15,Paramètres!$A$1:$I$89,3,0)*VLOOKUP('Données projet'!$B$15,Paramètres!$A$1:$I$89,5,0)</f>
        <v>-1.0707594810810407E-13</v>
      </c>
      <c r="EL192" s="13" t="e">
        <f t="shared" si="179"/>
        <v>#NUM!</v>
      </c>
      <c r="EM192" s="20" t="e">
        <f t="shared" si="180"/>
        <v>#NUM!</v>
      </c>
      <c r="EN192" s="59" t="e">
        <f t="shared" si="128"/>
        <v>#NUM!</v>
      </c>
      <c r="EO192" s="59">
        <f ca="1">AVERAGE(OFFSET($EN$3,0,0,'Données projet'!$E$15+1,1))-AVERAGE(OFFSET($H$3,0,0,'Données projet'!$E$15+1,1))</f>
        <v>212.00478362779876</v>
      </c>
      <c r="EP192" s="59">
        <f t="shared" si="154"/>
        <v>133.62262474506707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>
        <f>EXP(-LN(2)/35)*EV191+(1-EXP(-LN(2)/35))/(LN(2)/35)*ER192*ES192*VLOOKUP('Données projet'!$B$15,Paramètres!$A$1:$I$89,3,0)*0.475*44/12</f>
        <v>3.9937318179528134</v>
      </c>
      <c r="EW192" s="21">
        <f>EXP(-LN(2)/25)*EW191+(1-EXP(-LN(2)/25))/(LN(2)/25)*Calculateur!ER192*Calculateur!ET192*VLOOKUP('Données projet'!$B$15,Paramètres!$A$1:$I$89,3,0)*0.475*44/12</f>
        <v>3.0220114400792077</v>
      </c>
      <c r="EX192" s="21">
        <f>EXP(-LN(2)/2)*EX191+(1-EXP(-LN(2)/2))/(LN(2)/2)*ER192*EU192*VLOOKUP('Données projet'!$B$15,Paramètres!$A$1:$I$89,3,0)*0.475*44/12</f>
        <v>1.2938820247212632E-9</v>
      </c>
      <c r="EY192" s="22">
        <f t="shared" si="181"/>
        <v>7.0157432593259035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69.13972190768645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-9.9475983006414026E-14</v>
      </c>
      <c r="FF192" s="17">
        <f>FE192*VLOOKUP('Données projet'!$B$16,Paramètres!$A$1:$I$89,3,0)*VLOOKUP('Données projet'!$B$16,Paramètres!$A$1:$I$89,5,0)</f>
        <v>-9.6213170763803652E-14</v>
      </c>
      <c r="FG192" s="13" t="e">
        <f t="shared" si="182"/>
        <v>#NUM!</v>
      </c>
      <c r="FH192" s="20" t="e">
        <f t="shared" si="183"/>
        <v>#NUM!</v>
      </c>
      <c r="FI192" s="59" t="e">
        <f t="shared" si="131"/>
        <v>#NUM!</v>
      </c>
      <c r="FJ192" s="59">
        <f ca="1">AVERAGE(OFFSET($FI$3,0,0,'Données projet'!$E$16+1,1))-AVERAGE(OFFSET($H$3,0,0,'Données projet'!$E$16+1,1))</f>
        <v>196.65742339093146</v>
      </c>
      <c r="FK192" s="59">
        <f t="shared" si="156"/>
        <v>125.41980634506001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>
        <f>EXP(-LN(2)/35)*FQ191+(1-EXP(-LN(2)/35))/(LN(2)/35)*FM192*FN192*VLOOKUP('Données projet'!$B$16,Paramètres!$A$1:$I$89,3,0)*0.475*44/12</f>
        <v>3.5885706190300652</v>
      </c>
      <c r="FR192" s="21">
        <f>EXP(-LN(2)/25)*FR191+(1-EXP(-LN(2)/25))/(LN(2)/25)*Calculateur!FM192*Calculateur!FO192*VLOOKUP('Données projet'!$B$16,Paramètres!$A$1:$I$89,3,0)*0.475*44/12</f>
        <v>2.715430569346537</v>
      </c>
      <c r="FS192" s="21">
        <f>EXP(-LN(2)/2)*FS191+(1-EXP(-LN(2)/2))/(LN(2)/2)*FM192*FP192*VLOOKUP('Données projet'!$B$16,Paramètres!$A$1:$I$89,3,0)*0.475*44/12</f>
        <v>1.1626186309089561E-9</v>
      </c>
      <c r="FT192" s="22">
        <f t="shared" si="184"/>
        <v>6.3040011895392212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69.13972190768645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69.13972190768645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>
      <c r="A193" s="10">
        <f t="shared" si="161"/>
        <v>190</v>
      </c>
      <c r="B193" s="73">
        <f>'Scénario référence'!$B$16*5+'Scénario référence'!$B$17*0+'Scénario référence'!$B$18*5</f>
        <v>4.6999999999999993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10.136880000000028</v>
      </c>
      <c r="D193" s="11">
        <f t="shared" si="140"/>
        <v>3.5675421183288964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22.54664463024357</v>
      </c>
      <c r="H193" s="67">
        <f t="shared" si="110"/>
        <v>211.60186852275623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69.154645809294394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-2.2737367544323206E-13</v>
      </c>
      <c r="O193" s="13">
        <f>N193*VLOOKUP('Données projet'!$B$9,Paramètres!$A$1:$I$89,3,0)*VLOOKUP('Données projet'!$B$9,Paramètres!$A$1:$I$89,5,0)</f>
        <v>-1.3596945791505279E-13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366.93249569585623</v>
      </c>
      <c r="T193" s="59">
        <f t="shared" si="142"/>
        <v>272.47262353368501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17.352246855834927</v>
      </c>
      <c r="AA193" s="21">
        <f>EXP(-LN(2)/25)*AA192+(1-EXP(-LN(2)/25))/(LN(2)/25)*Calculateur!V193*Calculateur!X193*VLOOKUP('Données projet'!$B$9,Paramètres!$A$1:$I$89,3,0)*0.475*44/12</f>
        <v>2.4509313451173731</v>
      </c>
      <c r="AB193" s="21">
        <f>EXP(-LN(2)/2)*AB192+(1-EXP(-LN(2)/2))/(LN(2)/2)*V193*Y193*VLOOKUP('Données projet'!$B$9,Paramètres!$A$1:$I$89,3,0)*0.475*44/12</f>
        <v>1.9627811265523683E-15</v>
      </c>
      <c r="AC193" s="22">
        <f t="shared" si="163"/>
        <v>19.803178200952303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69.154645809294394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1.1368683772161603E-13</v>
      </c>
      <c r="AJ193" s="13">
        <f>AI193*VLOOKUP('Données projet'!$B$10,Paramètres!$A$1:$I$89,3,0)*VLOOKUP('Données projet'!$B$10,Paramètres!$A$1:$I$89,5,0)</f>
        <v>5.3205440053716299E-14</v>
      </c>
      <c r="AK193" s="13">
        <f t="shared" si="164"/>
        <v>8.602146238565607E-13</v>
      </c>
      <c r="AL193" s="20">
        <f t="shared" si="165"/>
        <v>1.590873277977066E-12</v>
      </c>
      <c r="AM193" s="59">
        <f t="shared" si="113"/>
        <v>290.23370130074767</v>
      </c>
      <c r="AN193" s="59">
        <f ca="1">AVERAGE(OFFSET($AM$3,0,0,'Données projet'!$E$10+1,1))-AVERAGE(OFFSET($H$3,0,0,'Données projet'!$E$10+1,1))</f>
        <v>382.89338473200229</v>
      </c>
      <c r="AO193" s="59">
        <f t="shared" si="144"/>
        <v>360.46248248971744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34.22461847376168</v>
      </c>
      <c r="AV193" s="21">
        <f>EXP(-LN(2)/25)*AV192+(1-EXP(-LN(2)/25))/(LN(2)/25)*Calculateur!AQ193*Calculateur!AS193*VLOOKUP('Données projet'!$B$10,Paramètres!$A$1:$I$89,3,0)*0.475*44/12</f>
        <v>5.1587482592537208</v>
      </c>
      <c r="AW193" s="21">
        <f>EXP(-LN(2)/2)*AW192+(1-EXP(-LN(2)/2))/(LN(2)/2)*AQ193*AT193*VLOOKUP('Données projet'!$B$10,Paramètres!$A$1:$I$89,3,0)*0.475*44/12</f>
        <v>6.3069907302752498E-12</v>
      </c>
      <c r="AX193" s="21">
        <f t="shared" si="166"/>
        <v>39.38336673302171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69.154645809294394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>
        <f>BD193*VLOOKUP('Données projet'!$B$11,Paramètres!$A$1:$I$89,3,0)*VLOOKUP('Données projet'!$B$11,Paramètres!$A$1:$I$89,5,0)</f>
        <v>0</v>
      </c>
      <c r="BF193" s="13" t="e">
        <f t="shared" si="167"/>
        <v>#NUM!</v>
      </c>
      <c r="BG193" s="20" t="e">
        <f t="shared" si="168"/>
        <v>#NUM!</v>
      </c>
      <c r="BH193" s="59" t="e">
        <f t="shared" si="116"/>
        <v>#NUM!</v>
      </c>
      <c r="BI193" s="59">
        <f ca="1">AVERAGE(OFFSET($BH$3,0,0,'Données projet'!$E$11+1,1))-AVERAGE(OFFSET($H$3,0,0,'Données projet'!$E$11+1,1))</f>
        <v>225.75484198243581</v>
      </c>
      <c r="BJ193" s="59">
        <f t="shared" si="146"/>
        <v>199.49566488421061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1.2474302900735346</v>
      </c>
      <c r="BQ193" s="21">
        <f>EXP(-LN(2)/25)*BQ192+(1-EXP(-LN(2)/25))/(LN(2)/25)*Calculateur!BL193*Calculateur!BN193*VLOOKUP('Données projet'!$B$11,Paramètres!$A$1:$I$89,3,0)*0.475*44/12</f>
        <v>3.3361234621048772</v>
      </c>
      <c r="BR193" s="21">
        <f>EXP(-LN(2)/2)*BR192+(1-EXP(-LN(2)/2))/(LN(2)/2)*BL193*BO193*VLOOKUP('Données projet'!$B$11,Paramètres!$A$1:$I$89,3,0)*0.475*44/12</f>
        <v>0</v>
      </c>
      <c r="BS193" s="22">
        <f t="shared" si="169"/>
        <v>4.5835537521784122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69.154645809294394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1.1368683772161603E-13</v>
      </c>
      <c r="BZ193" s="13">
        <f>BY193*VLOOKUP('Données projet'!$B$12,Paramètres!$A$1:$I$89,3,0)*VLOOKUP('Données projet'!$B$12,Paramètres!$A$1:$I$89,5,0)</f>
        <v>1.0818439477588981E-13</v>
      </c>
      <c r="CA193" s="13">
        <f t="shared" si="170"/>
        <v>1.6104228458716316E-12</v>
      </c>
      <c r="CB193" s="20">
        <f t="shared" si="171"/>
        <v>2.9932409441277661E-12</v>
      </c>
      <c r="CC193" s="59">
        <f t="shared" si="119"/>
        <v>290.23370130074909</v>
      </c>
      <c r="CD193" s="59">
        <f ca="1">AVERAGE(OFFSET($CC$3,0,0,'Données projet'!$E$12+1,1))-AVERAGE(OFFSET($H$3,0,0,'Données projet'!$E$12+1,1))</f>
        <v>413.9352601863377</v>
      </c>
      <c r="CE193" s="59">
        <f t="shared" si="148"/>
        <v>255.13997349799286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11.498020656414623</v>
      </c>
      <c r="CL193" s="21">
        <f>EXP(-LN(2)/25)*CL192+(1-EXP(-LN(2)/25))/(LN(2)/25)*Calculateur!CG193*Calculateur!CI193*VLOOKUP('Données projet'!$B$12,Paramètres!$A$1:$I$89,3,0)*0.475*44/12</f>
        <v>6.6371861894561004</v>
      </c>
      <c r="CM193" s="21">
        <f>EXP(-LN(2)/2)*CM192+(1-EXP(-LN(2)/2))/(LN(2)/2)*CG193*CJ193*VLOOKUP('Données projet'!$B$12,Paramètres!$A$1:$I$89,3,0)*0.475*44/12</f>
        <v>1.8873965470732862E-9</v>
      </c>
      <c r="CN193" s="22">
        <f t="shared" si="172"/>
        <v>18.13520684775812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69.154645809294394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2.8421709430404007E-14</v>
      </c>
      <c r="CU193" s="17">
        <f>CT193*VLOOKUP('Données projet'!$B$13,Paramètres!$A$1:$I$89,3,0)*VLOOKUP('Données projet'!$B$13,Paramètres!$A$1:$I$89,5,0)</f>
        <v>2.4829205358400945E-14</v>
      </c>
      <c r="CV193" s="13">
        <f t="shared" si="173"/>
        <v>4.3867331143352915E-13</v>
      </c>
      <c r="CW193" s="20">
        <f t="shared" si="174"/>
        <v>8.0726688341261168E-13</v>
      </c>
      <c r="CX193" s="59">
        <f t="shared" si="122"/>
        <v>290.23370130074687</v>
      </c>
      <c r="CY193" s="59">
        <f ca="1">AVERAGE(OFFSET($CX$3,0,0,'Données projet'!$E$13+1,1))-AVERAGE(OFFSET($H$3,0,0,'Données projet'!$E$13+1,1))</f>
        <v>280.59827778697775</v>
      </c>
      <c r="CZ193" s="59">
        <f t="shared" si="150"/>
        <v>270.86588231964726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>
        <f>EXP(-LN(2)/35)*DF192+(1-EXP(-LN(2)/35))/(LN(2)/35)*DB193*DC193*VLOOKUP('Données projet'!$B$13,Paramètres!$A$1:$I$89,3,0)*0.475*44/12</f>
        <v>3.7345478685019473</v>
      </c>
      <c r="DG193" s="21">
        <f>EXP(-LN(2)/25)*DG192+(1-EXP(-LN(2)/25))/(LN(2)/25)*Calculateur!DB193*Calculateur!DD193*VLOOKUP('Données projet'!$B$13,Paramètres!$A$1:$I$89,3,0)*0.475*44/12</f>
        <v>1.7286733756557722</v>
      </c>
      <c r="DH193" s="21">
        <f>EXP(-LN(2)/2)*DH192+(1-EXP(-LN(2)/2))/(LN(2)/2)*DB193*DE193*VLOOKUP('Données projet'!$B$13,Paramètres!$A$1:$I$89,3,0)*0.475*44/12</f>
        <v>1.2613921474177204E-15</v>
      </c>
      <c r="DI193" s="22">
        <f t="shared" si="175"/>
        <v>5.4632212441577206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69.154645809294394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>
        <f>DO193*VLOOKUP('Données projet'!$B$14,Paramètres!$A$1:$I$89,3,0)*VLOOKUP('Données projet'!$B$14,Paramètres!$A$1:$I$89,5,0)</f>
        <v>0</v>
      </c>
      <c r="DQ193" s="13" t="e">
        <f t="shared" si="176"/>
        <v>#NUM!</v>
      </c>
      <c r="DR193" s="20" t="e">
        <f t="shared" si="177"/>
        <v>#NUM!</v>
      </c>
      <c r="DS193" s="59" t="e">
        <f t="shared" si="125"/>
        <v>#NUM!</v>
      </c>
      <c r="DT193" s="59">
        <f ca="1">AVERAGE(OFFSET($DS$3,0,0,'Données projet'!$E$14+1,1))-AVERAGE(OFFSET($H$3,0,0,'Données projet'!$E$14+1,1))</f>
        <v>211.42385430331873</v>
      </c>
      <c r="DU193" s="59">
        <f t="shared" si="152"/>
        <v>146.84623106782686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>
        <f>EXP(-LN(2)/35)*EA192+(1-EXP(-LN(2)/35))/(LN(2)/35)*DW193*DX193*VLOOKUP('Données projet'!$B$14,Paramètres!$A$1:$I$89,3,0)*0.475*44/12</f>
        <v>5.4935117672833282</v>
      </c>
      <c r="EB193" s="21">
        <f>EXP(-LN(2)/25)*EB192+(1-EXP(-LN(2)/25))/(LN(2)/25)*Calculateur!DW193*Calculateur!DY193*VLOOKUP('Données projet'!$B$14,Paramètres!$A$1:$I$89,3,0)*0.475*44/12</f>
        <v>3.1839734793947683</v>
      </c>
      <c r="EC193" s="21">
        <f>EXP(-LN(2)/2)*EC192+(1-EXP(-LN(2)/2))/(LN(2)/2)*DW193*DZ193*VLOOKUP('Données projet'!$B$14,Paramètres!$A$1:$I$89,3,0)*0.475*44/12</f>
        <v>1.5115566144472295E-10</v>
      </c>
      <c r="ED193" s="22">
        <f t="shared" si="178"/>
        <v>8.6774852468292512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69.154645809294394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-9.9475983006414026E-14</v>
      </c>
      <c r="EK193" s="17">
        <f>EJ193*VLOOKUP('Données projet'!$B$15,Paramètres!$A$1:$I$89,3,0)*VLOOKUP('Données projet'!$B$15,Paramètres!$A$1:$I$89,5,0)</f>
        <v>-1.0707594810810407E-13</v>
      </c>
      <c r="EL193" s="13" t="e">
        <f t="shared" si="179"/>
        <v>#NUM!</v>
      </c>
      <c r="EM193" s="20" t="e">
        <f t="shared" si="180"/>
        <v>#NUM!</v>
      </c>
      <c r="EN193" s="59" t="e">
        <f t="shared" si="128"/>
        <v>#NUM!</v>
      </c>
      <c r="EO193" s="59">
        <f ca="1">AVERAGE(OFFSET($EN$3,0,0,'Données projet'!$E$15+1,1))-AVERAGE(OFFSET($H$3,0,0,'Données projet'!$E$15+1,1))</f>
        <v>212.00478362779876</v>
      </c>
      <c r="EP193" s="59">
        <f t="shared" si="154"/>
        <v>133.62262474506707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>
        <f>EXP(-LN(2)/35)*EV192+(1-EXP(-LN(2)/35))/(LN(2)/35)*ER193*ES193*VLOOKUP('Données projet'!$B$15,Paramètres!$A$1:$I$89,3,0)*0.475*44/12</f>
        <v>3.9154171729386391</v>
      </c>
      <c r="EW193" s="21">
        <f>EXP(-LN(2)/25)*EW192+(1-EXP(-LN(2)/25))/(LN(2)/25)*Calculateur!ER193*Calculateur!ET193*VLOOKUP('Données projet'!$B$15,Paramètres!$A$1:$I$89,3,0)*0.475*44/12</f>
        <v>2.9393743783295672</v>
      </c>
      <c r="EX193" s="21">
        <f>EXP(-LN(2)/2)*EX192+(1-EXP(-LN(2)/2))/(LN(2)/2)*ER193*EU193*VLOOKUP('Données projet'!$B$15,Paramètres!$A$1:$I$89,3,0)*0.475*44/12</f>
        <v>9.149127537357854E-10</v>
      </c>
      <c r="EY193" s="22">
        <f t="shared" si="181"/>
        <v>6.8547915521831193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69.154645809294394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-9.9475983006414026E-14</v>
      </c>
      <c r="FF193" s="17">
        <f>FE193*VLOOKUP('Données projet'!$B$16,Paramètres!$A$1:$I$89,3,0)*VLOOKUP('Données projet'!$B$16,Paramètres!$A$1:$I$89,5,0)</f>
        <v>-9.6213170763803652E-14</v>
      </c>
      <c r="FG193" s="13" t="e">
        <f t="shared" si="182"/>
        <v>#NUM!</v>
      </c>
      <c r="FH193" s="20" t="e">
        <f t="shared" si="183"/>
        <v>#NUM!</v>
      </c>
      <c r="FI193" s="59" t="e">
        <f t="shared" si="131"/>
        <v>#NUM!</v>
      </c>
      <c r="FJ193" s="59">
        <f ca="1">AVERAGE(OFFSET($FI$3,0,0,'Données projet'!$E$16+1,1))-AVERAGE(OFFSET($H$3,0,0,'Données projet'!$E$16+1,1))</f>
        <v>196.65742339093146</v>
      </c>
      <c r="FK193" s="59">
        <f t="shared" si="156"/>
        <v>125.41980634506001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>
        <f>EXP(-LN(2)/35)*FQ192+(1-EXP(-LN(2)/35))/(LN(2)/35)*FM193*FN193*VLOOKUP('Données projet'!$B$16,Paramètres!$A$1:$I$89,3,0)*0.475*44/12</f>
        <v>3.5182009380028361</v>
      </c>
      <c r="FR193" s="21">
        <f>EXP(-LN(2)/25)*FR192+(1-EXP(-LN(2)/25))/(LN(2)/25)*Calculateur!FM193*Calculateur!FO193*VLOOKUP('Données projet'!$B$16,Paramètres!$A$1:$I$89,3,0)*0.475*44/12</f>
        <v>2.6411769776294687</v>
      </c>
      <c r="FS193" s="21">
        <f>EXP(-LN(2)/2)*FS192+(1-EXP(-LN(2)/2))/(LN(2)/2)*FM193*FP193*VLOOKUP('Données projet'!$B$16,Paramètres!$A$1:$I$89,3,0)*0.475*44/12</f>
        <v>8.2209551784954267E-10</v>
      </c>
      <c r="FT193" s="22">
        <f t="shared" si="184"/>
        <v>6.1593779164544005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69.154645809294394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69.154645809294394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>
      <c r="A194" s="10">
        <f t="shared" si="161"/>
        <v>191</v>
      </c>
      <c r="B194" s="73">
        <f>'Scénario référence'!$B$16*5+'Scénario référence'!$B$17*0+'Scénario référence'!$B$18*5</f>
        <v>4.6999999999999993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10.190232000000028</v>
      </c>
      <c r="D194" s="11">
        <f t="shared" si="140"/>
        <v>3.5841279946894793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22.579036909821102</v>
      </c>
      <c r="H194" s="67">
        <f t="shared" si="110"/>
        <v>211.7236769907509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69.169310814574303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-2.2737367544323206E-13</v>
      </c>
      <c r="O194" s="13">
        <f>N194*VLOOKUP('Données projet'!$B$9,Paramètres!$A$1:$I$89,3,0)*VLOOKUP('Données projet'!$B$9,Paramètres!$A$1:$I$89,5,0)</f>
        <v>-1.3596945791505279E-13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366.93249569585623</v>
      </c>
      <c r="T194" s="59">
        <f t="shared" si="142"/>
        <v>272.47262353368501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17.01197987881752</v>
      </c>
      <c r="AA194" s="21">
        <f>EXP(-LN(2)/25)*AA193+(1-EXP(-LN(2)/25))/(LN(2)/25)*Calculateur!V194*Calculateur!X194*VLOOKUP('Données projet'!$B$9,Paramètres!$A$1:$I$89,3,0)*0.475*44/12</f>
        <v>2.3839104985962609</v>
      </c>
      <c r="AB194" s="21">
        <f>EXP(-LN(2)/2)*AB193+(1-EXP(-LN(2)/2))/(LN(2)/2)*V194*Y194*VLOOKUP('Données projet'!$B$9,Paramètres!$A$1:$I$89,3,0)*0.475*44/12</f>
        <v>1.3878958445701508E-15</v>
      </c>
      <c r="AC194" s="22">
        <f t="shared" si="163"/>
        <v>19.395890377413782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69.169310814574303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1.1368683772161603E-13</v>
      </c>
      <c r="AJ194" s="13">
        <f>AI194*VLOOKUP('Données projet'!$B$10,Paramètres!$A$1:$I$89,3,0)*VLOOKUP('Données projet'!$B$10,Paramètres!$A$1:$I$89,5,0)</f>
        <v>5.3205440053716299E-14</v>
      </c>
      <c r="AK194" s="13">
        <f t="shared" si="164"/>
        <v>8.602146238565607E-13</v>
      </c>
      <c r="AL194" s="20">
        <f t="shared" si="165"/>
        <v>1.590873277977066E-12</v>
      </c>
      <c r="AM194" s="59">
        <f t="shared" si="113"/>
        <v>290.28747298677405</v>
      </c>
      <c r="AN194" s="59">
        <f ca="1">AVERAGE(OFFSET($AM$3,0,0,'Données projet'!$E$10+1,1))-AVERAGE(OFFSET($H$3,0,0,'Données projet'!$E$10+1,1))</f>
        <v>382.89338473200229</v>
      </c>
      <c r="AO194" s="59">
        <f t="shared" si="144"/>
        <v>360.46248248971744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33.55349458044725</v>
      </c>
      <c r="AV194" s="21">
        <f>EXP(-LN(2)/25)*AV193+(1-EXP(-LN(2)/25))/(LN(2)/25)*Calculateur!AQ194*Calculateur!AS194*VLOOKUP('Données projet'!$B$10,Paramètres!$A$1:$I$89,3,0)*0.475*44/12</f>
        <v>5.0176820168176475</v>
      </c>
      <c r="AW194" s="21">
        <f>EXP(-LN(2)/2)*AW193+(1-EXP(-LN(2)/2))/(LN(2)/2)*AQ194*AT194*VLOOKUP('Données projet'!$B$10,Paramètres!$A$1:$I$89,3,0)*0.475*44/12</f>
        <v>4.4597159142583246E-12</v>
      </c>
      <c r="AX194" s="21">
        <f t="shared" si="166"/>
        <v>38.571176597269357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69.169310814574303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>
        <f>BD194*VLOOKUP('Données projet'!$B$11,Paramètres!$A$1:$I$89,3,0)*VLOOKUP('Données projet'!$B$11,Paramètres!$A$1:$I$89,5,0)</f>
        <v>0</v>
      </c>
      <c r="BF194" s="13" t="e">
        <f t="shared" si="167"/>
        <v>#NUM!</v>
      </c>
      <c r="BG194" s="20" t="e">
        <f t="shared" si="168"/>
        <v>#NUM!</v>
      </c>
      <c r="BH194" s="59" t="e">
        <f t="shared" si="116"/>
        <v>#NUM!</v>
      </c>
      <c r="BI194" s="59">
        <f ca="1">AVERAGE(OFFSET($BH$3,0,0,'Données projet'!$E$11+1,1))-AVERAGE(OFFSET($H$3,0,0,'Données projet'!$E$11+1,1))</f>
        <v>225.75484198243581</v>
      </c>
      <c r="BJ194" s="59">
        <f t="shared" si="146"/>
        <v>199.49566488421061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1.222968942942541</v>
      </c>
      <c r="BQ194" s="21">
        <f>EXP(-LN(2)/25)*BQ193+(1-EXP(-LN(2)/25))/(LN(2)/25)*Calculateur!BL194*Calculateur!BN194*VLOOKUP('Données projet'!$B$11,Paramètres!$A$1:$I$89,3,0)*0.475*44/12</f>
        <v>3.2448969905945111</v>
      </c>
      <c r="BR194" s="21">
        <f>EXP(-LN(2)/2)*BR193+(1-EXP(-LN(2)/2))/(LN(2)/2)*BL194*BO194*VLOOKUP('Données projet'!$B$11,Paramètres!$A$1:$I$89,3,0)*0.475*44/12</f>
        <v>0</v>
      </c>
      <c r="BS194" s="22">
        <f t="shared" si="169"/>
        <v>4.4678659335370519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69.169310814574303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1.1368683772161603E-13</v>
      </c>
      <c r="BZ194" s="13">
        <f>BY194*VLOOKUP('Données projet'!$B$12,Paramètres!$A$1:$I$89,3,0)*VLOOKUP('Données projet'!$B$12,Paramètres!$A$1:$I$89,5,0)</f>
        <v>1.0818439477588981E-13</v>
      </c>
      <c r="CA194" s="13">
        <f t="shared" si="170"/>
        <v>1.6104228458716316E-12</v>
      </c>
      <c r="CB194" s="20">
        <f t="shared" si="171"/>
        <v>2.9932409441277661E-12</v>
      </c>
      <c r="CC194" s="59">
        <f t="shared" si="119"/>
        <v>290.28747298677547</v>
      </c>
      <c r="CD194" s="59">
        <f ca="1">AVERAGE(OFFSET($CC$3,0,0,'Données projet'!$E$12+1,1))-AVERAGE(OFFSET($H$3,0,0,'Données projet'!$E$12+1,1))</f>
        <v>413.9352601863377</v>
      </c>
      <c r="CE194" s="59">
        <f t="shared" si="148"/>
        <v>255.13997349799286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11.272551484442445</v>
      </c>
      <c r="CL194" s="21">
        <f>EXP(-LN(2)/25)*CL193+(1-EXP(-LN(2)/25))/(LN(2)/25)*Calculateur!CG194*Calculateur!CI194*VLOOKUP('Données projet'!$B$12,Paramètres!$A$1:$I$89,3,0)*0.475*44/12</f>
        <v>6.4556919840709712</v>
      </c>
      <c r="CM194" s="21">
        <f>EXP(-LN(2)/2)*CM193+(1-EXP(-LN(2)/2))/(LN(2)/2)*CG194*CJ194*VLOOKUP('Données projet'!$B$12,Paramètres!$A$1:$I$89,3,0)*0.475*44/12</f>
        <v>1.3345908972235955E-9</v>
      </c>
      <c r="CN194" s="22">
        <f t="shared" si="172"/>
        <v>17.728243469848007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69.169310814574303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2.8421709430404007E-14</v>
      </c>
      <c r="CU194" s="17">
        <f>CT194*VLOOKUP('Données projet'!$B$13,Paramètres!$A$1:$I$89,3,0)*VLOOKUP('Données projet'!$B$13,Paramètres!$A$1:$I$89,5,0)</f>
        <v>2.4829205358400945E-14</v>
      </c>
      <c r="CV194" s="13">
        <f t="shared" si="173"/>
        <v>4.3867331143352915E-13</v>
      </c>
      <c r="CW194" s="20">
        <f t="shared" si="174"/>
        <v>8.0726688341261168E-13</v>
      </c>
      <c r="CX194" s="59">
        <f t="shared" si="122"/>
        <v>290.28747298677325</v>
      </c>
      <c r="CY194" s="59">
        <f ca="1">AVERAGE(OFFSET($CX$3,0,0,'Données projet'!$E$13+1,1))-AVERAGE(OFFSET($H$3,0,0,'Données projet'!$E$13+1,1))</f>
        <v>280.59827778697775</v>
      </c>
      <c r="CZ194" s="59">
        <f t="shared" si="150"/>
        <v>270.86588231964726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>
        <f>EXP(-LN(2)/35)*DF193+(1-EXP(-LN(2)/35))/(LN(2)/35)*DB194*DC194*VLOOKUP('Données projet'!$B$13,Paramètres!$A$1:$I$89,3,0)*0.475*44/12</f>
        <v>3.6613156626499048</v>
      </c>
      <c r="DG194" s="21">
        <f>EXP(-LN(2)/25)*DG193+(1-EXP(-LN(2)/25))/(LN(2)/25)*Calculateur!DB194*Calculateur!DD194*VLOOKUP('Données projet'!$B$13,Paramètres!$A$1:$I$89,3,0)*0.475*44/12</f>
        <v>1.6814027112914831</v>
      </c>
      <c r="DH194" s="21">
        <f>EXP(-LN(2)/2)*DH193+(1-EXP(-LN(2)/2))/(LN(2)/2)*DB194*DE194*VLOOKUP('Données projet'!$B$13,Paramètres!$A$1:$I$89,3,0)*0.475*44/12</f>
        <v>8.919389411745313E-16</v>
      </c>
      <c r="DI194" s="22">
        <f t="shared" si="175"/>
        <v>5.3427183739413886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69.169310814574303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>
        <f>DO194*VLOOKUP('Données projet'!$B$14,Paramètres!$A$1:$I$89,3,0)*VLOOKUP('Données projet'!$B$14,Paramètres!$A$1:$I$89,5,0)</f>
        <v>0</v>
      </c>
      <c r="DQ194" s="13" t="e">
        <f t="shared" si="176"/>
        <v>#NUM!</v>
      </c>
      <c r="DR194" s="20" t="e">
        <f t="shared" si="177"/>
        <v>#NUM!</v>
      </c>
      <c r="DS194" s="59" t="e">
        <f t="shared" si="125"/>
        <v>#NUM!</v>
      </c>
      <c r="DT194" s="59">
        <f ca="1">AVERAGE(OFFSET($DS$3,0,0,'Données projet'!$E$14+1,1))-AVERAGE(OFFSET($H$3,0,0,'Données projet'!$E$14+1,1))</f>
        <v>211.42385430331873</v>
      </c>
      <c r="DU194" s="59">
        <f t="shared" si="152"/>
        <v>146.84623106782686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>
        <f>EXP(-LN(2)/35)*EA193+(1-EXP(-LN(2)/35))/(LN(2)/35)*DW194*DX194*VLOOKUP('Données projet'!$B$14,Paramètres!$A$1:$I$89,3,0)*0.475*44/12</f>
        <v>5.3857873522382249</v>
      </c>
      <c r="EB194" s="21">
        <f>EXP(-LN(2)/25)*EB193+(1-EXP(-LN(2)/25))/(LN(2)/25)*Calculateur!DW194*Calculateur!DY194*VLOOKUP('Données projet'!$B$14,Paramètres!$A$1:$I$89,3,0)*0.475*44/12</f>
        <v>3.0969075571628299</v>
      </c>
      <c r="EC194" s="21">
        <f>EXP(-LN(2)/2)*EC193+(1-EXP(-LN(2)/2))/(LN(2)/2)*DW194*DZ194*VLOOKUP('Données projet'!$B$14,Paramètres!$A$1:$I$89,3,0)*0.475*44/12</f>
        <v>1.0688319322230157E-10</v>
      </c>
      <c r="ED194" s="22">
        <f t="shared" si="178"/>
        <v>8.4826949095079378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69.169310814574303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-9.9475983006414026E-14</v>
      </c>
      <c r="EK194" s="17">
        <f>EJ194*VLOOKUP('Données projet'!$B$15,Paramètres!$A$1:$I$89,3,0)*VLOOKUP('Données projet'!$B$15,Paramètres!$A$1:$I$89,5,0)</f>
        <v>-1.0707594810810407E-13</v>
      </c>
      <c r="EL194" s="13" t="e">
        <f t="shared" si="179"/>
        <v>#NUM!</v>
      </c>
      <c r="EM194" s="20" t="e">
        <f t="shared" si="180"/>
        <v>#NUM!</v>
      </c>
      <c r="EN194" s="59" t="e">
        <f t="shared" si="128"/>
        <v>#NUM!</v>
      </c>
      <c r="EO194" s="59">
        <f ca="1">AVERAGE(OFFSET($EN$3,0,0,'Données projet'!$E$15+1,1))-AVERAGE(OFFSET($H$3,0,0,'Données projet'!$E$15+1,1))</f>
        <v>212.00478362779876</v>
      </c>
      <c r="EP194" s="59">
        <f t="shared" si="154"/>
        <v>133.62262474506707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>
        <f>EXP(-LN(2)/35)*EV193+(1-EXP(-LN(2)/35))/(LN(2)/35)*ER194*ES194*VLOOKUP('Données projet'!$B$15,Paramètres!$A$1:$I$89,3,0)*0.475*44/12</f>
        <v>3.8386382303459756</v>
      </c>
      <c r="EW194" s="21">
        <f>EXP(-LN(2)/25)*EW193+(1-EXP(-LN(2)/25))/(LN(2)/25)*Calculateur!ER194*Calculateur!ET194*VLOOKUP('Données projet'!$B$15,Paramètres!$A$1:$I$89,3,0)*0.475*44/12</f>
        <v>2.8589970313791646</v>
      </c>
      <c r="EX194" s="21">
        <f>EXP(-LN(2)/2)*EX193+(1-EXP(-LN(2)/2))/(LN(2)/2)*ER194*EU194*VLOOKUP('Données projet'!$B$15,Paramètres!$A$1:$I$89,3,0)*0.475*44/12</f>
        <v>6.469410123606317E-10</v>
      </c>
      <c r="EY194" s="22">
        <f t="shared" si="181"/>
        <v>6.6976352623720814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69.169310814574303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-9.9475983006414026E-14</v>
      </c>
      <c r="FF194" s="17">
        <f>FE194*VLOOKUP('Données projet'!$B$16,Paramètres!$A$1:$I$89,3,0)*VLOOKUP('Données projet'!$B$16,Paramètres!$A$1:$I$89,5,0)</f>
        <v>-9.6213170763803652E-14</v>
      </c>
      <c r="FG194" s="13" t="e">
        <f t="shared" si="182"/>
        <v>#NUM!</v>
      </c>
      <c r="FH194" s="20" t="e">
        <f t="shared" si="183"/>
        <v>#NUM!</v>
      </c>
      <c r="FI194" s="59" t="e">
        <f t="shared" si="131"/>
        <v>#NUM!</v>
      </c>
      <c r="FJ194" s="59">
        <f ca="1">AVERAGE(OFFSET($FI$3,0,0,'Données projet'!$E$16+1,1))-AVERAGE(OFFSET($H$3,0,0,'Données projet'!$E$16+1,1))</f>
        <v>196.65742339093146</v>
      </c>
      <c r="FK194" s="59">
        <f t="shared" si="156"/>
        <v>125.41980634506001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>
        <f>EXP(-LN(2)/35)*FQ193+(1-EXP(-LN(2)/35))/(LN(2)/35)*FM194*FN194*VLOOKUP('Données projet'!$B$16,Paramètres!$A$1:$I$89,3,0)*0.475*44/12</f>
        <v>3.4492111634992835</v>
      </c>
      <c r="FR194" s="21">
        <f>EXP(-LN(2)/25)*FR193+(1-EXP(-LN(2)/25))/(LN(2)/25)*Calculateur!FM194*Calculateur!FO194*VLOOKUP('Données projet'!$B$16,Paramètres!$A$1:$I$89,3,0)*0.475*44/12</f>
        <v>2.5689538542827299</v>
      </c>
      <c r="FS194" s="21">
        <f>EXP(-LN(2)/2)*FS193+(1-EXP(-LN(2)/2))/(LN(2)/2)*FM194*FP194*VLOOKUP('Données projet'!$B$16,Paramètres!$A$1:$I$89,3,0)*0.475*44/12</f>
        <v>5.8130931545447803E-10</v>
      </c>
      <c r="FT194" s="22">
        <f t="shared" si="184"/>
        <v>6.0181650183633231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69.169310814574303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69.169310814574303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>
      <c r="A195" s="10">
        <f t="shared" si="161"/>
        <v>192</v>
      </c>
      <c r="B195" s="73">
        <f>'Scénario référence'!$B$16*5+'Scénario référence'!$B$17*0+'Scénario référence'!$B$18*5</f>
        <v>4.6999999999999993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10.243584000000029</v>
      </c>
      <c r="D195" s="11">
        <f t="shared" si="140"/>
        <v>3.6007037662480723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22.611424509279821</v>
      </c>
      <c r="H195" s="67">
        <f t="shared" si="110"/>
        <v>211.84546785954879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69.183721414798654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-2.2737367544323206E-13</v>
      </c>
      <c r="O195" s="13">
        <f>N195*VLOOKUP('Données projet'!$B$9,Paramètres!$A$1:$I$89,3,0)*VLOOKUP('Données projet'!$B$9,Paramètres!$A$1:$I$89,5,0)</f>
        <v>-1.3596945791505279E-13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366.93249569585623</v>
      </c>
      <c r="T195" s="59">
        <f t="shared" si="142"/>
        <v>272.47262353368501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16.678385329677063</v>
      </c>
      <c r="AA195" s="21">
        <f>EXP(-LN(2)/25)*AA194+(1-EXP(-LN(2)/25))/(LN(2)/25)*Calculateur!V195*Calculateur!X195*VLOOKUP('Données projet'!$B$9,Paramètres!$A$1:$I$89,3,0)*0.475*44/12</f>
        <v>2.3187223406477417</v>
      </c>
      <c r="AB195" s="21">
        <f>EXP(-LN(2)/2)*AB194+(1-EXP(-LN(2)/2))/(LN(2)/2)*V195*Y195*VLOOKUP('Données projet'!$B$9,Paramètres!$A$1:$I$89,3,0)*0.475*44/12</f>
        <v>9.8139056327618416E-16</v>
      </c>
      <c r="AC195" s="22">
        <f t="shared" si="163"/>
        <v>18.997107670324805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69.183721414798654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1.1368683772161603E-13</v>
      </c>
      <c r="AJ195" s="13">
        <f>AI195*VLOOKUP('Données projet'!$B$10,Paramètres!$A$1:$I$89,3,0)*VLOOKUP('Données projet'!$B$10,Paramètres!$A$1:$I$89,5,0)</f>
        <v>5.3205440053716299E-14</v>
      </c>
      <c r="AK195" s="13">
        <f t="shared" si="164"/>
        <v>8.602146238565607E-13</v>
      </c>
      <c r="AL195" s="20">
        <f t="shared" si="165"/>
        <v>1.590873277977066E-12</v>
      </c>
      <c r="AM195" s="59">
        <f t="shared" si="113"/>
        <v>290.34031185426335</v>
      </c>
      <c r="AN195" s="59">
        <f ca="1">AVERAGE(OFFSET($AM$3,0,0,'Données projet'!$E$10+1,1))-AVERAGE(OFFSET($H$3,0,0,'Données projet'!$E$10+1,1))</f>
        <v>382.89338473200229</v>
      </c>
      <c r="AO195" s="59">
        <f t="shared" si="144"/>
        <v>360.46248248971744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32.895531017335564</v>
      </c>
      <c r="AV195" s="21">
        <f>EXP(-LN(2)/25)*AV194+(1-EXP(-LN(2)/25))/(LN(2)/25)*Calculateur!AQ195*Calculateur!AS195*VLOOKUP('Données projet'!$B$10,Paramètres!$A$1:$I$89,3,0)*0.475*44/12</f>
        <v>4.8804732381993396</v>
      </c>
      <c r="AW195" s="21">
        <f>EXP(-LN(2)/2)*AW194+(1-EXP(-LN(2)/2))/(LN(2)/2)*AQ195*AT195*VLOOKUP('Données projet'!$B$10,Paramètres!$A$1:$I$89,3,0)*0.475*44/12</f>
        <v>3.1534953651376249E-12</v>
      </c>
      <c r="AX195" s="21">
        <f t="shared" si="166"/>
        <v>37.776004255538055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69.183721414798654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>
        <f>BD195*VLOOKUP('Données projet'!$B$11,Paramètres!$A$1:$I$89,3,0)*VLOOKUP('Données projet'!$B$11,Paramètres!$A$1:$I$89,5,0)</f>
        <v>0</v>
      </c>
      <c r="BF195" s="13" t="e">
        <f t="shared" si="167"/>
        <v>#NUM!</v>
      </c>
      <c r="BG195" s="20" t="e">
        <f t="shared" si="168"/>
        <v>#NUM!</v>
      </c>
      <c r="BH195" s="59" t="e">
        <f t="shared" si="116"/>
        <v>#NUM!</v>
      </c>
      <c r="BI195" s="59">
        <f ca="1">AVERAGE(OFFSET($BH$3,0,0,'Données projet'!$E$11+1,1))-AVERAGE(OFFSET($H$3,0,0,'Données projet'!$E$11+1,1))</f>
        <v>225.75484198243581</v>
      </c>
      <c r="BJ195" s="59">
        <f t="shared" si="146"/>
        <v>199.49566488421061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1.1989872679088378</v>
      </c>
      <c r="BQ195" s="21">
        <f>EXP(-LN(2)/25)*BQ194+(1-EXP(-LN(2)/25))/(LN(2)/25)*Calculateur!BL195*Calculateur!BN195*VLOOKUP('Données projet'!$B$11,Paramètres!$A$1:$I$89,3,0)*0.475*44/12</f>
        <v>3.1561651117449876</v>
      </c>
      <c r="BR195" s="21">
        <f>EXP(-LN(2)/2)*BR194+(1-EXP(-LN(2)/2))/(LN(2)/2)*BL195*BO195*VLOOKUP('Données projet'!$B$11,Paramètres!$A$1:$I$89,3,0)*0.475*44/12</f>
        <v>0</v>
      </c>
      <c r="BS195" s="22">
        <f t="shared" si="169"/>
        <v>4.3551523796538252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69.183721414798654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1.1368683772161603E-13</v>
      </c>
      <c r="BZ195" s="13">
        <f>BY195*VLOOKUP('Données projet'!$B$12,Paramètres!$A$1:$I$89,3,0)*VLOOKUP('Données projet'!$B$12,Paramètres!$A$1:$I$89,5,0)</f>
        <v>1.0818439477588981E-13</v>
      </c>
      <c r="CA195" s="13">
        <f t="shared" si="170"/>
        <v>1.6104228458716316E-12</v>
      </c>
      <c r="CB195" s="20">
        <f t="shared" si="171"/>
        <v>2.9932409441277661E-12</v>
      </c>
      <c r="CC195" s="59">
        <f t="shared" si="119"/>
        <v>290.34031185426477</v>
      </c>
      <c r="CD195" s="59">
        <f ca="1">AVERAGE(OFFSET($CC$3,0,0,'Données projet'!$E$12+1,1))-AVERAGE(OFFSET($H$3,0,0,'Données projet'!$E$12+1,1))</f>
        <v>413.9352601863377</v>
      </c>
      <c r="CE195" s="59">
        <f t="shared" si="148"/>
        <v>255.13997349799286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11.051503625410028</v>
      </c>
      <c r="CL195" s="21">
        <f>EXP(-LN(2)/25)*CL194+(1-EXP(-LN(2)/25))/(LN(2)/25)*Calculateur!CG195*Calculateur!CI195*VLOOKUP('Données projet'!$B$12,Paramètres!$A$1:$I$89,3,0)*0.475*44/12</f>
        <v>6.2791607472764639</v>
      </c>
      <c r="CM195" s="21">
        <f>EXP(-LN(2)/2)*CM194+(1-EXP(-LN(2)/2))/(LN(2)/2)*CG195*CJ195*VLOOKUP('Données projet'!$B$12,Paramètres!$A$1:$I$89,3,0)*0.475*44/12</f>
        <v>9.4369827353664308E-10</v>
      </c>
      <c r="CN195" s="22">
        <f t="shared" si="172"/>
        <v>17.330664373630189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69.183721414798654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2.8421709430404007E-14</v>
      </c>
      <c r="CU195" s="17">
        <f>CT195*VLOOKUP('Données projet'!$B$13,Paramètres!$A$1:$I$89,3,0)*VLOOKUP('Données projet'!$B$13,Paramètres!$A$1:$I$89,5,0)</f>
        <v>2.4829205358400945E-14</v>
      </c>
      <c r="CV195" s="13">
        <f t="shared" si="173"/>
        <v>4.3867331143352915E-13</v>
      </c>
      <c r="CW195" s="20">
        <f t="shared" si="174"/>
        <v>8.0726688341261168E-13</v>
      </c>
      <c r="CX195" s="59">
        <f t="shared" si="122"/>
        <v>290.34031185426255</v>
      </c>
      <c r="CY195" s="59">
        <f ca="1">AVERAGE(OFFSET($CX$3,0,0,'Données projet'!$E$13+1,1))-AVERAGE(OFFSET($H$3,0,0,'Données projet'!$E$13+1,1))</f>
        <v>280.59827778697775</v>
      </c>
      <c r="CZ195" s="59">
        <f t="shared" si="150"/>
        <v>270.86588231964726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>
        <f>EXP(-LN(2)/35)*DF194+(1-EXP(-LN(2)/35))/(LN(2)/35)*DB195*DC195*VLOOKUP('Données projet'!$B$13,Paramètres!$A$1:$I$89,3,0)*0.475*44/12</f>
        <v>3.5895194956873859</v>
      </c>
      <c r="DG195" s="21">
        <f>EXP(-LN(2)/25)*DG194+(1-EXP(-LN(2)/25))/(LN(2)/25)*Calculateur!DB195*Calculateur!DD195*VLOOKUP('Données projet'!$B$13,Paramètres!$A$1:$I$89,3,0)*0.475*44/12</f>
        <v>1.6354246657300917</v>
      </c>
      <c r="DH195" s="21">
        <f>EXP(-LN(2)/2)*DH194+(1-EXP(-LN(2)/2))/(LN(2)/2)*DB195*DE195*VLOOKUP('Données projet'!$B$13,Paramètres!$A$1:$I$89,3,0)*0.475*44/12</f>
        <v>6.306960737088602E-16</v>
      </c>
      <c r="DI195" s="22">
        <f t="shared" si="175"/>
        <v>5.2249441614174783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69.183721414798654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>
        <f>DO195*VLOOKUP('Données projet'!$B$14,Paramètres!$A$1:$I$89,3,0)*VLOOKUP('Données projet'!$B$14,Paramètres!$A$1:$I$89,5,0)</f>
        <v>0</v>
      </c>
      <c r="DQ195" s="13" t="e">
        <f t="shared" si="176"/>
        <v>#NUM!</v>
      </c>
      <c r="DR195" s="20" t="e">
        <f t="shared" si="177"/>
        <v>#NUM!</v>
      </c>
      <c r="DS195" s="59" t="e">
        <f t="shared" si="125"/>
        <v>#NUM!</v>
      </c>
      <c r="DT195" s="59">
        <f ca="1">AVERAGE(OFFSET($DS$3,0,0,'Données projet'!$E$14+1,1))-AVERAGE(OFFSET($H$3,0,0,'Données projet'!$E$14+1,1))</f>
        <v>211.42385430331873</v>
      </c>
      <c r="DU195" s="59">
        <f t="shared" si="152"/>
        <v>146.84623106782686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>
        <f>EXP(-LN(2)/35)*EA194+(1-EXP(-LN(2)/35))/(LN(2)/35)*DW195*DX195*VLOOKUP('Données projet'!$B$14,Paramètres!$A$1:$I$89,3,0)*0.475*44/12</f>
        <v>5.2801753472667512</v>
      </c>
      <c r="EB195" s="21">
        <f>EXP(-LN(2)/25)*EB194+(1-EXP(-LN(2)/25))/(LN(2)/25)*Calculateur!DW195*Calculateur!DY195*VLOOKUP('Données projet'!$B$14,Paramètres!$A$1:$I$89,3,0)*0.475*44/12</f>
        <v>3.0122224571529221</v>
      </c>
      <c r="EC195" s="21">
        <f>EXP(-LN(2)/2)*EC194+(1-EXP(-LN(2)/2))/(LN(2)/2)*DW195*DZ195*VLOOKUP('Données projet'!$B$14,Paramètres!$A$1:$I$89,3,0)*0.475*44/12</f>
        <v>7.5577830722361474E-11</v>
      </c>
      <c r="ED195" s="22">
        <f t="shared" si="178"/>
        <v>8.292397804495252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69.183721414798654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-9.9475983006414026E-14</v>
      </c>
      <c r="EK195" s="17">
        <f>EJ195*VLOOKUP('Données projet'!$B$15,Paramètres!$A$1:$I$89,3,0)*VLOOKUP('Données projet'!$B$15,Paramètres!$A$1:$I$89,5,0)</f>
        <v>-1.0707594810810407E-13</v>
      </c>
      <c r="EL195" s="13" t="e">
        <f t="shared" si="179"/>
        <v>#NUM!</v>
      </c>
      <c r="EM195" s="20" t="e">
        <f t="shared" si="180"/>
        <v>#NUM!</v>
      </c>
      <c r="EN195" s="59" t="e">
        <f t="shared" si="128"/>
        <v>#NUM!</v>
      </c>
      <c r="EO195" s="59">
        <f ca="1">AVERAGE(OFFSET($EN$3,0,0,'Données projet'!$E$15+1,1))-AVERAGE(OFFSET($H$3,0,0,'Données projet'!$E$15+1,1))</f>
        <v>212.00478362779876</v>
      </c>
      <c r="EP195" s="59">
        <f t="shared" si="154"/>
        <v>133.62262474506707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>
        <f>EXP(-LN(2)/35)*EV194+(1-EXP(-LN(2)/35))/(LN(2)/35)*ER195*ES195*VLOOKUP('Données projet'!$B$15,Paramètres!$A$1:$I$89,3,0)*0.475*44/12</f>
        <v>3.7633648759870235</v>
      </c>
      <c r="EW195" s="21">
        <f>EXP(-LN(2)/25)*EW194+(1-EXP(-LN(2)/25))/(LN(2)/25)*Calculateur!ER195*Calculateur!ET195*VLOOKUP('Données projet'!$B$15,Paramètres!$A$1:$I$89,3,0)*0.475*44/12</f>
        <v>2.780817607207982</v>
      </c>
      <c r="EX195" s="21">
        <f>EXP(-LN(2)/2)*EX194+(1-EXP(-LN(2)/2))/(LN(2)/2)*ER195*EU195*VLOOKUP('Données projet'!$B$15,Paramètres!$A$1:$I$89,3,0)*0.475*44/12</f>
        <v>4.5745637686789275E-10</v>
      </c>
      <c r="EY195" s="22">
        <f t="shared" si="181"/>
        <v>6.5441824836524614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69.183721414798654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-9.9475983006414026E-14</v>
      </c>
      <c r="FF195" s="17">
        <f>FE195*VLOOKUP('Données projet'!$B$16,Paramètres!$A$1:$I$89,3,0)*VLOOKUP('Données projet'!$B$16,Paramètres!$A$1:$I$89,5,0)</f>
        <v>-9.6213170763803652E-14</v>
      </c>
      <c r="FG195" s="13" t="e">
        <f t="shared" si="182"/>
        <v>#NUM!</v>
      </c>
      <c r="FH195" s="20" t="e">
        <f t="shared" si="183"/>
        <v>#NUM!</v>
      </c>
      <c r="FI195" s="59" t="e">
        <f t="shared" si="131"/>
        <v>#NUM!</v>
      </c>
      <c r="FJ195" s="59">
        <f ca="1">AVERAGE(OFFSET($FI$3,0,0,'Données projet'!$E$16+1,1))-AVERAGE(OFFSET($H$3,0,0,'Données projet'!$E$16+1,1))</f>
        <v>196.65742339093146</v>
      </c>
      <c r="FK195" s="59">
        <f t="shared" si="156"/>
        <v>125.41980634506001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>
        <f>EXP(-LN(2)/35)*FQ194+(1-EXP(-LN(2)/35))/(LN(2)/35)*FM195*FN195*VLOOKUP('Données projet'!$B$16,Paramètres!$A$1:$I$89,3,0)*0.475*44/12</f>
        <v>3.3815742363941381</v>
      </c>
      <c r="FR195" s="21">
        <f>EXP(-LN(2)/25)*FR194+(1-EXP(-LN(2)/25))/(LN(2)/25)*Calculateur!FM195*Calculateur!FO195*VLOOKUP('Données projet'!$B$16,Paramètres!$A$1:$I$89,3,0)*0.475*44/12</f>
        <v>2.4987056760419568</v>
      </c>
      <c r="FS195" s="21">
        <f>EXP(-LN(2)/2)*FS194+(1-EXP(-LN(2)/2))/(LN(2)/2)*FM195*FP195*VLOOKUP('Données projet'!$B$16,Paramètres!$A$1:$I$89,3,0)*0.475*44/12</f>
        <v>4.1104775892477133E-10</v>
      </c>
      <c r="FT195" s="22">
        <f t="shared" si="184"/>
        <v>5.8802799128471426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69.183721414798654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69.183721414798654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>
      <c r="A196" s="10">
        <f t="shared" si="161"/>
        <v>193</v>
      </c>
      <c r="B196" s="73">
        <f>'Scénario référence'!$B$16*5+'Scénario référence'!$B$17*0+'Scénario référence'!$B$18*5</f>
        <v>4.6999999999999993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10.296936000000029</v>
      </c>
      <c r="D196" s="11">
        <f t="shared" si="140"/>
        <v>3.6172694917426158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22.643807455824664</v>
      </c>
      <c r="H196" s="67">
        <f t="shared" ref="H196:H203" si="192">(B196+E196+F196)*44/12+(C196+D196)*0.475*44/12</f>
        <v>211.96724123145179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69.197882023326358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-2.2737367544323206E-13</v>
      </c>
      <c r="O196" s="13">
        <f>N196*VLOOKUP('Données projet'!$B$9,Paramètres!$A$1:$I$89,3,0)*VLOOKUP('Données projet'!$B$9,Paramètres!$A$1:$I$89,5,0)</f>
        <v>-1.3596945791505279E-13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366.93249569585623</v>
      </c>
      <c r="T196" s="59">
        <f t="shared" si="142"/>
        <v>272.47262353368501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16.351332366172667</v>
      </c>
      <c r="AA196" s="21">
        <f>EXP(-LN(2)/25)*AA195+(1-EXP(-LN(2)/25))/(LN(2)/25)*Calculateur!V196*Calculateur!X196*VLOOKUP('Données projet'!$B$9,Paramètres!$A$1:$I$89,3,0)*0.475*44/12</f>
        <v>2.2553167563064207</v>
      </c>
      <c r="AB196" s="21">
        <f>EXP(-LN(2)/2)*AB195+(1-EXP(-LN(2)/2))/(LN(2)/2)*V196*Y196*VLOOKUP('Données projet'!$B$9,Paramètres!$A$1:$I$89,3,0)*0.475*44/12</f>
        <v>6.9394792228507538E-16</v>
      </c>
      <c r="AC196" s="22">
        <f t="shared" si="163"/>
        <v>18.606649122479087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69.197882023326358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1.1368683772161603E-13</v>
      </c>
      <c r="AJ196" s="13">
        <f>AI196*VLOOKUP('Données projet'!$B$10,Paramètres!$A$1:$I$89,3,0)*VLOOKUP('Données projet'!$B$10,Paramètres!$A$1:$I$89,5,0)</f>
        <v>5.3205440053716299E-14</v>
      </c>
      <c r="AK196" s="13">
        <f t="shared" si="164"/>
        <v>8.602146238565607E-13</v>
      </c>
      <c r="AL196" s="20">
        <f t="shared" si="165"/>
        <v>1.590873277977066E-12</v>
      </c>
      <c r="AM196" s="59">
        <f t="shared" ref="AM196:AM203" si="193">AL196+(AD196+AE196)*44/12</f>
        <v>290.39223408553158</v>
      </c>
      <c r="AN196" s="59">
        <f ca="1">AVERAGE(OFFSET($AM$3,0,0,'Données projet'!$E$10+1,1))-AVERAGE(OFFSET($H$3,0,0,'Données projet'!$E$10+1,1))</f>
        <v>382.89338473200229</v>
      </c>
      <c r="AO196" s="59">
        <f t="shared" si="144"/>
        <v>360.46248248971744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32.250469718378348</v>
      </c>
      <c r="AV196" s="21">
        <f>EXP(-LN(2)/25)*AV195+(1-EXP(-LN(2)/25))/(LN(2)/25)*Calculateur!AQ196*Calculateur!AS196*VLOOKUP('Données projet'!$B$10,Paramètres!$A$1:$I$89,3,0)*0.475*44/12</f>
        <v>4.7470164408478457</v>
      </c>
      <c r="AW196" s="21">
        <f>EXP(-LN(2)/2)*AW195+(1-EXP(-LN(2)/2))/(LN(2)/2)*AQ196*AT196*VLOOKUP('Données projet'!$B$10,Paramètres!$A$1:$I$89,3,0)*0.475*44/12</f>
        <v>2.2298579571291623E-12</v>
      </c>
      <c r="AX196" s="21">
        <f t="shared" si="166"/>
        <v>36.997486159228423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69.197882023326358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>
        <f>BD196*VLOOKUP('Données projet'!$B$11,Paramètres!$A$1:$I$89,3,0)*VLOOKUP('Données projet'!$B$11,Paramètres!$A$1:$I$89,5,0)</f>
        <v>0</v>
      </c>
      <c r="BF196" s="13" t="e">
        <f t="shared" si="167"/>
        <v>#NUM!</v>
      </c>
      <c r="BG196" s="20" t="e">
        <f t="shared" si="168"/>
        <v>#NUM!</v>
      </c>
      <c r="BH196" s="59" t="e">
        <f t="shared" ref="BH196:BH203" si="194">BG196+(AY196+AZ196)*44/12</f>
        <v>#NUM!</v>
      </c>
      <c r="BI196" s="59">
        <f ca="1">AVERAGE(OFFSET($BH$3,0,0,'Données projet'!$E$11+1,1))-AVERAGE(OFFSET($H$3,0,0,'Données projet'!$E$11+1,1))</f>
        <v>225.75484198243581</v>
      </c>
      <c r="BJ196" s="59">
        <f t="shared" si="146"/>
        <v>199.49566488421061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1.1754758588951681</v>
      </c>
      <c r="BQ196" s="21">
        <f>EXP(-LN(2)/25)*BQ195+(1-EXP(-LN(2)/25))/(LN(2)/25)*Calculateur!BL196*Calculateur!BN196*VLOOKUP('Données projet'!$B$11,Paramètres!$A$1:$I$89,3,0)*0.475*44/12</f>
        <v>3.0698596107888112</v>
      </c>
      <c r="BR196" s="21">
        <f>EXP(-LN(2)/2)*BR195+(1-EXP(-LN(2)/2))/(LN(2)/2)*BL196*BO196*VLOOKUP('Données projet'!$B$11,Paramètres!$A$1:$I$89,3,0)*0.475*44/12</f>
        <v>0</v>
      </c>
      <c r="BS196" s="22">
        <f t="shared" si="169"/>
        <v>4.2453354696839796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69.197882023326358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1.1368683772161603E-13</v>
      </c>
      <c r="BZ196" s="13">
        <f>BY196*VLOOKUP('Données projet'!$B$12,Paramètres!$A$1:$I$89,3,0)*VLOOKUP('Données projet'!$B$12,Paramètres!$A$1:$I$89,5,0)</f>
        <v>1.0818439477588981E-13</v>
      </c>
      <c r="CA196" s="13">
        <f t="shared" si="170"/>
        <v>1.6104228458716316E-12</v>
      </c>
      <c r="CB196" s="20">
        <f t="shared" si="171"/>
        <v>2.9932409441277661E-12</v>
      </c>
      <c r="CC196" s="59">
        <f t="shared" ref="CC196:CC203" si="195">CB196+(BT196+BU196)*44/12</f>
        <v>290.392234085533</v>
      </c>
      <c r="CD196" s="59">
        <f ca="1">AVERAGE(OFFSET($CC$3,0,0,'Données projet'!$E$12+1,1))-AVERAGE(OFFSET($H$3,0,0,'Données projet'!$E$12+1,1))</f>
        <v>413.9352601863377</v>
      </c>
      <c r="CE196" s="59">
        <f t="shared" si="148"/>
        <v>255.13997349799286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10.834790380067355</v>
      </c>
      <c r="CL196" s="21">
        <f>EXP(-LN(2)/25)*CL195+(1-EXP(-LN(2)/25))/(LN(2)/25)*Calculateur!CG196*Calculateur!CI196*VLOOKUP('Données projet'!$B$12,Paramètres!$A$1:$I$89,3,0)*0.475*44/12</f>
        <v>6.1074567664354769</v>
      </c>
      <c r="CM196" s="21">
        <f>EXP(-LN(2)/2)*CM195+(1-EXP(-LN(2)/2))/(LN(2)/2)*CG196*CJ196*VLOOKUP('Données projet'!$B$12,Paramètres!$A$1:$I$89,3,0)*0.475*44/12</f>
        <v>6.6729544861179774E-10</v>
      </c>
      <c r="CN196" s="22">
        <f t="shared" si="172"/>
        <v>16.942247147170129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69.197882023326358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2.8421709430404007E-14</v>
      </c>
      <c r="CU196" s="17">
        <f>CT196*VLOOKUP('Données projet'!$B$13,Paramètres!$A$1:$I$89,3,0)*VLOOKUP('Données projet'!$B$13,Paramètres!$A$1:$I$89,5,0)</f>
        <v>2.4829205358400945E-14</v>
      </c>
      <c r="CV196" s="13">
        <f t="shared" si="173"/>
        <v>4.3867331143352915E-13</v>
      </c>
      <c r="CW196" s="20">
        <f t="shared" si="174"/>
        <v>8.0726688341261168E-13</v>
      </c>
      <c r="CX196" s="59">
        <f t="shared" ref="CX196:CX203" si="196">CW196+(CO196+CP196)*44/12</f>
        <v>290.39223408553079</v>
      </c>
      <c r="CY196" s="59">
        <f ca="1">AVERAGE(OFFSET($CX$3,0,0,'Données projet'!$E$13+1,1))-AVERAGE(OFFSET($H$3,0,0,'Données projet'!$E$13+1,1))</f>
        <v>280.59827778697775</v>
      </c>
      <c r="CZ196" s="59">
        <f t="shared" si="150"/>
        <v>270.86588231964726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>
        <f>EXP(-LN(2)/35)*DF195+(1-EXP(-LN(2)/35))/(LN(2)/35)*DB196*DC196*VLOOKUP('Données projet'!$B$13,Paramètres!$A$1:$I$89,3,0)*0.475*44/12</f>
        <v>3.5191312077676642</v>
      </c>
      <c r="DG196" s="21">
        <f>EXP(-LN(2)/25)*DG195+(1-EXP(-LN(2)/25))/(LN(2)/25)*Calculateur!DB196*Calculateur!DD196*VLOOKUP('Données projet'!$B$13,Paramètres!$A$1:$I$89,3,0)*0.475*44/12</f>
        <v>1.590703892242457</v>
      </c>
      <c r="DH196" s="21">
        <f>EXP(-LN(2)/2)*DH195+(1-EXP(-LN(2)/2))/(LN(2)/2)*DB196*DE196*VLOOKUP('Données projet'!$B$13,Paramètres!$A$1:$I$89,3,0)*0.475*44/12</f>
        <v>4.4596947058726565E-16</v>
      </c>
      <c r="DI196" s="22">
        <f t="shared" si="175"/>
        <v>5.1098351000101223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69.197882023326358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>
        <f>DO196*VLOOKUP('Données projet'!$B$14,Paramètres!$A$1:$I$89,3,0)*VLOOKUP('Données projet'!$B$14,Paramètres!$A$1:$I$89,5,0)</f>
        <v>0</v>
      </c>
      <c r="DQ196" s="13" t="e">
        <f t="shared" si="176"/>
        <v>#NUM!</v>
      </c>
      <c r="DR196" s="20" t="e">
        <f t="shared" si="177"/>
        <v>#NUM!</v>
      </c>
      <c r="DS196" s="59" t="e">
        <f t="shared" ref="DS196:DS203" si="197">DR196+(DJ196+DK196)*44/12</f>
        <v>#NUM!</v>
      </c>
      <c r="DT196" s="59">
        <f ca="1">AVERAGE(OFFSET($DS$3,0,0,'Données projet'!$E$14+1,1))-AVERAGE(OFFSET($H$3,0,0,'Données projet'!$E$14+1,1))</f>
        <v>211.42385430331873</v>
      </c>
      <c r="DU196" s="59">
        <f t="shared" si="152"/>
        <v>146.84623106782686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>
        <f>EXP(-LN(2)/35)*EA195+(1-EXP(-LN(2)/35))/(LN(2)/35)*DW196*DX196*VLOOKUP('Données projet'!$B$14,Paramètres!$A$1:$I$89,3,0)*0.475*44/12</f>
        <v>5.1766343292958057</v>
      </c>
      <c r="EB196" s="21">
        <f>EXP(-LN(2)/25)*EB195+(1-EXP(-LN(2)/25))/(LN(2)/25)*Calculateur!DW196*Calculateur!DY196*VLOOKUP('Données projet'!$B$14,Paramètres!$A$1:$I$89,3,0)*0.475*44/12</f>
        <v>2.9298530756561809</v>
      </c>
      <c r="EC196" s="21">
        <f>EXP(-LN(2)/2)*EC195+(1-EXP(-LN(2)/2))/(LN(2)/2)*DW196*DZ196*VLOOKUP('Données projet'!$B$14,Paramètres!$A$1:$I$89,3,0)*0.475*44/12</f>
        <v>5.3441596611150785E-11</v>
      </c>
      <c r="ED196" s="22">
        <f t="shared" si="178"/>
        <v>8.1064874050054279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69.197882023326358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-9.9475983006414026E-14</v>
      </c>
      <c r="EK196" s="17">
        <f>EJ196*VLOOKUP('Données projet'!$B$15,Paramètres!$A$1:$I$89,3,0)*VLOOKUP('Données projet'!$B$15,Paramètres!$A$1:$I$89,5,0)</f>
        <v>-1.0707594810810407E-13</v>
      </c>
      <c r="EL196" s="13" t="e">
        <f t="shared" si="179"/>
        <v>#NUM!</v>
      </c>
      <c r="EM196" s="20" t="e">
        <f t="shared" si="180"/>
        <v>#NUM!</v>
      </c>
      <c r="EN196" s="59" t="e">
        <f t="shared" ref="EN196:EN203" si="198">EM196+(EE196+EF196)*44/12</f>
        <v>#NUM!</v>
      </c>
      <c r="EO196" s="59">
        <f ca="1">AVERAGE(OFFSET($EN$3,0,0,'Données projet'!$E$15+1,1))-AVERAGE(OFFSET($H$3,0,0,'Données projet'!$E$15+1,1))</f>
        <v>212.00478362779876</v>
      </c>
      <c r="EP196" s="59">
        <f t="shared" si="154"/>
        <v>133.62262474506707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>
        <f>EXP(-LN(2)/35)*EV195+(1-EXP(-LN(2)/35))/(LN(2)/35)*ER196*ES196*VLOOKUP('Données projet'!$B$15,Paramètres!$A$1:$I$89,3,0)*0.475*44/12</f>
        <v>3.6895675861948378</v>
      </c>
      <c r="EW196" s="21">
        <f>EXP(-LN(2)/25)*EW195+(1-EXP(-LN(2)/25))/(LN(2)/25)*Calculateur!ER196*Calculateur!ET196*VLOOKUP('Données projet'!$B$15,Paramètres!$A$1:$I$89,3,0)*0.475*44/12</f>
        <v>2.7047760035020376</v>
      </c>
      <c r="EX196" s="21">
        <f>EXP(-LN(2)/2)*EX195+(1-EXP(-LN(2)/2))/(LN(2)/2)*ER196*EU196*VLOOKUP('Données projet'!$B$15,Paramètres!$A$1:$I$89,3,0)*0.475*44/12</f>
        <v>3.234705061803159E-10</v>
      </c>
      <c r="EY196" s="22">
        <f t="shared" si="181"/>
        <v>6.3943435900203456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69.197882023326358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-9.9475983006414026E-14</v>
      </c>
      <c r="FF196" s="17">
        <f>FE196*VLOOKUP('Données projet'!$B$16,Paramètres!$A$1:$I$89,3,0)*VLOOKUP('Données projet'!$B$16,Paramètres!$A$1:$I$89,5,0)</f>
        <v>-9.6213170763803652E-14</v>
      </c>
      <c r="FG196" s="13" t="e">
        <f t="shared" si="182"/>
        <v>#NUM!</v>
      </c>
      <c r="FH196" s="20" t="e">
        <f t="shared" si="183"/>
        <v>#NUM!</v>
      </c>
      <c r="FI196" s="59" t="e">
        <f t="shared" ref="FI196:FI203" si="199">FH196+(EZ196+FA196)*44/12</f>
        <v>#NUM!</v>
      </c>
      <c r="FJ196" s="59">
        <f ca="1">AVERAGE(OFFSET($FI$3,0,0,'Données projet'!$E$16+1,1))-AVERAGE(OFFSET($H$3,0,0,'Données projet'!$E$16+1,1))</f>
        <v>196.65742339093146</v>
      </c>
      <c r="FK196" s="59">
        <f t="shared" si="156"/>
        <v>125.41980634506001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>
        <f>EXP(-LN(2)/35)*FQ195+(1-EXP(-LN(2)/35))/(LN(2)/35)*FM196*FN196*VLOOKUP('Données projet'!$B$16,Paramètres!$A$1:$I$89,3,0)*0.475*44/12</f>
        <v>3.3152636281750727</v>
      </c>
      <c r="FR196" s="21">
        <f>EXP(-LN(2)/25)*FR195+(1-EXP(-LN(2)/25))/(LN(2)/25)*Calculateur!FM196*Calculateur!FO196*VLOOKUP('Données projet'!$B$16,Paramètres!$A$1:$I$89,3,0)*0.475*44/12</f>
        <v>2.4303784379293689</v>
      </c>
      <c r="FS196" s="21">
        <f>EXP(-LN(2)/2)*FS195+(1-EXP(-LN(2)/2))/(LN(2)/2)*FM196*FP196*VLOOKUP('Données projet'!$B$16,Paramètres!$A$1:$I$89,3,0)*0.475*44/12</f>
        <v>2.9065465772723902E-10</v>
      </c>
      <c r="FT196" s="22">
        <f t="shared" si="184"/>
        <v>5.7456420663950958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69.197882023326358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69.197882023326358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>
      <c r="A197" s="10">
        <f t="shared" si="161"/>
        <v>194</v>
      </c>
      <c r="B197" s="73">
        <f>'Scénario référence'!$B$16*5+'Scénario référence'!$B$17*0+'Scénario référence'!$B$18*5</f>
        <v>4.6999999999999993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10.350288000000029</v>
      </c>
      <c r="D197" s="11">
        <f t="shared" ref="D197:D203" si="202">IFERROR(EXP(-1.0587+0.8836*LN(C197)+0.284),0)</f>
        <v>3.6338252292671274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22.676185776362331</v>
      </c>
      <c r="H197" s="67">
        <f t="shared" si="192"/>
        <v>212.08899720764032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69.211796976954503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-2.2737367544323206E-13</v>
      </c>
      <c r="O197" s="13">
        <f>N197*VLOOKUP('Données projet'!$B$9,Paramètres!$A$1:$I$89,3,0)*VLOOKUP('Données projet'!$B$9,Paramètres!$A$1:$I$89,5,0)</f>
        <v>-1.3596945791505279E-13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366.93249569585623</v>
      </c>
      <c r="T197" s="59">
        <f t="shared" ref="T197:T203" si="204">$T$3</f>
        <v>272.47262353368501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16.030692711799979</v>
      </c>
      <c r="AA197" s="21">
        <f>EXP(-LN(2)/25)*AA196+(1-EXP(-LN(2)/25))/(LN(2)/25)*Calculateur!V197*Calculateur!X197*VLOOKUP('Données projet'!$B$9,Paramètres!$A$1:$I$89,3,0)*0.475*44/12</f>
        <v>2.1936450010032682</v>
      </c>
      <c r="AB197" s="21">
        <f>EXP(-LN(2)/2)*AB196+(1-EXP(-LN(2)/2))/(LN(2)/2)*V197*Y197*VLOOKUP('Données projet'!$B$9,Paramètres!$A$1:$I$89,3,0)*0.475*44/12</f>
        <v>4.9069528163809208E-16</v>
      </c>
      <c r="AC197" s="22">
        <f t="shared" si="163"/>
        <v>18.224337712803248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69.211796976954503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1.1368683772161603E-13</v>
      </c>
      <c r="AJ197" s="13">
        <f>AI197*VLOOKUP('Données projet'!$B$10,Paramètres!$A$1:$I$89,3,0)*VLOOKUP('Données projet'!$B$10,Paramètres!$A$1:$I$89,5,0)</f>
        <v>5.3205440053716299E-14</v>
      </c>
      <c r="AK197" s="13">
        <f t="shared" si="164"/>
        <v>8.602146238565607E-13</v>
      </c>
      <c r="AL197" s="20">
        <f t="shared" si="165"/>
        <v>1.590873277977066E-12</v>
      </c>
      <c r="AM197" s="59">
        <f t="shared" si="193"/>
        <v>290.44325558216809</v>
      </c>
      <c r="AN197" s="59">
        <f ca="1">AVERAGE(OFFSET($AM$3,0,0,'Données projet'!$E$10+1,1))-AVERAGE(OFFSET($H$3,0,0,'Données projet'!$E$10+1,1))</f>
        <v>382.89338473200229</v>
      </c>
      <c r="AO197" s="59">
        <f t="shared" ref="AO197:AO203" si="205">$AO$3</f>
        <v>360.46248248971744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31.61805767804514</v>
      </c>
      <c r="AV197" s="21">
        <f>EXP(-LN(2)/25)*AV196+(1-EXP(-LN(2)/25))/(LN(2)/25)*Calculateur!AQ197*Calculateur!AS197*VLOOKUP('Données projet'!$B$10,Paramètres!$A$1:$I$89,3,0)*0.475*44/12</f>
        <v>4.6172090266381165</v>
      </c>
      <c r="AW197" s="21">
        <f>EXP(-LN(2)/2)*AW196+(1-EXP(-LN(2)/2))/(LN(2)/2)*AQ197*AT197*VLOOKUP('Données projet'!$B$10,Paramètres!$A$1:$I$89,3,0)*0.475*44/12</f>
        <v>1.5767476825688125E-12</v>
      </c>
      <c r="AX197" s="21">
        <f t="shared" si="166"/>
        <v>36.235266704684832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69.211796976954503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>
        <f>BD197*VLOOKUP('Données projet'!$B$11,Paramètres!$A$1:$I$89,3,0)*VLOOKUP('Données projet'!$B$11,Paramètres!$A$1:$I$89,5,0)</f>
        <v>0</v>
      </c>
      <c r="BF197" s="13" t="e">
        <f t="shared" si="167"/>
        <v>#NUM!</v>
      </c>
      <c r="BG197" s="20" t="e">
        <f t="shared" si="168"/>
        <v>#NUM!</v>
      </c>
      <c r="BH197" s="59" t="e">
        <f t="shared" si="194"/>
        <v>#NUM!</v>
      </c>
      <c r="BI197" s="59">
        <f ca="1">AVERAGE(OFFSET($BH$3,0,0,'Données projet'!$E$11+1,1))-AVERAGE(OFFSET($H$3,0,0,'Données projet'!$E$11+1,1))</f>
        <v>225.75484198243581</v>
      </c>
      <c r="BJ197" s="59">
        <f t="shared" ref="BJ197:BJ203" si="206">$BJ$3</f>
        <v>199.49566488421061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1.1524254942717129</v>
      </c>
      <c r="BQ197" s="21">
        <f>EXP(-LN(2)/25)*BQ196+(1-EXP(-LN(2)/25))/(LN(2)/25)*Calculateur!BL197*Calculateur!BN197*VLOOKUP('Données projet'!$B$11,Paramètres!$A$1:$I$89,3,0)*0.475*44/12</f>
        <v>2.9859141382948904</v>
      </c>
      <c r="BR197" s="21">
        <f>EXP(-LN(2)/2)*BR196+(1-EXP(-LN(2)/2))/(LN(2)/2)*BL197*BO197*VLOOKUP('Données projet'!$B$11,Paramètres!$A$1:$I$89,3,0)*0.475*44/12</f>
        <v>0</v>
      </c>
      <c r="BS197" s="22">
        <f t="shared" si="169"/>
        <v>4.1383396325666038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69.211796976954503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1.1368683772161603E-13</v>
      </c>
      <c r="BZ197" s="13">
        <f>BY197*VLOOKUP('Données projet'!$B$12,Paramètres!$A$1:$I$89,3,0)*VLOOKUP('Données projet'!$B$12,Paramètres!$A$1:$I$89,5,0)</f>
        <v>1.0818439477588981E-13</v>
      </c>
      <c r="CA197" s="13">
        <f t="shared" si="170"/>
        <v>1.6104228458716316E-12</v>
      </c>
      <c r="CB197" s="20">
        <f t="shared" si="171"/>
        <v>2.9932409441277661E-12</v>
      </c>
      <c r="CC197" s="59">
        <f t="shared" si="195"/>
        <v>290.44325558216951</v>
      </c>
      <c r="CD197" s="59">
        <f ca="1">AVERAGE(OFFSET($CC$3,0,0,'Données projet'!$E$12+1,1))-AVERAGE(OFFSET($H$3,0,0,'Données projet'!$E$12+1,1))</f>
        <v>413.9352601863377</v>
      </c>
      <c r="CE197" s="59">
        <f t="shared" ref="CE197:CE203" si="207">$CE$3</f>
        <v>255.13997349799286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10.622326749283824</v>
      </c>
      <c r="CL197" s="21">
        <f>EXP(-LN(2)/25)*CL196+(1-EXP(-LN(2)/25))/(LN(2)/25)*Calculateur!CG197*Calculateur!CI197*VLOOKUP('Données projet'!$B$12,Paramètres!$A$1:$I$89,3,0)*0.475*44/12</f>
        <v>5.9404480399801063</v>
      </c>
      <c r="CM197" s="21">
        <f>EXP(-LN(2)/2)*CM196+(1-EXP(-LN(2)/2))/(LN(2)/2)*CG197*CJ197*VLOOKUP('Données projet'!$B$12,Paramètres!$A$1:$I$89,3,0)*0.475*44/12</f>
        <v>4.7184913676832154E-10</v>
      </c>
      <c r="CN197" s="22">
        <f t="shared" si="172"/>
        <v>16.56277478973578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69.211796976954503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2.8421709430404007E-14</v>
      </c>
      <c r="CU197" s="17">
        <f>CT197*VLOOKUP('Données projet'!$B$13,Paramètres!$A$1:$I$89,3,0)*VLOOKUP('Données projet'!$B$13,Paramètres!$A$1:$I$89,5,0)</f>
        <v>2.4829205358400945E-14</v>
      </c>
      <c r="CV197" s="13">
        <f t="shared" si="173"/>
        <v>4.3867331143352915E-13</v>
      </c>
      <c r="CW197" s="20">
        <f t="shared" si="174"/>
        <v>8.0726688341261168E-13</v>
      </c>
      <c r="CX197" s="59">
        <f t="shared" si="196"/>
        <v>290.4432555821673</v>
      </c>
      <c r="CY197" s="59">
        <f ca="1">AVERAGE(OFFSET($CX$3,0,0,'Données projet'!$E$13+1,1))-AVERAGE(OFFSET($H$3,0,0,'Données projet'!$E$13+1,1))</f>
        <v>280.59827778697775</v>
      </c>
      <c r="CZ197" s="59">
        <f t="shared" ref="CZ197:CZ203" si="208">$CZ$3</f>
        <v>270.86588231964726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>
        <f>EXP(-LN(2)/35)*DF196+(1-EXP(-LN(2)/35))/(LN(2)/35)*DB197*DC197*VLOOKUP('Données projet'!$B$13,Paramètres!$A$1:$I$89,3,0)*0.475*44/12</f>
        <v>3.4501231912414321</v>
      </c>
      <c r="DG197" s="21">
        <f>EXP(-LN(2)/25)*DG196+(1-EXP(-LN(2)/25))/(LN(2)/25)*Calculateur!DB197*Calculateur!DD197*VLOOKUP('Données projet'!$B$13,Paramètres!$A$1:$I$89,3,0)*0.475*44/12</f>
        <v>1.5472060106576049</v>
      </c>
      <c r="DH197" s="21">
        <f>EXP(-LN(2)/2)*DH196+(1-EXP(-LN(2)/2))/(LN(2)/2)*DB197*DE197*VLOOKUP('Données projet'!$B$13,Paramètres!$A$1:$I$89,3,0)*0.475*44/12</f>
        <v>3.153480368544301E-16</v>
      </c>
      <c r="DI197" s="22">
        <f t="shared" si="175"/>
        <v>4.9973292018990367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69.211796976954503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>
        <f>DO197*VLOOKUP('Données projet'!$B$14,Paramètres!$A$1:$I$89,3,0)*VLOOKUP('Données projet'!$B$14,Paramètres!$A$1:$I$89,5,0)</f>
        <v>0</v>
      </c>
      <c r="DQ197" s="13" t="e">
        <f t="shared" si="176"/>
        <v>#NUM!</v>
      </c>
      <c r="DR197" s="20" t="e">
        <f t="shared" si="177"/>
        <v>#NUM!</v>
      </c>
      <c r="DS197" s="59" t="e">
        <f t="shared" si="197"/>
        <v>#NUM!</v>
      </c>
      <c r="DT197" s="59">
        <f ca="1">AVERAGE(OFFSET($DS$3,0,0,'Données projet'!$E$14+1,1))-AVERAGE(OFFSET($H$3,0,0,'Données projet'!$E$14+1,1))</f>
        <v>211.42385430331873</v>
      </c>
      <c r="DU197" s="59">
        <f t="shared" ref="DU197:DU203" si="209">$DU$3</f>
        <v>146.84623106782686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>
        <f>EXP(-LN(2)/35)*EA196+(1-EXP(-LN(2)/35))/(LN(2)/35)*DW197*DX197*VLOOKUP('Données projet'!$B$14,Paramètres!$A$1:$I$89,3,0)*0.475*44/12</f>
        <v>5.0751236875334849</v>
      </c>
      <c r="EB197" s="21">
        <f>EXP(-LN(2)/25)*EB196+(1-EXP(-LN(2)/25))/(LN(2)/25)*Calculateur!DW197*Calculateur!DY197*VLOOKUP('Données projet'!$B$14,Paramètres!$A$1:$I$89,3,0)*0.475*44/12</f>
        <v>2.8497360892280859</v>
      </c>
      <c r="EC197" s="21">
        <f>EXP(-LN(2)/2)*EC196+(1-EXP(-LN(2)/2))/(LN(2)/2)*DW197*DZ197*VLOOKUP('Données projet'!$B$14,Paramètres!$A$1:$I$89,3,0)*0.475*44/12</f>
        <v>3.7788915361180737E-11</v>
      </c>
      <c r="ED197" s="22">
        <f t="shared" si="178"/>
        <v>7.9248597767993596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69.211796976954503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-9.9475983006414026E-14</v>
      </c>
      <c r="EK197" s="17">
        <f>EJ197*VLOOKUP('Données projet'!$B$15,Paramètres!$A$1:$I$89,3,0)*VLOOKUP('Données projet'!$B$15,Paramètres!$A$1:$I$89,5,0)</f>
        <v>-1.0707594810810407E-13</v>
      </c>
      <c r="EL197" s="13" t="e">
        <f t="shared" si="179"/>
        <v>#NUM!</v>
      </c>
      <c r="EM197" s="20" t="e">
        <f t="shared" si="180"/>
        <v>#NUM!</v>
      </c>
      <c r="EN197" s="59" t="e">
        <f t="shared" si="198"/>
        <v>#NUM!</v>
      </c>
      <c r="EO197" s="59">
        <f ca="1">AVERAGE(OFFSET($EN$3,0,0,'Données projet'!$E$15+1,1))-AVERAGE(OFFSET($H$3,0,0,'Données projet'!$E$15+1,1))</f>
        <v>212.00478362779876</v>
      </c>
      <c r="EP197" s="59">
        <f t="shared" ref="EP197:EP203" si="210">$EP$3</f>
        <v>133.62262474506707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>
        <f>EXP(-LN(2)/35)*EV196+(1-EXP(-LN(2)/35))/(LN(2)/35)*ER197*ES197*VLOOKUP('Données projet'!$B$15,Paramètres!$A$1:$I$89,3,0)*0.475*44/12</f>
        <v>3.6172174162435748</v>
      </c>
      <c r="EW197" s="21">
        <f>EXP(-LN(2)/25)*EW196+(1-EXP(-LN(2)/25))/(LN(2)/25)*Calculateur!ER197*Calculateur!ET197*VLOOKUP('Données projet'!$B$15,Paramètres!$A$1:$I$89,3,0)*0.475*44/12</f>
        <v>2.630813761448286</v>
      </c>
      <c r="EX197" s="21">
        <f>EXP(-LN(2)/2)*EX196+(1-EXP(-LN(2)/2))/(LN(2)/2)*ER197*EU197*VLOOKUP('Données projet'!$B$15,Paramètres!$A$1:$I$89,3,0)*0.475*44/12</f>
        <v>2.2872818843394643E-10</v>
      </c>
      <c r="EY197" s="22">
        <f t="shared" si="181"/>
        <v>6.2480311779205886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69.211796976954503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-9.9475983006414026E-14</v>
      </c>
      <c r="FF197" s="17">
        <f>FE197*VLOOKUP('Données projet'!$B$16,Paramètres!$A$1:$I$89,3,0)*VLOOKUP('Données projet'!$B$16,Paramètres!$A$1:$I$89,5,0)</f>
        <v>-9.6213170763803652E-14</v>
      </c>
      <c r="FG197" s="13" t="e">
        <f t="shared" si="182"/>
        <v>#NUM!</v>
      </c>
      <c r="FH197" s="20" t="e">
        <f t="shared" si="183"/>
        <v>#NUM!</v>
      </c>
      <c r="FI197" s="59" t="e">
        <f t="shared" si="199"/>
        <v>#NUM!</v>
      </c>
      <c r="FJ197" s="59">
        <f ca="1">AVERAGE(OFFSET($FI$3,0,0,'Données projet'!$E$16+1,1))-AVERAGE(OFFSET($H$3,0,0,'Données projet'!$E$16+1,1))</f>
        <v>196.65742339093146</v>
      </c>
      <c r="FK197" s="59">
        <f t="shared" ref="FK197:FK203" si="211">$FK$3</f>
        <v>125.41980634506001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>
        <f>EXP(-LN(2)/35)*FQ196+(1-EXP(-LN(2)/35))/(LN(2)/35)*FM197*FN197*VLOOKUP('Données projet'!$B$16,Paramètres!$A$1:$I$89,3,0)*0.475*44/12</f>
        <v>3.2502533305377059</v>
      </c>
      <c r="FR197" s="21">
        <f>EXP(-LN(2)/25)*FR196+(1-EXP(-LN(2)/25))/(LN(2)/25)*Calculateur!FM197*Calculateur!FO197*VLOOKUP('Données projet'!$B$16,Paramètres!$A$1:$I$89,3,0)*0.475*44/12</f>
        <v>2.3639196117361432</v>
      </c>
      <c r="FS197" s="21">
        <f>EXP(-LN(2)/2)*FS196+(1-EXP(-LN(2)/2))/(LN(2)/2)*FM197*FP197*VLOOKUP('Données projet'!$B$16,Paramètres!$A$1:$I$89,3,0)*0.475*44/12</f>
        <v>2.0552387946238567E-10</v>
      </c>
      <c r="FT197" s="22">
        <f t="shared" si="184"/>
        <v>5.6141729424793727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69.211796976954503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69.211796976954503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>
      <c r="A198" s="10">
        <f t="shared" si="161"/>
        <v>195</v>
      </c>
      <c r="B198" s="73">
        <f>'Scénario référence'!$B$16*5+'Scénario référence'!$B$17*0+'Scénario référence'!$B$18*5</f>
        <v>4.6999999999999993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10.40364000000003</v>
      </c>
      <c r="D198" s="11">
        <f t="shared" si="202"/>
        <v>3.6503710362820359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22.70855949750608</v>
      </c>
      <c r="H198" s="67">
        <f t="shared" si="192"/>
        <v>212.21073588819127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69.22547053724638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-2.2737367544323206E-13</v>
      </c>
      <c r="O198" s="13">
        <f>N198*VLOOKUP('Données projet'!$B$9,Paramètres!$A$1:$I$89,3,0)*VLOOKUP('Données projet'!$B$9,Paramètres!$A$1:$I$89,5,0)</f>
        <v>-1.3596945791505279E-13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366.93249569585623</v>
      </c>
      <c r="T198" s="59">
        <f t="shared" si="204"/>
        <v>272.47262353368501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15.716340605478662</v>
      </c>
      <c r="AA198" s="21">
        <f>EXP(-LN(2)/25)*AA197+(1-EXP(-LN(2)/25))/(LN(2)/25)*Calculateur!V198*Calculateur!X198*VLOOKUP('Données projet'!$B$9,Paramètres!$A$1:$I$89,3,0)*0.475*44/12</f>
        <v>2.133659663092057</v>
      </c>
      <c r="AB198" s="21">
        <f>EXP(-LN(2)/2)*AB197+(1-EXP(-LN(2)/2))/(LN(2)/2)*V198*Y198*VLOOKUP('Données projet'!$B$9,Paramètres!$A$1:$I$89,3,0)*0.475*44/12</f>
        <v>3.4697396114253769E-16</v>
      </c>
      <c r="AC198" s="22">
        <f t="shared" si="163"/>
        <v>17.850000268570717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69.22547053724638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1.1368683772161603E-13</v>
      </c>
      <c r="AJ198" s="13">
        <f>AI198*VLOOKUP('Données projet'!$B$10,Paramètres!$A$1:$I$89,3,0)*VLOOKUP('Données projet'!$B$10,Paramètres!$A$1:$I$89,5,0)</f>
        <v>5.3205440053716299E-14</v>
      </c>
      <c r="AK198" s="13">
        <f t="shared" si="164"/>
        <v>8.602146238565607E-13</v>
      </c>
      <c r="AL198" s="20">
        <f t="shared" si="165"/>
        <v>1.590873277977066E-12</v>
      </c>
      <c r="AM198" s="59">
        <f t="shared" si="193"/>
        <v>290.49339196990496</v>
      </c>
      <c r="AN198" s="59">
        <f ca="1">AVERAGE(OFFSET($AM$3,0,0,'Données projet'!$E$10+1,1))-AVERAGE(OFFSET($H$3,0,0,'Données projet'!$E$10+1,1))</f>
        <v>382.89338473200229</v>
      </c>
      <c r="AO198" s="59">
        <f t="shared" si="205"/>
        <v>360.46248248971744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30.998046852089612</v>
      </c>
      <c r="AV198" s="21">
        <f>EXP(-LN(2)/25)*AV197+(1-EXP(-LN(2)/25))/(LN(2)/25)*Calculateur!AQ198*Calculateur!AS198*VLOOKUP('Données projet'!$B$10,Paramètres!$A$1:$I$89,3,0)*0.475*44/12</f>
        <v>4.4909512029962269</v>
      </c>
      <c r="AW198" s="21">
        <f>EXP(-LN(2)/2)*AW197+(1-EXP(-LN(2)/2))/(LN(2)/2)*AQ198*AT198*VLOOKUP('Données projet'!$B$10,Paramètres!$A$1:$I$89,3,0)*0.475*44/12</f>
        <v>1.1149289785645812E-12</v>
      </c>
      <c r="AX198" s="21">
        <f t="shared" si="166"/>
        <v>35.488998055086952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69.22547053724638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>
        <f>BD198*VLOOKUP('Données projet'!$B$11,Paramètres!$A$1:$I$89,3,0)*VLOOKUP('Données projet'!$B$11,Paramètres!$A$1:$I$89,5,0)</f>
        <v>0</v>
      </c>
      <c r="BF198" s="13" t="e">
        <f t="shared" si="167"/>
        <v>#NUM!</v>
      </c>
      <c r="BG198" s="20" t="e">
        <f t="shared" si="168"/>
        <v>#NUM!</v>
      </c>
      <c r="BH198" s="59" t="e">
        <f t="shared" si="194"/>
        <v>#NUM!</v>
      </c>
      <c r="BI198" s="59">
        <f ca="1">AVERAGE(OFFSET($BH$3,0,0,'Données projet'!$E$11+1,1))-AVERAGE(OFFSET($H$3,0,0,'Données projet'!$E$11+1,1))</f>
        <v>225.75484198243581</v>
      </c>
      <c r="BJ198" s="59">
        <f t="shared" si="206"/>
        <v>199.49566488421061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1.1298271332391896</v>
      </c>
      <c r="BQ198" s="21">
        <f>EXP(-LN(2)/25)*BQ197+(1-EXP(-LN(2)/25))/(LN(2)/25)*Calculateur!BL198*Calculateur!BN198*VLOOKUP('Données projet'!$B$11,Paramètres!$A$1:$I$89,3,0)*0.475*44/12</f>
        <v>2.9042641591608165</v>
      </c>
      <c r="BR198" s="21">
        <f>EXP(-LN(2)/2)*BR197+(1-EXP(-LN(2)/2))/(LN(2)/2)*BL198*BO198*VLOOKUP('Données projet'!$B$11,Paramètres!$A$1:$I$89,3,0)*0.475*44/12</f>
        <v>0</v>
      </c>
      <c r="BS198" s="22">
        <f t="shared" si="169"/>
        <v>4.0340912924000065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69.22547053724638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1.1368683772161603E-13</v>
      </c>
      <c r="BZ198" s="13">
        <f>BY198*VLOOKUP('Données projet'!$B$12,Paramètres!$A$1:$I$89,3,0)*VLOOKUP('Données projet'!$B$12,Paramètres!$A$1:$I$89,5,0)</f>
        <v>1.0818439477588981E-13</v>
      </c>
      <c r="CA198" s="13">
        <f t="shared" si="170"/>
        <v>1.6104228458716316E-12</v>
      </c>
      <c r="CB198" s="20">
        <f t="shared" si="171"/>
        <v>2.9932409441277661E-12</v>
      </c>
      <c r="CC198" s="59">
        <f t="shared" si="195"/>
        <v>290.49339196990638</v>
      </c>
      <c r="CD198" s="59">
        <f ca="1">AVERAGE(OFFSET($CC$3,0,0,'Données projet'!$E$12+1,1))-AVERAGE(OFFSET($H$3,0,0,'Données projet'!$E$12+1,1))</f>
        <v>413.9352601863377</v>
      </c>
      <c r="CE198" s="59">
        <f t="shared" si="207"/>
        <v>255.13997349799286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10.414029400709939</v>
      </c>
      <c r="CL198" s="21">
        <f>EXP(-LN(2)/25)*CL197+(1-EXP(-LN(2)/25))/(LN(2)/25)*Calculateur!CG198*Calculateur!CI198*VLOOKUP('Données projet'!$B$12,Paramètres!$A$1:$I$89,3,0)*0.475*44/12</f>
        <v>5.7780061759322647</v>
      </c>
      <c r="CM198" s="21">
        <f>EXP(-LN(2)/2)*CM197+(1-EXP(-LN(2)/2))/(LN(2)/2)*CG198*CJ198*VLOOKUP('Données projet'!$B$12,Paramètres!$A$1:$I$89,3,0)*0.475*44/12</f>
        <v>3.3364772430589887E-10</v>
      </c>
      <c r="CN198" s="22">
        <f t="shared" si="172"/>
        <v>16.192035576975851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69.22547053724638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2.8421709430404007E-14</v>
      </c>
      <c r="CU198" s="17">
        <f>CT198*VLOOKUP('Données projet'!$B$13,Paramètres!$A$1:$I$89,3,0)*VLOOKUP('Données projet'!$B$13,Paramètres!$A$1:$I$89,5,0)</f>
        <v>2.4829205358400945E-14</v>
      </c>
      <c r="CV198" s="13">
        <f t="shared" si="173"/>
        <v>4.3867331143352915E-13</v>
      </c>
      <c r="CW198" s="20">
        <f t="shared" si="174"/>
        <v>8.0726688341261168E-13</v>
      </c>
      <c r="CX198" s="59">
        <f t="shared" si="196"/>
        <v>290.49339196990417</v>
      </c>
      <c r="CY198" s="59">
        <f ca="1">AVERAGE(OFFSET($CX$3,0,0,'Données projet'!$E$13+1,1))-AVERAGE(OFFSET($H$3,0,0,'Données projet'!$E$13+1,1))</f>
        <v>280.59827778697775</v>
      </c>
      <c r="CZ198" s="59">
        <f t="shared" si="208"/>
        <v>270.86588231964726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>
        <f>EXP(-LN(2)/35)*DF197+(1-EXP(-LN(2)/35))/(LN(2)/35)*DB198*DC198*VLOOKUP('Données projet'!$B$13,Paramètres!$A$1:$I$89,3,0)*0.475*44/12</f>
        <v>3.3824683798285453</v>
      </c>
      <c r="DG198" s="21">
        <f>EXP(-LN(2)/25)*DG197+(1-EXP(-LN(2)/25))/(LN(2)/25)*Calculateur!DB198*Calculateur!DD198*VLOOKUP('Données projet'!$B$13,Paramètres!$A$1:$I$89,3,0)*0.475*44/12</f>
        <v>1.5048975809321448</v>
      </c>
      <c r="DH198" s="21">
        <f>EXP(-LN(2)/2)*DH197+(1-EXP(-LN(2)/2))/(LN(2)/2)*DB198*DE198*VLOOKUP('Données projet'!$B$13,Paramètres!$A$1:$I$89,3,0)*0.475*44/12</f>
        <v>2.2298473529363283E-16</v>
      </c>
      <c r="DI198" s="22">
        <f t="shared" si="175"/>
        <v>4.8873659607606896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69.22547053724638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>
        <f>DO198*VLOOKUP('Données projet'!$B$14,Paramètres!$A$1:$I$89,3,0)*VLOOKUP('Données projet'!$B$14,Paramètres!$A$1:$I$89,5,0)</f>
        <v>0</v>
      </c>
      <c r="DQ198" s="13" t="e">
        <f t="shared" si="176"/>
        <v>#NUM!</v>
      </c>
      <c r="DR198" s="20" t="e">
        <f t="shared" si="177"/>
        <v>#NUM!</v>
      </c>
      <c r="DS198" s="59" t="e">
        <f t="shared" si="197"/>
        <v>#NUM!</v>
      </c>
      <c r="DT198" s="59">
        <f ca="1">AVERAGE(OFFSET($DS$3,0,0,'Données projet'!$E$14+1,1))-AVERAGE(OFFSET($H$3,0,0,'Données projet'!$E$14+1,1))</f>
        <v>211.42385430331873</v>
      </c>
      <c r="DU198" s="59">
        <f t="shared" si="209"/>
        <v>146.84623106782686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>
        <f>EXP(-LN(2)/35)*EA197+(1-EXP(-LN(2)/35))/(LN(2)/35)*DW198*DX198*VLOOKUP('Données projet'!$B$14,Paramètres!$A$1:$I$89,3,0)*0.475*44/12</f>
        <v>4.9756036075407453</v>
      </c>
      <c r="EB198" s="21">
        <f>EXP(-LN(2)/25)*EB197+(1-EXP(-LN(2)/25))/(LN(2)/25)*Calculateur!DW198*Calculateur!DY198*VLOOKUP('Données projet'!$B$14,Paramètres!$A$1:$I$89,3,0)*0.475*44/12</f>
        <v>2.7718099060070363</v>
      </c>
      <c r="EC198" s="21">
        <f>EXP(-LN(2)/2)*EC197+(1-EXP(-LN(2)/2))/(LN(2)/2)*DW198*DZ198*VLOOKUP('Données projet'!$B$14,Paramètres!$A$1:$I$89,3,0)*0.475*44/12</f>
        <v>2.6720798305575392E-11</v>
      </c>
      <c r="ED198" s="22">
        <f t="shared" si="178"/>
        <v>7.7474135135745028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69.22547053724638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-9.9475983006414026E-14</v>
      </c>
      <c r="EK198" s="17">
        <f>EJ198*VLOOKUP('Données projet'!$B$15,Paramètres!$A$1:$I$89,3,0)*VLOOKUP('Données projet'!$B$15,Paramètres!$A$1:$I$89,5,0)</f>
        <v>-1.0707594810810407E-13</v>
      </c>
      <c r="EL198" s="13" t="e">
        <f t="shared" si="179"/>
        <v>#NUM!</v>
      </c>
      <c r="EM198" s="20" t="e">
        <f t="shared" si="180"/>
        <v>#NUM!</v>
      </c>
      <c r="EN198" s="59" t="e">
        <f t="shared" si="198"/>
        <v>#NUM!</v>
      </c>
      <c r="EO198" s="59">
        <f ca="1">AVERAGE(OFFSET($EN$3,0,0,'Données projet'!$E$15+1,1))-AVERAGE(OFFSET($H$3,0,0,'Données projet'!$E$15+1,1))</f>
        <v>212.00478362779876</v>
      </c>
      <c r="EP198" s="59">
        <f t="shared" si="210"/>
        <v>133.62262474506707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>
        <f>EXP(-LN(2)/35)*EV197+(1-EXP(-LN(2)/35))/(LN(2)/35)*ER198*ES198*VLOOKUP('Données projet'!$B$15,Paramètres!$A$1:$I$89,3,0)*0.475*44/12</f>
        <v>3.5462859889958098</v>
      </c>
      <c r="EW198" s="21">
        <f>EXP(-LN(2)/25)*EW197+(1-EXP(-LN(2)/25))/(LN(2)/25)*Calculateur!ER198*Calculateur!ET198*VLOOKUP('Données projet'!$B$15,Paramètres!$A$1:$I$89,3,0)*0.475*44/12</f>
        <v>2.5588740207929996</v>
      </c>
      <c r="EX198" s="21">
        <f>EXP(-LN(2)/2)*EX197+(1-EXP(-LN(2)/2))/(LN(2)/2)*ER198*EU198*VLOOKUP('Données projet'!$B$15,Paramètres!$A$1:$I$89,3,0)*0.475*44/12</f>
        <v>1.6173525309015798E-10</v>
      </c>
      <c r="EY198" s="22">
        <f t="shared" si="181"/>
        <v>6.105160009950545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69.22547053724638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-9.9475983006414026E-14</v>
      </c>
      <c r="FF198" s="17">
        <f>FE198*VLOOKUP('Données projet'!$B$16,Paramètres!$A$1:$I$89,3,0)*VLOOKUP('Données projet'!$B$16,Paramètres!$A$1:$I$89,5,0)</f>
        <v>-9.6213170763803652E-14</v>
      </c>
      <c r="FG198" s="13" t="e">
        <f t="shared" si="182"/>
        <v>#NUM!</v>
      </c>
      <c r="FH198" s="20" t="e">
        <f t="shared" si="183"/>
        <v>#NUM!</v>
      </c>
      <c r="FI198" s="59" t="e">
        <f t="shared" si="199"/>
        <v>#NUM!</v>
      </c>
      <c r="FJ198" s="59">
        <f ca="1">AVERAGE(OFFSET($FI$3,0,0,'Données projet'!$E$16+1,1))-AVERAGE(OFFSET($H$3,0,0,'Données projet'!$E$16+1,1))</f>
        <v>196.65742339093146</v>
      </c>
      <c r="FK198" s="59">
        <f t="shared" si="211"/>
        <v>125.41980634506001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>
        <f>EXP(-LN(2)/35)*FQ197+(1-EXP(-LN(2)/35))/(LN(2)/35)*FM198*FN198*VLOOKUP('Données projet'!$B$16,Paramètres!$A$1:$I$89,3,0)*0.475*44/12</f>
        <v>3.1865178451846417</v>
      </c>
      <c r="FR198" s="21">
        <f>EXP(-LN(2)/25)*FR197+(1-EXP(-LN(2)/25))/(LN(2)/25)*Calculateur!FM198*Calculateur!FO198*VLOOKUP('Données projet'!$B$16,Paramètres!$A$1:$I$89,3,0)*0.475*44/12</f>
        <v>2.2992781056400888</v>
      </c>
      <c r="FS198" s="21">
        <f>EXP(-LN(2)/2)*FS197+(1-EXP(-LN(2)/2))/(LN(2)/2)*FM198*FP198*VLOOKUP('Données projet'!$B$16,Paramètres!$A$1:$I$89,3,0)*0.475*44/12</f>
        <v>1.4532732886361951E-10</v>
      </c>
      <c r="FT198" s="22">
        <f t="shared" si="184"/>
        <v>5.4857959509700578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69.22547053724638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69.22547053724638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>
      <c r="A199" s="10">
        <f t="shared" si="161"/>
        <v>196</v>
      </c>
      <c r="B199" s="73">
        <f>'Scénario référence'!$B$16*5+'Scénario référence'!$B$17*0+'Scénario référence'!$B$18*5</f>
        <v>4.6999999999999993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10.45699200000003</v>
      </c>
      <c r="D199" s="11">
        <f t="shared" si="202"/>
        <v>3.6669069696243222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22.7409286455804</v>
      </c>
      <c r="H199" s="67">
        <f t="shared" si="192"/>
        <v>212.33245737209575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69.238906891836692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-2.2737367544323206E-13</v>
      </c>
      <c r="O199" s="13">
        <f>N199*VLOOKUP('Données projet'!$B$9,Paramètres!$A$1:$I$89,3,0)*VLOOKUP('Données projet'!$B$9,Paramètres!$A$1:$I$89,5,0)</f>
        <v>-1.3596945791505279E-13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366.93249569585623</v>
      </c>
      <c r="T199" s="59">
        <f t="shared" si="204"/>
        <v>272.47262353368501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15.408152752226453</v>
      </c>
      <c r="AA199" s="21">
        <f>EXP(-LN(2)/25)*AA198+(1-EXP(-LN(2)/25))/(LN(2)/25)*Calculateur!V199*Calculateur!X199*VLOOKUP('Données projet'!$B$9,Paramètres!$A$1:$I$89,3,0)*0.475*44/12</f>
        <v>2.0753146274005196</v>
      </c>
      <c r="AB199" s="21">
        <f>EXP(-LN(2)/2)*AB198+(1-EXP(-LN(2)/2))/(LN(2)/2)*V199*Y199*VLOOKUP('Données projet'!$B$9,Paramètres!$A$1:$I$89,3,0)*0.475*44/12</f>
        <v>2.4534764081904604E-16</v>
      </c>
      <c r="AC199" s="22">
        <f t="shared" si="163"/>
        <v>17.483467379626973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69.238906891836692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1.1368683772161603E-13</v>
      </c>
      <c r="AJ199" s="13">
        <f>AI199*VLOOKUP('Données projet'!$B$10,Paramètres!$A$1:$I$89,3,0)*VLOOKUP('Données projet'!$B$10,Paramètres!$A$1:$I$89,5,0)</f>
        <v>5.3205440053716299E-14</v>
      </c>
      <c r="AK199" s="13">
        <f t="shared" si="164"/>
        <v>8.602146238565607E-13</v>
      </c>
      <c r="AL199" s="20">
        <f t="shared" si="165"/>
        <v>1.590873277977066E-12</v>
      </c>
      <c r="AM199" s="59">
        <f t="shared" si="193"/>
        <v>290.5426586034028</v>
      </c>
      <c r="AN199" s="59">
        <f ca="1">AVERAGE(OFFSET($AM$3,0,0,'Données projet'!$E$10+1,1))-AVERAGE(OFFSET($H$3,0,0,'Données projet'!$E$10+1,1))</f>
        <v>382.89338473200229</v>
      </c>
      <c r="AO199" s="59">
        <f t="shared" si="205"/>
        <v>360.46248248971744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30.390194060261809</v>
      </c>
      <c r="AV199" s="21">
        <f>EXP(-LN(2)/25)*AV198+(1-EXP(-LN(2)/25))/(LN(2)/25)*Calculateur!AQ199*Calculateur!AS199*VLOOKUP('Données projet'!$B$10,Paramètres!$A$1:$I$89,3,0)*0.475*44/12</f>
        <v>4.3681459061814358</v>
      </c>
      <c r="AW199" s="21">
        <f>EXP(-LN(2)/2)*AW198+(1-EXP(-LN(2)/2))/(LN(2)/2)*AQ199*AT199*VLOOKUP('Données projet'!$B$10,Paramètres!$A$1:$I$89,3,0)*0.475*44/12</f>
        <v>7.8837384128440623E-13</v>
      </c>
      <c r="AX199" s="21">
        <f t="shared" si="166"/>
        <v>34.758339966444034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69.238906891836692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>
        <f>BD199*VLOOKUP('Données projet'!$B$11,Paramètres!$A$1:$I$89,3,0)*VLOOKUP('Données projet'!$B$11,Paramètres!$A$1:$I$89,5,0)</f>
        <v>0</v>
      </c>
      <c r="BF199" s="13" t="e">
        <f t="shared" si="167"/>
        <v>#NUM!</v>
      </c>
      <c r="BG199" s="20" t="e">
        <f t="shared" si="168"/>
        <v>#NUM!</v>
      </c>
      <c r="BH199" s="59" t="e">
        <f t="shared" si="194"/>
        <v>#NUM!</v>
      </c>
      <c r="BI199" s="59">
        <f ca="1">AVERAGE(OFFSET($BH$3,0,0,'Données projet'!$E$11+1,1))-AVERAGE(OFFSET($H$3,0,0,'Données projet'!$E$11+1,1))</f>
        <v>225.75484198243581</v>
      </c>
      <c r="BJ199" s="59">
        <f t="shared" si="206"/>
        <v>199.49566488421061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1.1076719122828749</v>
      </c>
      <c r="BQ199" s="21">
        <f>EXP(-LN(2)/25)*BQ198+(1-EXP(-LN(2)/25))/(LN(2)/25)*Calculateur!BL199*Calculateur!BN199*VLOOKUP('Données projet'!$B$11,Paramètres!$A$1:$I$89,3,0)*0.475*44/12</f>
        <v>2.8248469029999494</v>
      </c>
      <c r="BR199" s="21">
        <f>EXP(-LN(2)/2)*BR198+(1-EXP(-LN(2)/2))/(LN(2)/2)*BL199*BO199*VLOOKUP('Données projet'!$B$11,Paramètres!$A$1:$I$89,3,0)*0.475*44/12</f>
        <v>0</v>
      </c>
      <c r="BS199" s="22">
        <f t="shared" si="169"/>
        <v>3.9325188152828243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69.238906891836692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1.1368683772161603E-13</v>
      </c>
      <c r="BZ199" s="13">
        <f>BY199*VLOOKUP('Données projet'!$B$12,Paramètres!$A$1:$I$89,3,0)*VLOOKUP('Données projet'!$B$12,Paramètres!$A$1:$I$89,5,0)</f>
        <v>1.0818439477588981E-13</v>
      </c>
      <c r="CA199" s="13">
        <f t="shared" si="170"/>
        <v>1.6104228458716316E-12</v>
      </c>
      <c r="CB199" s="20">
        <f t="shared" si="171"/>
        <v>2.9932409441277661E-12</v>
      </c>
      <c r="CC199" s="59">
        <f t="shared" si="195"/>
        <v>290.54265860340422</v>
      </c>
      <c r="CD199" s="59">
        <f ca="1">AVERAGE(OFFSET($CC$3,0,0,'Données projet'!$E$12+1,1))-AVERAGE(OFFSET($H$3,0,0,'Données projet'!$E$12+1,1))</f>
        <v>413.9352601863377</v>
      </c>
      <c r="CE199" s="59">
        <f t="shared" si="207"/>
        <v>255.13997349799286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10.20981663609275</v>
      </c>
      <c r="CL199" s="21">
        <f>EXP(-LN(2)/25)*CL198+(1-EXP(-LN(2)/25))/(LN(2)/25)*Calculateur!CG199*Calculateur!CI199*VLOOKUP('Données projet'!$B$12,Paramètres!$A$1:$I$89,3,0)*0.475*44/12</f>
        <v>5.6200062931992578</v>
      </c>
      <c r="CM199" s="21">
        <f>EXP(-LN(2)/2)*CM198+(1-EXP(-LN(2)/2))/(LN(2)/2)*CG199*CJ199*VLOOKUP('Données projet'!$B$12,Paramètres!$A$1:$I$89,3,0)*0.475*44/12</f>
        <v>2.3592456838416077E-10</v>
      </c>
      <c r="CN199" s="22">
        <f t="shared" si="172"/>
        <v>15.829822929527932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69.238906891836692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2.8421709430404007E-14</v>
      </c>
      <c r="CU199" s="17">
        <f>CT199*VLOOKUP('Données projet'!$B$13,Paramètres!$A$1:$I$89,3,0)*VLOOKUP('Données projet'!$B$13,Paramètres!$A$1:$I$89,5,0)</f>
        <v>2.4829205358400945E-14</v>
      </c>
      <c r="CV199" s="13">
        <f t="shared" si="173"/>
        <v>4.3867331143352915E-13</v>
      </c>
      <c r="CW199" s="20">
        <f t="shared" si="174"/>
        <v>8.0726688341261168E-13</v>
      </c>
      <c r="CX199" s="59">
        <f t="shared" si="196"/>
        <v>290.542658603402</v>
      </c>
      <c r="CY199" s="59">
        <f ca="1">AVERAGE(OFFSET($CX$3,0,0,'Données projet'!$E$13+1,1))-AVERAGE(OFFSET($H$3,0,0,'Données projet'!$E$13+1,1))</f>
        <v>280.59827778697775</v>
      </c>
      <c r="CZ199" s="59">
        <f t="shared" si="208"/>
        <v>270.86588231964726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>
        <f>EXP(-LN(2)/35)*DF198+(1-EXP(-LN(2)/35))/(LN(2)/35)*DB199*DC199*VLOOKUP('Données projet'!$B$13,Paramètres!$A$1:$I$89,3,0)*0.475*44/12</f>
        <v>3.316140238002105</v>
      </c>
      <c r="DG199" s="21">
        <f>EXP(-LN(2)/25)*DG198+(1-EXP(-LN(2)/25))/(LN(2)/25)*Calculateur!DB199*Calculateur!DD199*VLOOKUP('Données projet'!$B$13,Paramètres!$A$1:$I$89,3,0)*0.475*44/12</f>
        <v>1.4637460774424309</v>
      </c>
      <c r="DH199" s="21">
        <f>EXP(-LN(2)/2)*DH198+(1-EXP(-LN(2)/2))/(LN(2)/2)*DB199*DE199*VLOOKUP('Données projet'!$B$13,Paramètres!$A$1:$I$89,3,0)*0.475*44/12</f>
        <v>1.5767401842721505E-16</v>
      </c>
      <c r="DI199" s="22">
        <f t="shared" si="175"/>
        <v>4.7798863154445357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69.238906891836692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>
        <f>DO199*VLOOKUP('Données projet'!$B$14,Paramètres!$A$1:$I$89,3,0)*VLOOKUP('Données projet'!$B$14,Paramètres!$A$1:$I$89,5,0)</f>
        <v>0</v>
      </c>
      <c r="DQ199" s="13" t="e">
        <f t="shared" si="176"/>
        <v>#NUM!</v>
      </c>
      <c r="DR199" s="20" t="e">
        <f t="shared" si="177"/>
        <v>#NUM!</v>
      </c>
      <c r="DS199" s="59" t="e">
        <f t="shared" si="197"/>
        <v>#NUM!</v>
      </c>
      <c r="DT199" s="59">
        <f ca="1">AVERAGE(OFFSET($DS$3,0,0,'Données projet'!$E$14+1,1))-AVERAGE(OFFSET($H$3,0,0,'Données projet'!$E$14+1,1))</f>
        <v>211.42385430331873</v>
      </c>
      <c r="DU199" s="59">
        <f t="shared" si="209"/>
        <v>146.84623106782686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>
        <f>EXP(-LN(2)/35)*EA198+(1-EXP(-LN(2)/35))/(LN(2)/35)*DW199*DX199*VLOOKUP('Données projet'!$B$14,Paramètres!$A$1:$I$89,3,0)*0.475*44/12</f>
        <v>4.8780350556154088</v>
      </c>
      <c r="EB199" s="21">
        <f>EXP(-LN(2)/25)*EB198+(1-EXP(-LN(2)/25))/(LN(2)/25)*Calculateur!DW199*Calculateur!DY199*VLOOKUP('Données projet'!$B$14,Paramètres!$A$1:$I$89,3,0)*0.475*44/12</f>
        <v>2.696014618364126</v>
      </c>
      <c r="EC199" s="21">
        <f>EXP(-LN(2)/2)*EC198+(1-EXP(-LN(2)/2))/(LN(2)/2)*DW199*DZ199*VLOOKUP('Données projet'!$B$14,Paramètres!$A$1:$I$89,3,0)*0.475*44/12</f>
        <v>1.8894457680590369E-11</v>
      </c>
      <c r="ED199" s="22">
        <f t="shared" si="178"/>
        <v>7.5740496739984291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69.238906891836692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-9.9475983006414026E-14</v>
      </c>
      <c r="EK199" s="17">
        <f>EJ199*VLOOKUP('Données projet'!$B$15,Paramètres!$A$1:$I$89,3,0)*VLOOKUP('Données projet'!$B$15,Paramètres!$A$1:$I$89,5,0)</f>
        <v>-1.0707594810810407E-13</v>
      </c>
      <c r="EL199" s="13" t="e">
        <f t="shared" si="179"/>
        <v>#NUM!</v>
      </c>
      <c r="EM199" s="20" t="e">
        <f t="shared" si="180"/>
        <v>#NUM!</v>
      </c>
      <c r="EN199" s="59" t="e">
        <f t="shared" si="198"/>
        <v>#NUM!</v>
      </c>
      <c r="EO199" s="59">
        <f ca="1">AVERAGE(OFFSET($EN$3,0,0,'Données projet'!$E$15+1,1))-AVERAGE(OFFSET($H$3,0,0,'Données projet'!$E$15+1,1))</f>
        <v>212.00478362779876</v>
      </c>
      <c r="EP199" s="59">
        <f t="shared" si="210"/>
        <v>133.62262474506707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>
        <f>EXP(-LN(2)/35)*EV198+(1-EXP(-LN(2)/35))/(LN(2)/35)*ER199*ES199*VLOOKUP('Données projet'!$B$15,Paramètres!$A$1:$I$89,3,0)*0.475*44/12</f>
        <v>3.4767454837724747</v>
      </c>
      <c r="EW199" s="21">
        <f>EXP(-LN(2)/25)*EW198+(1-EXP(-LN(2)/25))/(LN(2)/25)*Calculateur!ER199*Calculateur!ET199*VLOOKUP('Données projet'!$B$15,Paramètres!$A$1:$I$89,3,0)*0.475*44/12</f>
        <v>2.4889014761290786</v>
      </c>
      <c r="EX199" s="21">
        <f>EXP(-LN(2)/2)*EX198+(1-EXP(-LN(2)/2))/(LN(2)/2)*ER199*EU199*VLOOKUP('Données projet'!$B$15,Paramètres!$A$1:$I$89,3,0)*0.475*44/12</f>
        <v>1.1436409421697323E-10</v>
      </c>
      <c r="EY199" s="22">
        <f t="shared" si="181"/>
        <v>5.9656469600159179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69.238906891836692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-9.9475983006414026E-14</v>
      </c>
      <c r="FF199" s="17">
        <f>FE199*VLOOKUP('Données projet'!$B$16,Paramètres!$A$1:$I$89,3,0)*VLOOKUP('Données projet'!$B$16,Paramètres!$A$1:$I$89,5,0)</f>
        <v>-9.6213170763803652E-14</v>
      </c>
      <c r="FG199" s="13" t="e">
        <f t="shared" si="182"/>
        <v>#NUM!</v>
      </c>
      <c r="FH199" s="20" t="e">
        <f t="shared" si="183"/>
        <v>#NUM!</v>
      </c>
      <c r="FI199" s="59" t="e">
        <f t="shared" si="199"/>
        <v>#NUM!</v>
      </c>
      <c r="FJ199" s="59">
        <f ca="1">AVERAGE(OFFSET($FI$3,0,0,'Données projet'!$E$16+1,1))-AVERAGE(OFFSET($H$3,0,0,'Données projet'!$E$16+1,1))</f>
        <v>196.65742339093146</v>
      </c>
      <c r="FK199" s="59">
        <f t="shared" si="211"/>
        <v>125.41980634506001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>
        <f>EXP(-LN(2)/35)*FQ198+(1-EXP(-LN(2)/35))/(LN(2)/35)*FM199*FN199*VLOOKUP('Données projet'!$B$16,Paramètres!$A$1:$I$89,3,0)*0.475*44/12</f>
        <v>3.1240321738245433</v>
      </c>
      <c r="FR199" s="21">
        <f>EXP(-LN(2)/25)*FR198+(1-EXP(-LN(2)/25))/(LN(2)/25)*Calculateur!FM199*Calculateur!FO199*VLOOKUP('Données projet'!$B$16,Paramètres!$A$1:$I$89,3,0)*0.475*44/12</f>
        <v>2.23640422492758</v>
      </c>
      <c r="FS199" s="21">
        <f>EXP(-LN(2)/2)*FS198+(1-EXP(-LN(2)/2))/(LN(2)/2)*FM199*FP199*VLOOKUP('Données projet'!$B$16,Paramètres!$A$1:$I$89,3,0)*0.475*44/12</f>
        <v>1.0276193973119283E-10</v>
      </c>
      <c r="FT199" s="22">
        <f t="shared" si="184"/>
        <v>5.3604363988548851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69.238906891836692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69.238906891836692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>
      <c r="A200" s="10">
        <f t="shared" si="161"/>
        <v>197</v>
      </c>
      <c r="B200" s="73">
        <f>'Scénario référence'!$B$16*5+'Scénario référence'!$B$17*0+'Scénario référence'!$B$18*5</f>
        <v>4.6999999999999993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10.51034400000003</v>
      </c>
      <c r="D200" s="11">
        <f t="shared" si="202"/>
        <v>3.6834330855174087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22.77329324662562</v>
      </c>
      <c r="H200" s="67">
        <f t="shared" si="192"/>
        <v>212.45416175727621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69.252110155714035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-2.2737367544323206E-13</v>
      </c>
      <c r="O200" s="13">
        <f>N200*VLOOKUP('Données projet'!$B$9,Paramètres!$A$1:$I$89,3,0)*VLOOKUP('Données projet'!$B$9,Paramètres!$A$1:$I$89,5,0)</f>
        <v>-1.3596945791505279E-13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366.93249569585623</v>
      </c>
      <c r="T200" s="59">
        <f t="shared" si="204"/>
        <v>272.47262353368501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15.106008274800491</v>
      </c>
      <c r="AA200" s="21">
        <f>EXP(-LN(2)/25)*AA199+(1-EXP(-LN(2)/25))/(LN(2)/25)*Calculateur!V200*Calculateur!X200*VLOOKUP('Données projet'!$B$9,Paramètres!$A$1:$I$89,3,0)*0.475*44/12</f>
        <v>2.0185650397781996</v>
      </c>
      <c r="AB200" s="21">
        <f>EXP(-LN(2)/2)*AB199+(1-EXP(-LN(2)/2))/(LN(2)/2)*V200*Y200*VLOOKUP('Données projet'!$B$9,Paramètres!$A$1:$I$89,3,0)*0.475*44/12</f>
        <v>1.7348698057126885E-16</v>
      </c>
      <c r="AC200" s="22">
        <f t="shared" si="163"/>
        <v>17.12457331457869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69.252110155714035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1.1368683772161603E-13</v>
      </c>
      <c r="AJ200" s="13">
        <f>AI200*VLOOKUP('Données projet'!$B$10,Paramètres!$A$1:$I$89,3,0)*VLOOKUP('Données projet'!$B$10,Paramètres!$A$1:$I$89,5,0)</f>
        <v>5.3205440053716299E-14</v>
      </c>
      <c r="AK200" s="13">
        <f t="shared" si="164"/>
        <v>8.602146238565607E-13</v>
      </c>
      <c r="AL200" s="20">
        <f t="shared" si="165"/>
        <v>1.590873277977066E-12</v>
      </c>
      <c r="AM200" s="59">
        <f t="shared" si="193"/>
        <v>290.59107057095304</v>
      </c>
      <c r="AN200" s="59">
        <f ca="1">AVERAGE(OFFSET($AM$3,0,0,'Données projet'!$E$10+1,1))-AVERAGE(OFFSET($H$3,0,0,'Données projet'!$E$10+1,1))</f>
        <v>382.89338473200229</v>
      </c>
      <c r="AO200" s="59">
        <f t="shared" si="205"/>
        <v>360.46248248971744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29.794260890928154</v>
      </c>
      <c r="AV200" s="21">
        <f>EXP(-LN(2)/25)*AV199+(1-EXP(-LN(2)/25))/(LN(2)/25)*Calculateur!AQ200*Calculateur!AS200*VLOOKUP('Données projet'!$B$10,Paramètres!$A$1:$I$89,3,0)*0.475*44/12</f>
        <v>4.2486987266660945</v>
      </c>
      <c r="AW200" s="21">
        <f>EXP(-LN(2)/2)*AW199+(1-EXP(-LN(2)/2))/(LN(2)/2)*AQ200*AT200*VLOOKUP('Données projet'!$B$10,Paramètres!$A$1:$I$89,3,0)*0.475*44/12</f>
        <v>5.5746448928229058E-13</v>
      </c>
      <c r="AX200" s="21">
        <f t="shared" si="166"/>
        <v>34.042959617594803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69.252110155714035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>
        <f>BD200*VLOOKUP('Données projet'!$B$11,Paramètres!$A$1:$I$89,3,0)*VLOOKUP('Données projet'!$B$11,Paramètres!$A$1:$I$89,5,0)</f>
        <v>0</v>
      </c>
      <c r="BF200" s="13" t="e">
        <f t="shared" si="167"/>
        <v>#NUM!</v>
      </c>
      <c r="BG200" s="20" t="e">
        <f t="shared" si="168"/>
        <v>#NUM!</v>
      </c>
      <c r="BH200" s="59" t="e">
        <f t="shared" si="194"/>
        <v>#NUM!</v>
      </c>
      <c r="BI200" s="59">
        <f ca="1">AVERAGE(OFFSET($BH$3,0,0,'Données projet'!$E$11+1,1))-AVERAGE(OFFSET($H$3,0,0,'Données projet'!$E$11+1,1))</f>
        <v>225.75484198243581</v>
      </c>
      <c r="BJ200" s="59">
        <f t="shared" si="206"/>
        <v>199.49566488421061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1.0859511416961629</v>
      </c>
      <c r="BQ200" s="21">
        <f>EXP(-LN(2)/25)*BQ199+(1-EXP(-LN(2)/25))/(LN(2)/25)*Calculateur!BL200*Calculateur!BN200*VLOOKUP('Données projet'!$B$11,Paramètres!$A$1:$I$89,3,0)*0.475*44/12</f>
        <v>2.7476013158851735</v>
      </c>
      <c r="BR200" s="21">
        <f>EXP(-LN(2)/2)*BR199+(1-EXP(-LN(2)/2))/(LN(2)/2)*BL200*BO200*VLOOKUP('Données projet'!$B$11,Paramètres!$A$1:$I$89,3,0)*0.475*44/12</f>
        <v>0</v>
      </c>
      <c r="BS200" s="22">
        <f t="shared" si="169"/>
        <v>3.8335524575813364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69.252110155714035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1.1368683772161603E-13</v>
      </c>
      <c r="BZ200" s="13">
        <f>BY200*VLOOKUP('Données projet'!$B$12,Paramètres!$A$1:$I$89,3,0)*VLOOKUP('Données projet'!$B$12,Paramètres!$A$1:$I$89,5,0)</f>
        <v>1.0818439477588981E-13</v>
      </c>
      <c r="CA200" s="13">
        <f t="shared" si="170"/>
        <v>1.6104228458716316E-12</v>
      </c>
      <c r="CB200" s="20">
        <f t="shared" si="171"/>
        <v>2.9932409441277661E-12</v>
      </c>
      <c r="CC200" s="59">
        <f t="shared" si="195"/>
        <v>290.59107057095446</v>
      </c>
      <c r="CD200" s="59">
        <f ca="1">AVERAGE(OFFSET($CC$3,0,0,'Données projet'!$E$12+1,1))-AVERAGE(OFFSET($H$3,0,0,'Données projet'!$E$12+1,1))</f>
        <v>413.9352601863377</v>
      </c>
      <c r="CE200" s="59">
        <f t="shared" si="207"/>
        <v>255.13997349799286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10.009608359232217</v>
      </c>
      <c r="CL200" s="21">
        <f>EXP(-LN(2)/25)*CL199+(1-EXP(-LN(2)/25))/(LN(2)/25)*Calculateur!CG200*Calculateur!CI200*VLOOKUP('Données projet'!$B$12,Paramètres!$A$1:$I$89,3,0)*0.475*44/12</f>
        <v>5.4663269255684375</v>
      </c>
      <c r="CM200" s="21">
        <f>EXP(-LN(2)/2)*CM199+(1-EXP(-LN(2)/2))/(LN(2)/2)*CG200*CJ200*VLOOKUP('Données projet'!$B$12,Paramètres!$A$1:$I$89,3,0)*0.475*44/12</f>
        <v>1.6682386215294944E-10</v>
      </c>
      <c r="CN200" s="22">
        <f t="shared" si="172"/>
        <v>15.475935284967479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69.252110155714035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2.8421709430404007E-14</v>
      </c>
      <c r="CU200" s="17">
        <f>CT200*VLOOKUP('Données projet'!$B$13,Paramètres!$A$1:$I$89,3,0)*VLOOKUP('Données projet'!$B$13,Paramètres!$A$1:$I$89,5,0)</f>
        <v>2.4829205358400945E-14</v>
      </c>
      <c r="CV200" s="13">
        <f t="shared" si="173"/>
        <v>4.3867331143352915E-13</v>
      </c>
      <c r="CW200" s="20">
        <f t="shared" si="174"/>
        <v>8.0726688341261168E-13</v>
      </c>
      <c r="CX200" s="59">
        <f t="shared" si="196"/>
        <v>290.59107057095224</v>
      </c>
      <c r="CY200" s="59">
        <f ca="1">AVERAGE(OFFSET($CX$3,0,0,'Données projet'!$E$13+1,1))-AVERAGE(OFFSET($H$3,0,0,'Données projet'!$E$13+1,1))</f>
        <v>280.59827778697775</v>
      </c>
      <c r="CZ200" s="59">
        <f t="shared" si="208"/>
        <v>270.86588231964726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>
        <f>EXP(-LN(2)/35)*DF199+(1-EXP(-LN(2)/35))/(LN(2)/35)*DB200*DC200*VLOOKUP('Données projet'!$B$13,Paramètres!$A$1:$I$89,3,0)*0.475*44/12</f>
        <v>3.2511127505807091</v>
      </c>
      <c r="DG200" s="21">
        <f>EXP(-LN(2)/25)*DG199+(1-EXP(-LN(2)/25))/(LN(2)/25)*Calculateur!DB200*Calculateur!DD200*VLOOKUP('Données projet'!$B$13,Paramètres!$A$1:$I$89,3,0)*0.475*44/12</f>
        <v>1.4237198639797068</v>
      </c>
      <c r="DH200" s="21">
        <f>EXP(-LN(2)/2)*DH199+(1-EXP(-LN(2)/2))/(LN(2)/2)*DB200*DE200*VLOOKUP('Données projet'!$B$13,Paramètres!$A$1:$I$89,3,0)*0.475*44/12</f>
        <v>1.1149236764681641E-16</v>
      </c>
      <c r="DI200" s="22">
        <f t="shared" si="175"/>
        <v>4.6748326145604162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69.252110155714035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>
        <f>DO200*VLOOKUP('Données projet'!$B$14,Paramètres!$A$1:$I$89,3,0)*VLOOKUP('Données projet'!$B$14,Paramètres!$A$1:$I$89,5,0)</f>
        <v>0</v>
      </c>
      <c r="DQ200" s="13" t="e">
        <f t="shared" si="176"/>
        <v>#NUM!</v>
      </c>
      <c r="DR200" s="20" t="e">
        <f t="shared" si="177"/>
        <v>#NUM!</v>
      </c>
      <c r="DS200" s="59" t="e">
        <f t="shared" si="197"/>
        <v>#NUM!</v>
      </c>
      <c r="DT200" s="59">
        <f ca="1">AVERAGE(OFFSET($DS$3,0,0,'Données projet'!$E$14+1,1))-AVERAGE(OFFSET($H$3,0,0,'Données projet'!$E$14+1,1))</f>
        <v>211.42385430331873</v>
      </c>
      <c r="DU200" s="59">
        <f t="shared" si="209"/>
        <v>146.84623106782686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>
        <f>EXP(-LN(2)/35)*EA199+(1-EXP(-LN(2)/35))/(LN(2)/35)*DW200*DX200*VLOOKUP('Données projet'!$B$14,Paramètres!$A$1:$I$89,3,0)*0.475*44/12</f>
        <v>4.7823797634823872</v>
      </c>
      <c r="EB200" s="21">
        <f>EXP(-LN(2)/25)*EB199+(1-EXP(-LN(2)/25))/(LN(2)/25)*Calculateur!DW200*Calculateur!DY200*VLOOKUP('Données projet'!$B$14,Paramètres!$A$1:$I$89,3,0)*0.475*44/12</f>
        <v>2.6222919568477119</v>
      </c>
      <c r="EC200" s="21">
        <f>EXP(-LN(2)/2)*EC199+(1-EXP(-LN(2)/2))/(LN(2)/2)*DW200*DZ200*VLOOKUP('Données projet'!$B$14,Paramètres!$A$1:$I$89,3,0)*0.475*44/12</f>
        <v>1.3360399152787696E-11</v>
      </c>
      <c r="ED200" s="22">
        <f t="shared" si="178"/>
        <v>7.4046717203434591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69.252110155714035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-9.9475983006414026E-14</v>
      </c>
      <c r="EK200" s="17">
        <f>EJ200*VLOOKUP('Données projet'!$B$15,Paramètres!$A$1:$I$89,3,0)*VLOOKUP('Données projet'!$B$15,Paramètres!$A$1:$I$89,5,0)</f>
        <v>-1.0707594810810407E-13</v>
      </c>
      <c r="EL200" s="13" t="e">
        <f t="shared" si="179"/>
        <v>#NUM!</v>
      </c>
      <c r="EM200" s="20" t="e">
        <f t="shared" si="180"/>
        <v>#NUM!</v>
      </c>
      <c r="EN200" s="59" t="e">
        <f t="shared" si="198"/>
        <v>#NUM!</v>
      </c>
      <c r="EO200" s="59">
        <f ca="1">AVERAGE(OFFSET($EN$3,0,0,'Données projet'!$E$15+1,1))-AVERAGE(OFFSET($H$3,0,0,'Données projet'!$E$15+1,1))</f>
        <v>212.00478362779876</v>
      </c>
      <c r="EP200" s="59">
        <f t="shared" si="210"/>
        <v>133.62262474506707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>
        <f>EXP(-LN(2)/35)*EV199+(1-EXP(-LN(2)/35))/(LN(2)/35)*ER200*ES200*VLOOKUP('Données projet'!$B$15,Paramètres!$A$1:$I$89,3,0)*0.475*44/12</f>
        <v>3.408568625441049</v>
      </c>
      <c r="EW200" s="21">
        <f>EXP(-LN(2)/25)*EW199+(1-EXP(-LN(2)/25))/(LN(2)/25)*Calculateur!ER200*Calculateur!ET200*VLOOKUP('Données projet'!$B$15,Paramètres!$A$1:$I$89,3,0)*0.475*44/12</f>
        <v>2.4208423343786887</v>
      </c>
      <c r="EX200" s="21">
        <f>EXP(-LN(2)/2)*EX199+(1-EXP(-LN(2)/2))/(LN(2)/2)*ER200*EU200*VLOOKUP('Données projet'!$B$15,Paramètres!$A$1:$I$89,3,0)*0.475*44/12</f>
        <v>8.0867626545079002E-11</v>
      </c>
      <c r="EY200" s="22">
        <f t="shared" si="181"/>
        <v>5.8294109599006054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69.252110155714035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-9.9475983006414026E-14</v>
      </c>
      <c r="FF200" s="17">
        <f>FE200*VLOOKUP('Données projet'!$B$16,Paramètres!$A$1:$I$89,3,0)*VLOOKUP('Données projet'!$B$16,Paramètres!$A$1:$I$89,5,0)</f>
        <v>-9.6213170763803652E-14</v>
      </c>
      <c r="FG200" s="13" t="e">
        <f t="shared" si="182"/>
        <v>#NUM!</v>
      </c>
      <c r="FH200" s="20" t="e">
        <f t="shared" si="183"/>
        <v>#NUM!</v>
      </c>
      <c r="FI200" s="59" t="e">
        <f t="shared" si="199"/>
        <v>#NUM!</v>
      </c>
      <c r="FJ200" s="59">
        <f ca="1">AVERAGE(OFFSET($FI$3,0,0,'Données projet'!$E$16+1,1))-AVERAGE(OFFSET($H$3,0,0,'Données projet'!$E$16+1,1))</f>
        <v>196.65742339093146</v>
      </c>
      <c r="FK200" s="59">
        <f t="shared" si="211"/>
        <v>125.41980634506001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>
        <f>EXP(-LN(2)/35)*FQ199+(1-EXP(-LN(2)/35))/(LN(2)/35)*FM200*FN200*VLOOKUP('Données projet'!$B$16,Paramètres!$A$1:$I$89,3,0)*0.475*44/12</f>
        <v>3.0627718083673203</v>
      </c>
      <c r="FR200" s="21">
        <f>EXP(-LN(2)/25)*FR199+(1-EXP(-LN(2)/25))/(LN(2)/25)*Calculateur!FM200*Calculateur!FO200*VLOOKUP('Données projet'!$B$16,Paramètres!$A$1:$I$89,3,0)*0.475*44/12</f>
        <v>2.1752496337895484</v>
      </c>
      <c r="FS200" s="21">
        <f>EXP(-LN(2)/2)*FS199+(1-EXP(-LN(2)/2))/(LN(2)/2)*FM200*FP200*VLOOKUP('Données projet'!$B$16,Paramètres!$A$1:$I$89,3,0)*0.475*44/12</f>
        <v>7.2663664431809754E-11</v>
      </c>
      <c r="FT200" s="22">
        <f t="shared" si="184"/>
        <v>5.2380214422295328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69.252110155714035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69.252110155714035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>
      <c r="A201" s="10">
        <f>A200+1</f>
        <v>198</v>
      </c>
      <c r="B201" s="73">
        <f>'Scénario référence'!$B$16*5+'Scénario référence'!$B$17*0+'Scénario référence'!$B$18*5</f>
        <v>4.6999999999999993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10.56369600000003</v>
      </c>
      <c r="D201" s="11">
        <f t="shared" si="202"/>
        <v>3.6999494395808745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22.805653326402382</v>
      </c>
      <c r="H201" s="67">
        <f t="shared" si="192"/>
        <v>212.57584914060342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69.265084372481198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-2.2737367544323206E-13</v>
      </c>
      <c r="O201" s="13">
        <f>N201*VLOOKUP('Données projet'!$B$9,Paramètres!$A$1:$I$89,3,0)*VLOOKUP('Données projet'!$B$9,Paramètres!$A$1:$I$89,5,0)</f>
        <v>-1.3596945791505279E-13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366.93249569585623</v>
      </c>
      <c r="T201" s="59">
        <f t="shared" si="204"/>
        <v>272.47262353368501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14.809788666286918</v>
      </c>
      <c r="AA201" s="21">
        <f>EXP(-LN(2)/25)*AA200+(1-EXP(-LN(2)/25))/(LN(2)/25)*Calculateur!V201*Calculateur!X201*VLOOKUP('Données projet'!$B$9,Paramètres!$A$1:$I$89,3,0)*0.475*44/12</f>
        <v>1.9633672726137428</v>
      </c>
      <c r="AB201" s="21">
        <f>EXP(-LN(2)/2)*AB200+(1-EXP(-LN(2)/2))/(LN(2)/2)*V201*Y201*VLOOKUP('Données projet'!$B$9,Paramètres!$A$1:$I$89,3,0)*0.475*44/12</f>
        <v>1.2267382040952302E-16</v>
      </c>
      <c r="AC201" s="22">
        <f t="shared" si="163"/>
        <v>16.773155938900661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69.265084372481198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1.1368683772161603E-13</v>
      </c>
      <c r="AJ201" s="13">
        <f>AI201*VLOOKUP('Données projet'!$B$10,Paramètres!$A$1:$I$89,3,0)*VLOOKUP('Données projet'!$B$10,Paramètres!$A$1:$I$89,5,0)</f>
        <v>5.3205440053716299E-14</v>
      </c>
      <c r="AK201" s="13">
        <f t="shared" si="164"/>
        <v>8.602146238565607E-13</v>
      </c>
      <c r="AL201" s="20">
        <f t="shared" si="165"/>
        <v>1.590873277977066E-12</v>
      </c>
      <c r="AM201" s="59">
        <f t="shared" si="193"/>
        <v>290.63864269909931</v>
      </c>
      <c r="AN201" s="59">
        <f ca="1">AVERAGE(OFFSET($AM$3,0,0,'Données projet'!$E$10+1,1))-AVERAGE(OFFSET($H$3,0,0,'Données projet'!$E$10+1,1))</f>
        <v>382.89338473200229</v>
      </c>
      <c r="AO201" s="59">
        <f t="shared" si="205"/>
        <v>360.46248248971744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29.210013607561791</v>
      </c>
      <c r="AV201" s="21">
        <f>EXP(-LN(2)/25)*AV200+(1-EXP(-LN(2)/25))/(LN(2)/25)*Calculateur!AQ201*Calculateur!AS201*VLOOKUP('Données projet'!$B$10,Paramètres!$A$1:$I$89,3,0)*0.475*44/12</f>
        <v>4.1325178365560546</v>
      </c>
      <c r="AW201" s="21">
        <f>EXP(-LN(2)/2)*AW200+(1-EXP(-LN(2)/2))/(LN(2)/2)*AQ201*AT201*VLOOKUP('Données projet'!$B$10,Paramètres!$A$1:$I$89,3,0)*0.475*44/12</f>
        <v>3.9418692064220311E-13</v>
      </c>
      <c r="AX201" s="21">
        <f t="shared" si="166"/>
        <v>33.342531444118237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69.265084372481198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>
        <f>BD201*VLOOKUP('Données projet'!$B$11,Paramètres!$A$1:$I$89,3,0)*VLOOKUP('Données projet'!$B$11,Paramètres!$A$1:$I$89,5,0)</f>
        <v>0</v>
      </c>
      <c r="BF201" s="13" t="e">
        <f t="shared" si="167"/>
        <v>#NUM!</v>
      </c>
      <c r="BG201" s="20" t="e">
        <f t="shared" si="168"/>
        <v>#NUM!</v>
      </c>
      <c r="BH201" s="59" t="e">
        <f t="shared" si="194"/>
        <v>#NUM!</v>
      </c>
      <c r="BI201" s="59">
        <f ca="1">AVERAGE(OFFSET($BH$3,0,0,'Données projet'!$E$11+1,1))-AVERAGE(OFFSET($H$3,0,0,'Données projet'!$E$11+1,1))</f>
        <v>225.75484198243581</v>
      </c>
      <c r="BJ201" s="59">
        <f t="shared" si="206"/>
        <v>199.49566488421061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1.0646563021722946</v>
      </c>
      <c r="BQ201" s="21">
        <f>EXP(-LN(2)/25)*BQ200+(1-EXP(-LN(2)/25))/(LN(2)/25)*Calculateur!BL201*Calculateur!BN201*VLOOKUP('Données projet'!$B$11,Paramètres!$A$1:$I$89,3,0)*0.475*44/12</f>
        <v>2.6724680134122201</v>
      </c>
      <c r="BR201" s="21">
        <f>EXP(-LN(2)/2)*BR200+(1-EXP(-LN(2)/2))/(LN(2)/2)*BL201*BO201*VLOOKUP('Données projet'!$B$11,Paramètres!$A$1:$I$89,3,0)*0.475*44/12</f>
        <v>0</v>
      </c>
      <c r="BS201" s="22">
        <f t="shared" si="169"/>
        <v>3.7371243155845146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69.265084372481198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1.1368683772161603E-13</v>
      </c>
      <c r="BZ201" s="13">
        <f>BY201*VLOOKUP('Données projet'!$B$12,Paramètres!$A$1:$I$89,3,0)*VLOOKUP('Données projet'!$B$12,Paramètres!$A$1:$I$89,5,0)</f>
        <v>1.0818439477588981E-13</v>
      </c>
      <c r="CA201" s="13">
        <f t="shared" si="170"/>
        <v>1.6104228458716316E-12</v>
      </c>
      <c r="CB201" s="20">
        <f t="shared" si="171"/>
        <v>2.9932409441277661E-12</v>
      </c>
      <c r="CC201" s="59">
        <f t="shared" si="195"/>
        <v>290.63864269910073</v>
      </c>
      <c r="CD201" s="59">
        <f ca="1">AVERAGE(OFFSET($CC$3,0,0,'Données projet'!$E$12+1,1))-AVERAGE(OFFSET($H$3,0,0,'Données projet'!$E$12+1,1))</f>
        <v>413.9352601863377</v>
      </c>
      <c r="CE201" s="59">
        <f t="shared" si="207"/>
        <v>255.13997349799286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9.8133260445659278</v>
      </c>
      <c r="CL201" s="21">
        <f>EXP(-LN(2)/25)*CL200+(1-EXP(-LN(2)/25))/(LN(2)/25)*Calculateur!CG201*Calculateur!CI201*VLOOKUP('Données projet'!$B$12,Paramètres!$A$1:$I$89,3,0)*0.475*44/12</f>
        <v>5.3168499283271293</v>
      </c>
      <c r="CM201" s="21">
        <f>EXP(-LN(2)/2)*CM200+(1-EXP(-LN(2)/2))/(LN(2)/2)*CG201*CJ201*VLOOKUP('Données projet'!$B$12,Paramètres!$A$1:$I$89,3,0)*0.475*44/12</f>
        <v>1.1796228419208038E-10</v>
      </c>
      <c r="CN201" s="22">
        <f t="shared" si="172"/>
        <v>15.130175973011019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69.265084372481198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2.8421709430404007E-14</v>
      </c>
      <c r="CU201" s="17">
        <f>CT201*VLOOKUP('Données projet'!$B$13,Paramètres!$A$1:$I$89,3,0)*VLOOKUP('Données projet'!$B$13,Paramètres!$A$1:$I$89,5,0)</f>
        <v>2.4829205358400945E-14</v>
      </c>
      <c r="CV201" s="13">
        <f t="shared" si="173"/>
        <v>4.3867331143352915E-13</v>
      </c>
      <c r="CW201" s="20">
        <f t="shared" si="174"/>
        <v>8.0726688341261168E-13</v>
      </c>
      <c r="CX201" s="59">
        <f t="shared" si="196"/>
        <v>290.63864269909851</v>
      </c>
      <c r="CY201" s="59">
        <f ca="1">AVERAGE(OFFSET($CX$3,0,0,'Données projet'!$E$13+1,1))-AVERAGE(OFFSET($H$3,0,0,'Données projet'!$E$13+1,1))</f>
        <v>280.59827778697775</v>
      </c>
      <c r="CZ201" s="59">
        <f t="shared" si="208"/>
        <v>270.86588231964726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>
        <f>EXP(-LN(2)/35)*DF200+(1-EXP(-LN(2)/35))/(LN(2)/35)*DB201*DC201*VLOOKUP('Données projet'!$B$13,Paramètres!$A$1:$I$89,3,0)*0.475*44/12</f>
        <v>3.1873604125247961</v>
      </c>
      <c r="DG201" s="21">
        <f>EXP(-LN(2)/25)*DG200+(1-EXP(-LN(2)/25))/(LN(2)/25)*Calculateur!DB201*Calculateur!DD201*VLOOKUP('Données projet'!$B$13,Paramètres!$A$1:$I$89,3,0)*0.475*44/12</f>
        <v>1.3847881694290081</v>
      </c>
      <c r="DH201" s="21">
        <f>EXP(-LN(2)/2)*DH200+(1-EXP(-LN(2)/2))/(LN(2)/2)*DB201*DE201*VLOOKUP('Données projet'!$B$13,Paramètres!$A$1:$I$89,3,0)*0.475*44/12</f>
        <v>7.8837009213607525E-17</v>
      </c>
      <c r="DI201" s="22">
        <f t="shared" si="175"/>
        <v>4.5721485819538046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69.265084372481198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>
        <f>DO201*VLOOKUP('Données projet'!$B$14,Paramètres!$A$1:$I$89,3,0)*VLOOKUP('Données projet'!$B$14,Paramètres!$A$1:$I$89,5,0)</f>
        <v>0</v>
      </c>
      <c r="DQ201" s="13" t="e">
        <f t="shared" si="176"/>
        <v>#NUM!</v>
      </c>
      <c r="DR201" s="20" t="e">
        <f t="shared" si="177"/>
        <v>#NUM!</v>
      </c>
      <c r="DS201" s="59" t="e">
        <f t="shared" si="197"/>
        <v>#NUM!</v>
      </c>
      <c r="DT201" s="59">
        <f ca="1">AVERAGE(OFFSET($DS$3,0,0,'Données projet'!$E$14+1,1))-AVERAGE(OFFSET($H$3,0,0,'Données projet'!$E$14+1,1))</f>
        <v>211.42385430331873</v>
      </c>
      <c r="DU201" s="59">
        <f t="shared" si="209"/>
        <v>146.84623106782686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>
        <f>EXP(-LN(2)/35)*EA200+(1-EXP(-LN(2)/35))/(LN(2)/35)*DW201*DX201*VLOOKUP('Données projet'!$B$14,Paramètres!$A$1:$I$89,3,0)*0.475*44/12</f>
        <v>4.6886002132841273</v>
      </c>
      <c r="EB201" s="21">
        <f>EXP(-LN(2)/25)*EB200+(1-EXP(-LN(2)/25))/(LN(2)/25)*Calculateur!DW201*Calculateur!DY201*VLOOKUP('Données projet'!$B$14,Paramètres!$A$1:$I$89,3,0)*0.475*44/12</f>
        <v>2.5505852453873703</v>
      </c>
      <c r="EC201" s="21">
        <f>EXP(-LN(2)/2)*EC200+(1-EXP(-LN(2)/2))/(LN(2)/2)*DW201*DZ201*VLOOKUP('Données projet'!$B$14,Paramètres!$A$1:$I$89,3,0)*0.475*44/12</f>
        <v>9.4472288402951843E-12</v>
      </c>
      <c r="ED201" s="22">
        <f t="shared" si="178"/>
        <v>7.2391854586809457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69.265084372481198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-9.9475983006414026E-14</v>
      </c>
      <c r="EK201" s="17">
        <f>EJ201*VLOOKUP('Données projet'!$B$15,Paramètres!$A$1:$I$89,3,0)*VLOOKUP('Données projet'!$B$15,Paramètres!$A$1:$I$89,5,0)</f>
        <v>-1.0707594810810407E-13</v>
      </c>
      <c r="EL201" s="13" t="e">
        <f t="shared" si="179"/>
        <v>#NUM!</v>
      </c>
      <c r="EM201" s="20" t="e">
        <f t="shared" si="180"/>
        <v>#NUM!</v>
      </c>
      <c r="EN201" s="59" t="e">
        <f t="shared" si="198"/>
        <v>#NUM!</v>
      </c>
      <c r="EO201" s="59">
        <f ca="1">AVERAGE(OFFSET($EN$3,0,0,'Données projet'!$E$15+1,1))-AVERAGE(OFFSET($H$3,0,0,'Données projet'!$E$15+1,1))</f>
        <v>212.00478362779876</v>
      </c>
      <c r="EP201" s="59">
        <f t="shared" si="210"/>
        <v>133.62262474506707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>
        <f>EXP(-LN(2)/35)*EV200+(1-EXP(-LN(2)/35))/(LN(2)/35)*ER201*ES201*VLOOKUP('Données projet'!$B$15,Paramètres!$A$1:$I$89,3,0)*0.475*44/12</f>
        <v>3.3417286737177254</v>
      </c>
      <c r="EW201" s="21">
        <f>EXP(-LN(2)/25)*EW200+(1-EXP(-LN(2)/25))/(LN(2)/25)*Calculateur!ER201*Calculateur!ET201*VLOOKUP('Données projet'!$B$15,Paramètres!$A$1:$I$89,3,0)*0.475*44/12</f>
        <v>2.354644273438538</v>
      </c>
      <c r="EX201" s="21">
        <f>EXP(-LN(2)/2)*EX200+(1-EXP(-LN(2)/2))/(LN(2)/2)*ER201*EU201*VLOOKUP('Données projet'!$B$15,Paramètres!$A$1:$I$89,3,0)*0.475*44/12</f>
        <v>5.7182047108486627E-11</v>
      </c>
      <c r="EY201" s="22">
        <f t="shared" si="181"/>
        <v>5.6963729472134448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69.265084372481198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-9.9475983006414026E-14</v>
      </c>
      <c r="FF201" s="17">
        <f>FE201*VLOOKUP('Données projet'!$B$16,Paramètres!$A$1:$I$89,3,0)*VLOOKUP('Données projet'!$B$16,Paramètres!$A$1:$I$89,5,0)</f>
        <v>-9.6213170763803652E-14</v>
      </c>
      <c r="FG201" s="13" t="e">
        <f t="shared" si="182"/>
        <v>#NUM!</v>
      </c>
      <c r="FH201" s="20" t="e">
        <f t="shared" si="183"/>
        <v>#NUM!</v>
      </c>
      <c r="FI201" s="59" t="e">
        <f t="shared" si="199"/>
        <v>#NUM!</v>
      </c>
      <c r="FJ201" s="59">
        <f ca="1">AVERAGE(OFFSET($FI$3,0,0,'Données projet'!$E$16+1,1))-AVERAGE(OFFSET($H$3,0,0,'Données projet'!$E$16+1,1))</f>
        <v>196.65742339093146</v>
      </c>
      <c r="FK201" s="59">
        <f t="shared" si="211"/>
        <v>125.41980634506001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>
        <f>EXP(-LN(2)/35)*FQ200+(1-EXP(-LN(2)/35))/(LN(2)/35)*FM201*FN201*VLOOKUP('Données projet'!$B$16,Paramètres!$A$1:$I$89,3,0)*0.475*44/12</f>
        <v>3.0027127213115801</v>
      </c>
      <c r="FR201" s="21">
        <f>EXP(-LN(2)/25)*FR200+(1-EXP(-LN(2)/25))/(LN(2)/25)*Calculateur!FM201*Calculateur!FO201*VLOOKUP('Données projet'!$B$16,Paramètres!$A$1:$I$89,3,0)*0.475*44/12</f>
        <v>2.1157673181621663</v>
      </c>
      <c r="FS201" s="21">
        <f>EXP(-LN(2)/2)*FS200+(1-EXP(-LN(2)/2))/(LN(2)/2)*FM201*FP201*VLOOKUP('Données projet'!$B$16,Paramètres!$A$1:$I$89,3,0)*0.475*44/12</f>
        <v>5.1380969865596417E-11</v>
      </c>
      <c r="FT201" s="22">
        <f t="shared" si="184"/>
        <v>5.118480039525128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69.265084372481198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69.265084372481198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>
      <c r="A202" s="10">
        <f t="shared" si="161"/>
        <v>199</v>
      </c>
      <c r="B202" s="73">
        <f>'Scénario référence'!$B$16*5+'Scénario référence'!$B$17*0+'Scénario référence'!$B$18*5</f>
        <v>4.6999999999999993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10.617048000000031</v>
      </c>
      <c r="D202" s="11">
        <f t="shared" si="202"/>
        <v>3.7164560868399583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22.838008910396063</v>
      </c>
      <c r="H202" s="67">
        <f t="shared" si="192"/>
        <v>212.697519617913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69.277833515593443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-2.2737367544323206E-13</v>
      </c>
      <c r="O202" s="13">
        <f>N202*VLOOKUP('Données projet'!$B$9,Paramètres!$A$1:$I$89,3,0)*VLOOKUP('Données projet'!$B$9,Paramètres!$A$1:$I$89,5,0)</f>
        <v>-1.3596945791505279E-13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366.93249569585623</v>
      </c>
      <c r="T202" s="59">
        <f t="shared" si="204"/>
        <v>272.47262353368501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14.519377743620176</v>
      </c>
      <c r="AA202" s="21">
        <f>EXP(-LN(2)/25)*AA201+(1-EXP(-LN(2)/25))/(LN(2)/25)*Calculateur!V202*Calculateur!X202*VLOOKUP('Données projet'!$B$9,Paramètres!$A$1:$I$89,3,0)*0.475*44/12</f>
        <v>1.9096788912951224</v>
      </c>
      <c r="AB202" s="21">
        <f>EXP(-LN(2)/2)*AB201+(1-EXP(-LN(2)/2))/(LN(2)/2)*V202*Y202*VLOOKUP('Données projet'!$B$9,Paramètres!$A$1:$I$89,3,0)*0.475*44/12</f>
        <v>8.6743490285634423E-17</v>
      </c>
      <c r="AC202" s="22">
        <f t="shared" si="163"/>
        <v>16.429056634915298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69.277833515593443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1.1368683772161603E-13</v>
      </c>
      <c r="AJ202" s="13">
        <f>AI202*VLOOKUP('Données projet'!$B$10,Paramètres!$A$1:$I$89,3,0)*VLOOKUP('Données projet'!$B$10,Paramètres!$A$1:$I$89,5,0)</f>
        <v>5.3205440053716299E-14</v>
      </c>
      <c r="AK202" s="13">
        <f t="shared" si="164"/>
        <v>8.602146238565607E-13</v>
      </c>
      <c r="AL202" s="20">
        <f t="shared" si="165"/>
        <v>1.590873277977066E-12</v>
      </c>
      <c r="AM202" s="59">
        <f t="shared" si="193"/>
        <v>290.68538955717753</v>
      </c>
      <c r="AN202" s="59">
        <f ca="1">AVERAGE(OFFSET($AM$3,0,0,'Données projet'!$E$10+1,1))-AVERAGE(OFFSET($H$3,0,0,'Données projet'!$E$10+1,1))</f>
        <v>382.89338473200229</v>
      </c>
      <c r="AO202" s="59">
        <f t="shared" si="205"/>
        <v>360.46248248971744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28.637223057066585</v>
      </c>
      <c r="AV202" s="21">
        <f>EXP(-LN(2)/25)*AV201+(1-EXP(-LN(2)/25))/(LN(2)/25)*Calculateur!AQ202*Calculateur!AS202*VLOOKUP('Données projet'!$B$10,Paramètres!$A$1:$I$89,3,0)*0.475*44/12</f>
        <v>4.0195139189957612</v>
      </c>
      <c r="AW202" s="21">
        <f>EXP(-LN(2)/2)*AW201+(1-EXP(-LN(2)/2))/(LN(2)/2)*AQ202*AT202*VLOOKUP('Données projet'!$B$10,Paramètres!$A$1:$I$89,3,0)*0.475*44/12</f>
        <v>2.7873224464114529E-13</v>
      </c>
      <c r="AX202" s="21">
        <f t="shared" si="166"/>
        <v>32.656736976062625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69.277833515593443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>
        <f>BD202*VLOOKUP('Données projet'!$B$11,Paramètres!$A$1:$I$89,3,0)*VLOOKUP('Données projet'!$B$11,Paramètres!$A$1:$I$89,5,0)</f>
        <v>0</v>
      </c>
      <c r="BF202" s="13" t="e">
        <f t="shared" si="167"/>
        <v>#NUM!</v>
      </c>
      <c r="BG202" s="20" t="e">
        <f t="shared" si="168"/>
        <v>#NUM!</v>
      </c>
      <c r="BH202" s="59" t="e">
        <f t="shared" si="194"/>
        <v>#NUM!</v>
      </c>
      <c r="BI202" s="59">
        <f ca="1">AVERAGE(OFFSET($BH$3,0,0,'Données projet'!$E$11+1,1))-AVERAGE(OFFSET($H$3,0,0,'Données projet'!$E$11+1,1))</f>
        <v>225.75484198243581</v>
      </c>
      <c r="BJ202" s="59">
        <f t="shared" si="206"/>
        <v>199.49566488421061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1.0437790414629196</v>
      </c>
      <c r="BQ202" s="21">
        <f>EXP(-LN(2)/25)*BQ201+(1-EXP(-LN(2)/25))/(LN(2)/25)*Calculateur!BL202*Calculateur!BN202*VLOOKUP('Données projet'!$B$11,Paramètres!$A$1:$I$89,3,0)*0.475*44/12</f>
        <v>2.5993892350464782</v>
      </c>
      <c r="BR202" s="21">
        <f>EXP(-LN(2)/2)*BR201+(1-EXP(-LN(2)/2))/(LN(2)/2)*BL202*BO202*VLOOKUP('Données projet'!$B$11,Paramètres!$A$1:$I$89,3,0)*0.475*44/12</f>
        <v>0</v>
      </c>
      <c r="BS202" s="22">
        <f t="shared" si="169"/>
        <v>3.6431682765093978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69.277833515593443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1.1368683772161603E-13</v>
      </c>
      <c r="BZ202" s="13">
        <f>BY202*VLOOKUP('Données projet'!$B$12,Paramètres!$A$1:$I$89,3,0)*VLOOKUP('Données projet'!$B$12,Paramètres!$A$1:$I$89,5,0)</f>
        <v>1.0818439477588981E-13</v>
      </c>
      <c r="CA202" s="13">
        <f t="shared" si="170"/>
        <v>1.6104228458716316E-12</v>
      </c>
      <c r="CB202" s="20">
        <f t="shared" si="171"/>
        <v>2.9932409441277661E-12</v>
      </c>
      <c r="CC202" s="59">
        <f t="shared" si="195"/>
        <v>290.68538955717895</v>
      </c>
      <c r="CD202" s="59">
        <f ca="1">AVERAGE(OFFSET($CC$3,0,0,'Données projet'!$E$12+1,1))-AVERAGE(OFFSET($H$3,0,0,'Données projet'!$E$12+1,1))</f>
        <v>413.9352601863377</v>
      </c>
      <c r="CE202" s="59">
        <f t="shared" si="207"/>
        <v>255.13997349799286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9.6208927063698546</v>
      </c>
      <c r="CL202" s="21">
        <f>EXP(-LN(2)/25)*CL201+(1-EXP(-LN(2)/25))/(LN(2)/25)*Calculateur!CG202*Calculateur!CI202*VLOOKUP('Données projet'!$B$12,Paramètres!$A$1:$I$89,3,0)*0.475*44/12</f>
        <v>5.1714603874360376</v>
      </c>
      <c r="CM202" s="21">
        <f>EXP(-LN(2)/2)*CM201+(1-EXP(-LN(2)/2))/(LN(2)/2)*CG202*CJ202*VLOOKUP('Données projet'!$B$12,Paramètres!$A$1:$I$89,3,0)*0.475*44/12</f>
        <v>8.3411931076474718E-11</v>
      </c>
      <c r="CN202" s="22">
        <f t="shared" si="172"/>
        <v>14.792353093889306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69.277833515593443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2.8421709430404007E-14</v>
      </c>
      <c r="CU202" s="17">
        <f>CT202*VLOOKUP('Données projet'!$B$13,Paramètres!$A$1:$I$89,3,0)*VLOOKUP('Données projet'!$B$13,Paramètres!$A$1:$I$89,5,0)</f>
        <v>2.4829205358400945E-14</v>
      </c>
      <c r="CV202" s="13">
        <f t="shared" si="173"/>
        <v>4.3867331143352915E-13</v>
      </c>
      <c r="CW202" s="20">
        <f t="shared" si="174"/>
        <v>8.0726688341261168E-13</v>
      </c>
      <c r="CX202" s="59">
        <f t="shared" si="196"/>
        <v>290.68538955717673</v>
      </c>
      <c r="CY202" s="59">
        <f ca="1">AVERAGE(OFFSET($CX$3,0,0,'Données projet'!$E$13+1,1))-AVERAGE(OFFSET($H$3,0,0,'Données projet'!$E$13+1,1))</f>
        <v>280.59827778697775</v>
      </c>
      <c r="CZ202" s="59">
        <f t="shared" si="208"/>
        <v>270.86588231964726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>
        <f>EXP(-LN(2)/35)*DF201+(1-EXP(-LN(2)/35))/(LN(2)/35)*DB202*DC202*VLOOKUP('Données projet'!$B$13,Paramètres!$A$1:$I$89,3,0)*0.475*44/12</f>
        <v>3.1248582189330727</v>
      </c>
      <c r="DG202" s="21">
        <f>EXP(-LN(2)/25)*DG201+(1-EXP(-LN(2)/25))/(LN(2)/25)*Calculateur!DB202*Calculateur!DD202*VLOOKUP('Données projet'!$B$13,Paramètres!$A$1:$I$89,3,0)*0.475*44/12</f>
        <v>1.3469210641131271</v>
      </c>
      <c r="DH202" s="21">
        <f>EXP(-LN(2)/2)*DH201+(1-EXP(-LN(2)/2))/(LN(2)/2)*DB202*DE202*VLOOKUP('Données projet'!$B$13,Paramètres!$A$1:$I$89,3,0)*0.475*44/12</f>
        <v>5.5746183823408206E-17</v>
      </c>
      <c r="DI202" s="22">
        <f t="shared" si="175"/>
        <v>4.4717792830461995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69.277833515593443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>
        <f>DO202*VLOOKUP('Données projet'!$B$14,Paramètres!$A$1:$I$89,3,0)*VLOOKUP('Données projet'!$B$14,Paramètres!$A$1:$I$89,5,0)</f>
        <v>0</v>
      </c>
      <c r="DQ202" s="13" t="e">
        <f t="shared" si="176"/>
        <v>#NUM!</v>
      </c>
      <c r="DR202" s="20" t="e">
        <f t="shared" si="177"/>
        <v>#NUM!</v>
      </c>
      <c r="DS202" s="59" t="e">
        <f t="shared" si="197"/>
        <v>#NUM!</v>
      </c>
      <c r="DT202" s="59">
        <f ca="1">AVERAGE(OFFSET($DS$3,0,0,'Données projet'!$E$14+1,1))-AVERAGE(OFFSET($H$3,0,0,'Données projet'!$E$14+1,1))</f>
        <v>211.42385430331873</v>
      </c>
      <c r="DU202" s="59">
        <f t="shared" si="209"/>
        <v>146.84623106782686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>
        <f>EXP(-LN(2)/35)*EA201+(1-EXP(-LN(2)/35))/(LN(2)/35)*DW202*DX202*VLOOKUP('Données projet'!$B$14,Paramètres!$A$1:$I$89,3,0)*0.475*44/12</f>
        <v>4.5966596228653778</v>
      </c>
      <c r="EB202" s="21">
        <f>EXP(-LN(2)/25)*EB201+(1-EXP(-LN(2)/25))/(LN(2)/25)*Calculateur!DW202*Calculateur!DY202*VLOOKUP('Données projet'!$B$14,Paramètres!$A$1:$I$89,3,0)*0.475*44/12</f>
        <v>2.4808393577228038</v>
      </c>
      <c r="EC202" s="21">
        <f>EXP(-LN(2)/2)*EC201+(1-EXP(-LN(2)/2))/(LN(2)/2)*DW202*DZ202*VLOOKUP('Données projet'!$B$14,Paramètres!$A$1:$I$89,3,0)*0.475*44/12</f>
        <v>6.6801995763938481E-12</v>
      </c>
      <c r="ED202" s="22">
        <f t="shared" si="178"/>
        <v>7.0774989805948616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69.277833515593443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-9.9475983006414026E-14</v>
      </c>
      <c r="EK202" s="17">
        <f>EJ202*VLOOKUP('Données projet'!$B$15,Paramètres!$A$1:$I$89,3,0)*VLOOKUP('Données projet'!$B$15,Paramètres!$A$1:$I$89,5,0)</f>
        <v>-1.0707594810810407E-13</v>
      </c>
      <c r="EL202" s="13" t="e">
        <f t="shared" si="179"/>
        <v>#NUM!</v>
      </c>
      <c r="EM202" s="20" t="e">
        <f t="shared" si="180"/>
        <v>#NUM!</v>
      </c>
      <c r="EN202" s="59" t="e">
        <f t="shared" si="198"/>
        <v>#NUM!</v>
      </c>
      <c r="EO202" s="59">
        <f ca="1">AVERAGE(OFFSET($EN$3,0,0,'Données projet'!$E$15+1,1))-AVERAGE(OFFSET($H$3,0,0,'Données projet'!$E$15+1,1))</f>
        <v>212.00478362779876</v>
      </c>
      <c r="EP202" s="59">
        <f t="shared" si="210"/>
        <v>133.62262474506707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>
        <f>EXP(-LN(2)/35)*EV201+(1-EXP(-LN(2)/35))/(LN(2)/35)*ER202*ES202*VLOOKUP('Données projet'!$B$15,Paramètres!$A$1:$I$89,3,0)*0.475*44/12</f>
        <v>3.2761994126793512</v>
      </c>
      <c r="EW202" s="21">
        <f>EXP(-LN(2)/25)*EW201+(1-EXP(-LN(2)/25))/(LN(2)/25)*Calculateur!ER202*Calculateur!ET202*VLOOKUP('Données projet'!$B$15,Paramètres!$A$1:$I$89,3,0)*0.475*44/12</f>
        <v>2.2902564019560003</v>
      </c>
      <c r="EX202" s="21">
        <f>EXP(-LN(2)/2)*EX201+(1-EXP(-LN(2)/2))/(LN(2)/2)*ER202*EU202*VLOOKUP('Données projet'!$B$15,Paramètres!$A$1:$I$89,3,0)*0.475*44/12</f>
        <v>4.0433813272539507E-11</v>
      </c>
      <c r="EY202" s="22">
        <f t="shared" si="181"/>
        <v>5.566455814675785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69.277833515593443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-9.9475983006414026E-14</v>
      </c>
      <c r="FF202" s="17">
        <f>FE202*VLOOKUP('Données projet'!$B$16,Paramètres!$A$1:$I$89,3,0)*VLOOKUP('Données projet'!$B$16,Paramètres!$A$1:$I$89,5,0)</f>
        <v>-9.6213170763803652E-14</v>
      </c>
      <c r="FG202" s="13" t="e">
        <f t="shared" si="182"/>
        <v>#NUM!</v>
      </c>
      <c r="FH202" s="20" t="e">
        <f t="shared" si="183"/>
        <v>#NUM!</v>
      </c>
      <c r="FI202" s="59" t="e">
        <f t="shared" si="199"/>
        <v>#NUM!</v>
      </c>
      <c r="FJ202" s="59">
        <f ca="1">AVERAGE(OFFSET($FI$3,0,0,'Données projet'!$E$16+1,1))-AVERAGE(OFFSET($H$3,0,0,'Données projet'!$E$16+1,1))</f>
        <v>196.65742339093146</v>
      </c>
      <c r="FK202" s="59">
        <f t="shared" si="211"/>
        <v>125.41980634506001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>
        <f>EXP(-LN(2)/35)*FQ201+(1-EXP(-LN(2)/35))/(LN(2)/35)*FM202*FN202*VLOOKUP('Données projet'!$B$16,Paramètres!$A$1:$I$89,3,0)*0.475*44/12</f>
        <v>2.9438313563205769</v>
      </c>
      <c r="FR202" s="21">
        <f>EXP(-LN(2)/25)*FR201+(1-EXP(-LN(2)/25))/(LN(2)/25)*Calculateur!FM202*Calculateur!FO202*VLOOKUP('Données projet'!$B$16,Paramètres!$A$1:$I$89,3,0)*0.475*44/12</f>
        <v>2.0579115495836544</v>
      </c>
      <c r="FS202" s="21">
        <f>EXP(-LN(2)/2)*FS201+(1-EXP(-LN(2)/2))/(LN(2)/2)*FM202*FP202*VLOOKUP('Données projet'!$B$16,Paramètres!$A$1:$I$89,3,0)*0.475*44/12</f>
        <v>3.6331832215904877E-11</v>
      </c>
      <c r="FT202" s="22">
        <f t="shared" si="184"/>
        <v>5.0017429059405636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69.277833515593443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69.277833515593443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4.65" thickBot="1">
      <c r="A203" s="10">
        <f>A202+1</f>
        <v>200</v>
      </c>
      <c r="B203" s="73">
        <f>'Scénario référence'!$B$16*5+'Scénario référence'!$B$17*0+'Scénario référence'!$B$18*5</f>
        <v>4.6999999999999993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10.670400000000031</v>
      </c>
      <c r="D203" s="11">
        <f t="shared" si="202"/>
        <v>3.7329530817348555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46.5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22.870360023821068</v>
      </c>
      <c r="H203" s="67">
        <f t="shared" si="192"/>
        <v>212.81917328402162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69.290361489575517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-2.2737367544323206E-13</v>
      </c>
      <c r="O203" s="13">
        <f>N203*VLOOKUP('Données projet'!$B$9,Paramètres!$A$1:$I$89,3,0)*VLOOKUP('Données projet'!$B$9,Paramètres!$A$1:$I$89,5,0)</f>
        <v>-1.3596945791505279E-13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366.93249569585623</v>
      </c>
      <c r="T203" s="59">
        <f t="shared" si="204"/>
        <v>272.47262353368501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14.234661602013755</v>
      </c>
      <c r="AA203" s="21">
        <f>EXP(-LN(2)/25)*AA202+(1-EXP(-LN(2)/25))/(LN(2)/25)*Calculateur!V203*Calculateur!X203*VLOOKUP('Données projet'!$B$9,Paramètres!$A$1:$I$89,3,0)*0.475*44/12</f>
        <v>1.857458621587009</v>
      </c>
      <c r="AB203" s="21">
        <f>EXP(-LN(2)/2)*AB202+(1-EXP(-LN(2)/2))/(LN(2)/2)*V203*Y203*VLOOKUP('Données projet'!$B$9,Paramètres!$A$1:$I$89,3,0)*0.475*44/12</f>
        <v>6.133691020476151E-17</v>
      </c>
      <c r="AC203" s="22">
        <f t="shared" si="163"/>
        <v>16.092120223600766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69.290361489575517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1.1368683772161603E-13</v>
      </c>
      <c r="AJ203" s="13">
        <f>AI203*VLOOKUP('Données projet'!$B$10,Paramètres!$A$1:$I$89,3,0)*VLOOKUP('Données projet'!$B$10,Paramètres!$A$1:$I$89,5,0)</f>
        <v>5.3205440053716299E-14</v>
      </c>
      <c r="AK203" s="13">
        <f t="shared" si="164"/>
        <v>8.602146238565607E-13</v>
      </c>
      <c r="AL203" s="20">
        <f t="shared" si="165"/>
        <v>1.590873277977066E-12</v>
      </c>
      <c r="AM203" s="59">
        <f t="shared" si="193"/>
        <v>290.73132546177845</v>
      </c>
      <c r="AN203" s="59">
        <f ca="1">AVERAGE(OFFSET($AM$3,0,0,'Données projet'!$E$10+1,1))-AVERAGE(OFFSET($H$3,0,0,'Données projet'!$E$10+1,1))</f>
        <v>382.89338473200229</v>
      </c>
      <c r="AO203" s="59">
        <f t="shared" si="205"/>
        <v>360.46248248971744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28.075664579898852</v>
      </c>
      <c r="AV203" s="21">
        <f>EXP(-LN(2)/25)*AV202+(1-EXP(-LN(2)/25))/(LN(2)/25)*Calculateur!AQ203*Calculateur!AS203*VLOOKUP('Données projet'!$B$10,Paramètres!$A$1:$I$89,3,0)*0.475*44/12</f>
        <v>3.9096000995037716</v>
      </c>
      <c r="AW203" s="21">
        <f>EXP(-LN(2)/2)*AW202+(1-EXP(-LN(2)/2))/(LN(2)/2)*AQ203*AT203*VLOOKUP('Données projet'!$B$10,Paramètres!$A$1:$I$89,3,0)*0.475*44/12</f>
        <v>1.9709346032110156E-13</v>
      </c>
      <c r="AX203" s="21">
        <f t="shared" si="166"/>
        <v>31.985264679402821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69.290361489575517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>
        <f>BD203*VLOOKUP('Données projet'!$B$11,Paramètres!$A$1:$I$89,3,0)*VLOOKUP('Données projet'!$B$11,Paramètres!$A$1:$I$89,5,0)</f>
        <v>0</v>
      </c>
      <c r="BF203" s="13" t="e">
        <f t="shared" si="167"/>
        <v>#NUM!</v>
      </c>
      <c r="BG203" s="20" t="e">
        <f t="shared" si="168"/>
        <v>#NUM!</v>
      </c>
      <c r="BH203" s="59" t="e">
        <f t="shared" si="194"/>
        <v>#NUM!</v>
      </c>
      <c r="BI203" s="59">
        <f ca="1">AVERAGE(OFFSET($BH$3,0,0,'Données projet'!$E$11+1,1))-AVERAGE(OFFSET($H$3,0,0,'Données projet'!$E$11+1,1))</f>
        <v>225.75484198243581</v>
      </c>
      <c r="BJ203" s="59">
        <f t="shared" si="206"/>
        <v>199.49566488421061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1.0233111711021838</v>
      </c>
      <c r="BQ203" s="21">
        <f>EXP(-LN(2)/25)*BQ202+(1-EXP(-LN(2)/25))/(LN(2)/25)*Calculateur!BL203*Calculateur!BN203*VLOOKUP('Données projet'!$B$11,Paramètres!$A$1:$I$89,3,0)*0.475*44/12</f>
        <v>2.5283087997181934</v>
      </c>
      <c r="BR203" s="21">
        <f>EXP(-LN(2)/2)*BR202+(1-EXP(-LN(2)/2))/(LN(2)/2)*BL203*BO203*VLOOKUP('Données projet'!$B$11,Paramètres!$A$1:$I$89,3,0)*0.475*44/12</f>
        <v>0</v>
      </c>
      <c r="BS203" s="22">
        <f t="shared" si="169"/>
        <v>3.5516199708203775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69.290361489575517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1.1368683772161603E-13</v>
      </c>
      <c r="BZ203" s="13">
        <f>BY203*VLOOKUP('Données projet'!$B$12,Paramètres!$A$1:$I$89,3,0)*VLOOKUP('Données projet'!$B$12,Paramètres!$A$1:$I$89,5,0)</f>
        <v>1.0818439477588981E-13</v>
      </c>
      <c r="CA203" s="13">
        <f t="shared" si="170"/>
        <v>1.6104228458716316E-12</v>
      </c>
      <c r="CB203" s="20">
        <f t="shared" si="171"/>
        <v>2.9932409441277661E-12</v>
      </c>
      <c r="CC203" s="59">
        <f t="shared" si="195"/>
        <v>290.73132546177987</v>
      </c>
      <c r="CD203" s="59">
        <f ca="1">AVERAGE(OFFSET($CC$3,0,0,'Données projet'!$E$12+1,1))-AVERAGE(OFFSET($H$3,0,0,'Données projet'!$E$12+1,1))</f>
        <v>413.9352601863377</v>
      </c>
      <c r="CE203" s="59">
        <f t="shared" si="207"/>
        <v>255.13997349799286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9.4322328685630588</v>
      </c>
      <c r="CL203" s="21">
        <f>EXP(-LN(2)/25)*CL202+(1-EXP(-LN(2)/25))/(LN(2)/25)*Calculateur!CG203*Calculateur!CI203*VLOOKUP('Données projet'!$B$12,Paramètres!$A$1:$I$89,3,0)*0.475*44/12</f>
        <v>5.0300465311863167</v>
      </c>
      <c r="CM203" s="21">
        <f>EXP(-LN(2)/2)*CM202+(1-EXP(-LN(2)/2))/(LN(2)/2)*CG203*CJ203*VLOOKUP('Données projet'!$B$12,Paramètres!$A$1:$I$89,3,0)*0.475*44/12</f>
        <v>5.8981142096040192E-11</v>
      </c>
      <c r="CN203" s="22">
        <f t="shared" si="172"/>
        <v>14.462279399808356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69.290361489575517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2.8421709430404007E-14</v>
      </c>
      <c r="CU203" s="17">
        <f>CT203*VLOOKUP('Données projet'!$B$13,Paramètres!$A$1:$I$89,3,0)*VLOOKUP('Données projet'!$B$13,Paramètres!$A$1:$I$89,5,0)</f>
        <v>2.4829205358400945E-14</v>
      </c>
      <c r="CV203" s="13">
        <f t="shared" si="173"/>
        <v>4.3867331143352915E-13</v>
      </c>
      <c r="CW203" s="20">
        <f t="shared" si="174"/>
        <v>8.0726688341261168E-13</v>
      </c>
      <c r="CX203" s="59">
        <f t="shared" si="196"/>
        <v>290.73132546177766</v>
      </c>
      <c r="CY203" s="59">
        <f ca="1">AVERAGE(OFFSET($CX$3,0,0,'Données projet'!$E$13+1,1))-AVERAGE(OFFSET($H$3,0,0,'Données projet'!$E$13+1,1))</f>
        <v>280.59827778697775</v>
      </c>
      <c r="CZ203" s="59">
        <f t="shared" si="208"/>
        <v>270.86588231964726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>
        <f>EXP(-LN(2)/35)*DF202+(1-EXP(-LN(2)/35))/(LN(2)/35)*DB203*DC203*VLOOKUP('Données projet'!$B$13,Paramètres!$A$1:$I$89,3,0)*0.475*44/12</f>
        <v>3.0635816552351094</v>
      </c>
      <c r="DG203" s="21">
        <f>EXP(-LN(2)/25)*DG202+(1-EXP(-LN(2)/25))/(LN(2)/25)*Calculateur!DB203*Calculateur!DD203*VLOOKUP('Données projet'!$B$13,Paramètres!$A$1:$I$89,3,0)*0.475*44/12</f>
        <v>1.3100894367834532</v>
      </c>
      <c r="DH203" s="21">
        <f>EXP(-LN(2)/2)*DH202+(1-EXP(-LN(2)/2))/(LN(2)/2)*DB203*DE203*VLOOKUP('Données projet'!$B$13,Paramètres!$A$1:$I$89,3,0)*0.475*44/12</f>
        <v>3.9418504606803763E-17</v>
      </c>
      <c r="DI203" s="22">
        <f t="shared" si="175"/>
        <v>4.3736710920185624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69.290361489575517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>
        <f>DO203*VLOOKUP('Données projet'!$B$14,Paramètres!$A$1:$I$89,3,0)*VLOOKUP('Données projet'!$B$14,Paramètres!$A$1:$I$89,5,0)</f>
        <v>0</v>
      </c>
      <c r="DQ203" s="13" t="e">
        <f t="shared" si="176"/>
        <v>#NUM!</v>
      </c>
      <c r="DR203" s="20" t="e">
        <f t="shared" si="177"/>
        <v>#NUM!</v>
      </c>
      <c r="DS203" s="59" t="e">
        <f t="shared" si="197"/>
        <v>#NUM!</v>
      </c>
      <c r="DT203" s="59">
        <f ca="1">AVERAGE(OFFSET($DS$3,0,0,'Données projet'!$E$14+1,1))-AVERAGE(OFFSET($H$3,0,0,'Données projet'!$E$14+1,1))</f>
        <v>211.42385430331873</v>
      </c>
      <c r="DU203" s="59">
        <f t="shared" si="209"/>
        <v>146.84623106782686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>
        <f>EXP(-LN(2)/35)*EA202+(1-EXP(-LN(2)/35))/(LN(2)/35)*DW203*DX203*VLOOKUP('Données projet'!$B$14,Paramètres!$A$1:$I$89,3,0)*0.475*44/12</f>
        <v>4.5065219313465166</v>
      </c>
      <c r="EB203" s="21">
        <f>EXP(-LN(2)/25)*EB202+(1-EXP(-LN(2)/25))/(LN(2)/25)*Calculateur!DW203*Calculateur!DY203*VLOOKUP('Données projet'!$B$14,Paramètres!$A$1:$I$89,3,0)*0.475*44/12</f>
        <v>2.4130006750242021</v>
      </c>
      <c r="EC203" s="21">
        <f>EXP(-LN(2)/2)*EC202+(1-EXP(-LN(2)/2))/(LN(2)/2)*DW203*DZ203*VLOOKUP('Données projet'!$B$14,Paramètres!$A$1:$I$89,3,0)*0.475*44/12</f>
        <v>4.7236144201475922E-12</v>
      </c>
      <c r="ED203" s="22">
        <f t="shared" si="178"/>
        <v>6.919522606375442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69.290361489575517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-9.9475983006414026E-14</v>
      </c>
      <c r="EK203" s="17">
        <f>EJ203*VLOOKUP('Données projet'!$B$15,Paramètres!$A$1:$I$89,3,0)*VLOOKUP('Données projet'!$B$15,Paramètres!$A$1:$I$89,5,0)</f>
        <v>-1.0707594810810407E-13</v>
      </c>
      <c r="EL203" s="13" t="e">
        <f t="shared" si="179"/>
        <v>#NUM!</v>
      </c>
      <c r="EM203" s="20" t="e">
        <f t="shared" si="180"/>
        <v>#NUM!</v>
      </c>
      <c r="EN203" s="59" t="e">
        <f t="shared" si="198"/>
        <v>#NUM!</v>
      </c>
      <c r="EO203" s="59">
        <f ca="1">AVERAGE(OFFSET($EN$3,0,0,'Données projet'!$E$15+1,1))-AVERAGE(OFFSET($H$3,0,0,'Données projet'!$E$15+1,1))</f>
        <v>212.00478362779876</v>
      </c>
      <c r="EP203" s="59">
        <f t="shared" si="210"/>
        <v>133.62262474506707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>
        <f>EXP(-LN(2)/35)*EV202+(1-EXP(-LN(2)/35))/(LN(2)/35)*ER203*ES203*VLOOKUP('Données projet'!$B$15,Paramètres!$A$1:$I$89,3,0)*0.475*44/12</f>
        <v>3.2119551404810367</v>
      </c>
      <c r="EW203" s="21">
        <f>EXP(-LN(2)/25)*EW202+(1-EXP(-LN(2)/25))/(LN(2)/25)*Calculateur!ER203*Calculateur!ET203*VLOOKUP('Données projet'!$B$15,Paramètres!$A$1:$I$89,3,0)*0.475*44/12</f>
        <v>2.2276292202051637</v>
      </c>
      <c r="EX203" s="21">
        <f>EXP(-LN(2)/2)*EX202+(1-EXP(-LN(2)/2))/(LN(2)/2)*ER203*EU203*VLOOKUP('Données projet'!$B$15,Paramètres!$A$1:$I$89,3,0)*0.475*44/12</f>
        <v>2.8591023554243316E-11</v>
      </c>
      <c r="EY203" s="22">
        <f t="shared" si="181"/>
        <v>5.4395843607147922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69.290361489575517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-9.9475983006414026E-14</v>
      </c>
      <c r="FF203" s="17">
        <f>FE203*VLOOKUP('Données projet'!$B$16,Paramètres!$A$1:$I$89,3,0)*VLOOKUP('Données projet'!$B$16,Paramètres!$A$1:$I$89,5,0)</f>
        <v>-9.6213170763803652E-14</v>
      </c>
      <c r="FG203" s="13" t="e">
        <f t="shared" si="182"/>
        <v>#NUM!</v>
      </c>
      <c r="FH203" s="20" t="e">
        <f t="shared" si="183"/>
        <v>#NUM!</v>
      </c>
      <c r="FI203" s="59" t="e">
        <f t="shared" si="199"/>
        <v>#NUM!</v>
      </c>
      <c r="FJ203" s="59">
        <f ca="1">AVERAGE(OFFSET($FI$3,0,0,'Données projet'!$E$16+1,1))-AVERAGE(OFFSET($H$3,0,0,'Données projet'!$E$16+1,1))</f>
        <v>196.65742339093146</v>
      </c>
      <c r="FK203" s="59">
        <f t="shared" si="211"/>
        <v>125.41980634506001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>
        <f>EXP(-LN(2)/35)*FQ202+(1-EXP(-LN(2)/35))/(LN(2)/35)*FM203*FN203*VLOOKUP('Données projet'!$B$16,Paramètres!$A$1:$I$89,3,0)*0.475*44/12</f>
        <v>2.8861046189829609</v>
      </c>
      <c r="FR203" s="21">
        <f>EXP(-LN(2)/25)*FR202+(1-EXP(-LN(2)/25))/(LN(2)/25)*Calculateur!FM203*Calculateur!FO203*VLOOKUP('Données projet'!$B$16,Paramètres!$A$1:$I$89,3,0)*0.475*44/12</f>
        <v>2.0016378500394243</v>
      </c>
      <c r="FS203" s="21">
        <f>EXP(-LN(2)/2)*FS202+(1-EXP(-LN(2)/2))/(LN(2)/2)*FM203*FP203*VLOOKUP('Données projet'!$B$16,Paramètres!$A$1:$I$89,3,0)*0.475*44/12</f>
        <v>2.5690484932798208E-11</v>
      </c>
      <c r="FT203" s="22">
        <f t="shared" si="184"/>
        <v>4.8877424690480753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69.290361489575517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69.290361489575517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4.65" thickBot="1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4.65" thickBot="1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1.2474449991725556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1.1548473372585901</v>
      </c>
      <c r="BA205" s="82">
        <f>EXP(LN('Données projet'!B88)/'Données projet'!A88)</f>
        <v>1.2226994946602114</v>
      </c>
      <c r="BV205" s="82">
        <f>EXP(LN('Données projet'!B114)/'Données projet'!A114)</f>
        <v>1.1852335095914694</v>
      </c>
      <c r="CQ205" s="82">
        <f>EXP(LN('Données projet'!B140)/'Données projet'!A140)</f>
        <v>1.2240347367580502</v>
      </c>
      <c r="DL205" s="82">
        <f>EXP(LN('Données projet'!B166)/'Données projet'!A166)</f>
        <v>1.197119521332874</v>
      </c>
      <c r="EG205" s="82">
        <f>EXP(LN('Données projet'!B192)/'Données projet'!A192)</f>
        <v>1.1439407123438055</v>
      </c>
      <c r="FB205" s="82">
        <f>EXP(LN('Données projet'!B218)/'Données projet'!A218)</f>
        <v>1.1439407123438055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6484375" defaultRowHeight="14.25"/>
  <cols>
    <col min="1" max="1" width="23.46484375" style="4" bestFit="1" customWidth="1"/>
    <col min="2" max="2" width="27.59765625" style="4" bestFit="1" customWidth="1"/>
    <col min="3" max="3" width="11.9296875" style="4" bestFit="1" customWidth="1"/>
    <col min="4" max="4" width="40" style="4" bestFit="1" customWidth="1"/>
    <col min="5" max="5" width="11.9296875" style="4" bestFit="1" customWidth="1"/>
    <col min="6" max="6" width="13.59765625" style="4" bestFit="1" customWidth="1"/>
    <col min="7" max="7" width="11.46484375" style="4" bestFit="1" customWidth="1"/>
    <col min="8" max="8" width="39" style="4" bestFit="1" customWidth="1"/>
    <col min="9" max="9" width="16.59765625" style="4" customWidth="1"/>
    <col min="10" max="14" width="11.46484375" style="4"/>
    <col min="15" max="15" width="23.46484375" style="4" bestFit="1" customWidth="1"/>
    <col min="16" max="16384" width="11.46484375" style="4"/>
  </cols>
  <sheetData>
    <row r="1" spans="1:16" ht="43.15" thickBot="1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4" t="s">
        <v>238</v>
      </c>
      <c r="P2" s="121">
        <v>0</v>
      </c>
    </row>
    <row r="3" spans="1:16" ht="14.65" thickBot="1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5"/>
      <c r="P3" s="128">
        <v>0.2</v>
      </c>
    </row>
    <row r="4" spans="1:16" ht="14.65" thickBot="1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4" t="s">
        <v>237</v>
      </c>
      <c r="P5" s="121">
        <v>0</v>
      </c>
    </row>
    <row r="6" spans="1:16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6"/>
      <c r="P6" s="129">
        <v>0.05</v>
      </c>
    </row>
    <row r="7" spans="1:16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6"/>
      <c r="P7" s="129">
        <v>0.1</v>
      </c>
    </row>
    <row r="8" spans="1:16" ht="14.65" thickBot="1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5"/>
      <c r="P8" s="128">
        <v>0.15</v>
      </c>
    </row>
    <row r="9" spans="1:16" ht="14.65" thickBot="1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4" t="s">
        <v>236</v>
      </c>
      <c r="P10" s="121">
        <v>0</v>
      </c>
    </row>
    <row r="11" spans="1:16" ht="14.65" thickBot="1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5"/>
      <c r="P11" s="128">
        <v>0.1</v>
      </c>
    </row>
    <row r="12" spans="1:16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4.65" thickBot="1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>
      <c r="A93" s="122" t="s">
        <v>208</v>
      </c>
    </row>
    <row r="94" spans="1:14">
      <c r="A94" s="122" t="s">
        <v>209</v>
      </c>
    </row>
    <row r="95" spans="1:14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F1" zoomScale="80" zoomScaleNormal="80" workbookViewId="0">
      <selection activeCell="N19" sqref="N19"/>
    </sheetView>
  </sheetViews>
  <sheetFormatPr baseColWidth="10" defaultColWidth="11.46484375" defaultRowHeight="14.25"/>
  <cols>
    <col min="1" max="1" width="11.46484375" style="1"/>
    <col min="2" max="2" width="30.9296875" style="1" bestFit="1" customWidth="1"/>
    <col min="3" max="3" width="18.06640625" style="1" bestFit="1" customWidth="1"/>
    <col min="4" max="5" width="11.46484375" style="1"/>
    <col min="6" max="6" width="14" style="1" customWidth="1"/>
    <col min="7" max="7" width="17.53125" style="1" customWidth="1"/>
    <col min="8" max="8" width="21.59765625" style="1" customWidth="1"/>
    <col min="9" max="9" width="37" style="1" customWidth="1"/>
    <col min="10" max="10" width="11.46484375" style="1"/>
    <col min="11" max="11" width="8.9296875" style="1" customWidth="1"/>
    <col min="12" max="12" width="11.46484375" style="1"/>
    <col min="13" max="13" width="21" style="1" customWidth="1"/>
    <col min="14" max="16" width="11.46484375" style="1"/>
    <col min="17" max="17" width="8" style="1" customWidth="1"/>
    <col min="18" max="18" width="11.46484375" style="1"/>
    <col min="19" max="19" width="31" style="1" customWidth="1"/>
    <col min="20" max="20" width="18.06640625" style="1" customWidth="1"/>
    <col min="21" max="21" width="16.46484375" style="1" customWidth="1"/>
    <col min="22" max="22" width="17.9296875" style="1" customWidth="1"/>
    <col min="23" max="16384" width="11.46484375" style="1"/>
  </cols>
  <sheetData>
    <row r="1" spans="1:42" ht="14.65" thickBo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5.9" thickBot="1">
      <c r="A2" s="4"/>
      <c r="B2" s="259" t="s">
        <v>272</v>
      </c>
      <c r="C2" s="260"/>
      <c r="D2" s="260"/>
      <c r="E2" s="260"/>
      <c r="F2" s="260"/>
      <c r="G2" s="260"/>
      <c r="H2" s="260"/>
      <c r="I2" s="260"/>
      <c r="J2" s="260"/>
      <c r="K2" s="260"/>
      <c r="L2" s="260"/>
      <c r="M2" s="260"/>
      <c r="N2" s="260"/>
      <c r="O2" s="260"/>
      <c r="P2" s="261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>
      <c r="A4" s="4"/>
      <c r="B4" s="4"/>
      <c r="C4" s="4"/>
      <c r="D4" s="4"/>
      <c r="E4" s="4"/>
      <c r="G4" s="4"/>
      <c r="H4" s="267" t="s">
        <v>315</v>
      </c>
      <c r="I4" s="267"/>
      <c r="K4" s="287" t="s">
        <v>253</v>
      </c>
      <c r="L4" s="288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4.65" thickBot="1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7" t="s">
        <v>310</v>
      </c>
      <c r="S7" s="298"/>
      <c r="T7" s="298"/>
      <c r="U7" s="298"/>
      <c r="V7" s="299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Pin laricio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1674.4714956032494</v>
      </c>
      <c r="U10" s="178">
        <f>'Données projet'!D9</f>
        <v>6.468</v>
      </c>
      <c r="V10" s="177">
        <f>U10*T10</f>
        <v>10830.481633561818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Cèdre de l'Atlas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1787.2374067069393</v>
      </c>
      <c r="U11" s="178">
        <f>'Données projet'!D10</f>
        <v>5.2919999999999998</v>
      </c>
      <c r="V11" s="177">
        <f t="shared" ref="V11" si="0">U11*T11</f>
        <v>9458.0603562931228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Chêne rouge d'Amérique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330.91953589708123</v>
      </c>
      <c r="U12" s="178">
        <f>'Données projet'!D11</f>
        <v>0.55004677268475211</v>
      </c>
      <c r="V12" s="177">
        <f t="shared" ref="V12:V19" si="1">U12*T12</f>
        <v>182.02122273852549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>Charme</v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394.03911504070209</v>
      </c>
      <c r="U13" s="178">
        <f>'Données projet'!D12</f>
        <v>0.55004677268475211</v>
      </c>
      <c r="V13" s="177">
        <f t="shared" si="1"/>
        <v>216.73994353969394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>
      <c r="A14" s="46" t="s">
        <v>165</v>
      </c>
      <c r="B14" s="174" t="str">
        <f>IF('Données projet'!$B$9="","",'Données projet'!$B$9)</f>
        <v>Pin laricio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>Erable champêtre</v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571.91518057530845</v>
      </c>
      <c r="U14" s="178">
        <f>'Données projet'!D13</f>
        <v>0.44099999999999995</v>
      </c>
      <c r="V14" s="177">
        <f t="shared" si="1"/>
        <v>252.21459463371099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>
      <c r="A15" s="4"/>
      <c r="B15" s="4"/>
      <c r="C15" s="4"/>
      <c r="D15" s="4"/>
      <c r="E15" s="4"/>
      <c r="F15" s="230"/>
      <c r="G15" s="290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>Tilleul</v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168.48435761580771</v>
      </c>
      <c r="U15" s="178">
        <f>'Données projet'!D14</f>
        <v>0.44099999999999995</v>
      </c>
      <c r="V15" s="177">
        <f t="shared" si="1"/>
        <v>74.301601708571198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290"/>
      <c r="H16" s="190"/>
      <c r="I16" s="191"/>
      <c r="J16" s="202"/>
      <c r="K16" s="208"/>
      <c r="L16" s="287" t="s">
        <v>254</v>
      </c>
      <c r="M16" s="288"/>
      <c r="N16" s="2">
        <v>80</v>
      </c>
      <c r="O16" s="23"/>
      <c r="P16" s="23"/>
      <c r="Q16" s="234"/>
      <c r="R16" s="23"/>
      <c r="S16" s="36" t="str">
        <f>B200</f>
        <v>Cormier</v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48.007574825612522</v>
      </c>
      <c r="U16" s="178">
        <f>'Données projet'!D15</f>
        <v>0.48129092609915808</v>
      </c>
      <c r="V16" s="177">
        <f t="shared" si="1"/>
        <v>23.10561014759368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>
      <c r="A17" s="49">
        <v>0</v>
      </c>
      <c r="B17" s="199" t="s">
        <v>132</v>
      </c>
      <c r="C17" s="198" t="s">
        <v>132</v>
      </c>
      <c r="D17" s="197" t="s">
        <v>132</v>
      </c>
      <c r="E17" s="193"/>
      <c r="F17" s="230"/>
      <c r="G17" s="290"/>
      <c r="J17" s="202"/>
      <c r="K17" s="208"/>
      <c r="L17" s="264" t="s">
        <v>289</v>
      </c>
      <c r="M17" s="266"/>
      <c r="N17" s="175">
        <f>VLOOKUP(N16,Calculateur!$A$2:$H$153,3,0)/VLOOKUP('Scénario référence'!$G$15,Paramètres!A1:I89,3,0)/VLOOKUP('Scénario référence'!$G$15,Paramètres!A1:I89,5,0)</f>
        <v>4.7999999999999963</v>
      </c>
      <c r="O17" s="23"/>
      <c r="P17" s="23"/>
      <c r="Q17" s="234"/>
      <c r="R17" s="23"/>
      <c r="S17" s="36" t="str">
        <f>B231</f>
        <v>Alisier torminal</v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67.84129166727368</v>
      </c>
      <c r="U17" s="178">
        <f>'Données projet'!D16</f>
        <v>0.44099999999999995</v>
      </c>
      <c r="V17" s="177">
        <f t="shared" si="1"/>
        <v>29.91800962526769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290"/>
      <c r="J18" s="202"/>
      <c r="K18" s="208"/>
      <c r="L18" s="264" t="s">
        <v>255</v>
      </c>
      <c r="M18" s="266"/>
      <c r="N18" s="192">
        <v>18</v>
      </c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290"/>
      <c r="H19" s="212" t="s">
        <v>178</v>
      </c>
      <c r="I19" s="212" t="s">
        <v>287</v>
      </c>
      <c r="J19" s="93"/>
      <c r="K19" s="173"/>
      <c r="L19" s="287" t="s">
        <v>288</v>
      </c>
      <c r="M19" s="288"/>
      <c r="N19" s="179">
        <f>N17*N18</f>
        <v>86.399999999999935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290"/>
      <c r="H20" s="190">
        <v>1</v>
      </c>
      <c r="I20" s="191">
        <v>2952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2</v>
      </c>
      <c r="I21" s="191">
        <v>1177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3</v>
      </c>
      <c r="I22" s="191">
        <v>1177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>
      <c r="A23" s="180">
        <f>'Données projet'!A36</f>
        <v>22</v>
      </c>
      <c r="B23" s="181">
        <f>'Données projet'!D36</f>
        <v>52.620000000000005</v>
      </c>
      <c r="C23" s="193">
        <v>12.75</v>
      </c>
      <c r="D23" s="182">
        <f>B23*C23</f>
        <v>670.90500000000009</v>
      </c>
      <c r="E23" s="193">
        <v>60</v>
      </c>
      <c r="F23" s="230"/>
      <c r="H23" s="190">
        <v>5</v>
      </c>
      <c r="I23" s="191">
        <v>1177</v>
      </c>
      <c r="J23" s="257"/>
      <c r="K23" s="208"/>
      <c r="L23" s="289" t="s">
        <v>260</v>
      </c>
      <c r="M23" s="289"/>
      <c r="N23" s="289"/>
      <c r="O23" s="23"/>
      <c r="P23" s="23"/>
      <c r="Q23" s="234"/>
      <c r="R23" s="23"/>
      <c r="S23" s="36" t="s">
        <v>264</v>
      </c>
      <c r="T23" s="302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-65348.290673007781</v>
      </c>
      <c r="U23" s="302"/>
      <c r="V23" s="302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>
      <c r="A24" s="180">
        <f>'Données projet'!A37</f>
        <v>27</v>
      </c>
      <c r="B24" s="181">
        <f>'Données projet'!D37</f>
        <v>37.929999999999993</v>
      </c>
      <c r="C24" s="193">
        <v>12.75</v>
      </c>
      <c r="D24" s="182">
        <f t="shared" ref="D24:D42" si="2">B24*C24</f>
        <v>483.6074999999999</v>
      </c>
      <c r="E24" s="193">
        <v>60</v>
      </c>
      <c r="F24" s="233"/>
      <c r="H24" s="190"/>
      <c r="I24" s="191"/>
      <c r="K24" s="208"/>
      <c r="O24" s="23"/>
      <c r="P24" s="23"/>
      <c r="Q24" s="234"/>
      <c r="R24" s="23"/>
      <c r="S24" s="36" t="s">
        <v>261</v>
      </c>
      <c r="T24" s="303">
        <f ca="1">'Scénario référence'!$B$8*$M$30*'Données projet'!$C$5+('Scénario référence'!B9+'Scénario référence'!B10+'Scénario référence'!F8+'Scénario référence'!F9)*$N$19/(1+M4)^N16*'Données projet'!$C$5</f>
        <v>34301.12555719565</v>
      </c>
      <c r="U24" s="303"/>
      <c r="V24" s="303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>
      <c r="A25" s="180">
        <f>'Données projet'!A38</f>
        <v>33</v>
      </c>
      <c r="B25" s="181">
        <f>'Données projet'!D38</f>
        <v>50.460000000000008</v>
      </c>
      <c r="C25" s="193">
        <v>12.75</v>
      </c>
      <c r="D25" s="182">
        <f t="shared" si="2"/>
        <v>643.36500000000012</v>
      </c>
      <c r="E25" s="193">
        <v>60</v>
      </c>
      <c r="F25" s="233"/>
      <c r="H25" s="190"/>
      <c r="I25" s="191"/>
      <c r="K25" s="208"/>
      <c r="L25" s="130" t="s">
        <v>285</v>
      </c>
      <c r="M25" s="130"/>
      <c r="N25" s="130"/>
      <c r="O25" s="130"/>
      <c r="P25" s="192">
        <v>110</v>
      </c>
      <c r="Q25" s="234"/>
      <c r="R25" s="23"/>
      <c r="S25" s="186" t="s">
        <v>266</v>
      </c>
      <c r="T25" s="304">
        <f ca="1">T23-T24</f>
        <v>-99649.416230203438</v>
      </c>
      <c r="U25" s="304"/>
      <c r="V25" s="30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>
      <c r="A26" s="180">
        <f>'Données projet'!A39</f>
        <v>41</v>
      </c>
      <c r="B26" s="181">
        <f>'Données projet'!D39</f>
        <v>72.16</v>
      </c>
      <c r="C26" s="193">
        <v>24.5</v>
      </c>
      <c r="D26" s="182">
        <f t="shared" si="2"/>
        <v>1767.9199999999998</v>
      </c>
      <c r="E26" s="193">
        <v>60</v>
      </c>
      <c r="F26" s="233"/>
      <c r="G26" s="229"/>
      <c r="H26" s="190"/>
      <c r="I26" s="191"/>
      <c r="K26" s="208"/>
      <c r="L26" s="291" t="s">
        <v>258</v>
      </c>
      <c r="M26" s="292"/>
      <c r="N26" s="292"/>
      <c r="O26" s="292"/>
      <c r="P26" s="293"/>
      <c r="Q26" s="234"/>
      <c r="R26" s="23"/>
      <c r="S26" s="186" t="s">
        <v>265</v>
      </c>
      <c r="T26" s="301" t="str">
        <f ca="1">IF(T25&lt;0,"Votre projet est additionnel","Votre projet n'est pas additionnel")</f>
        <v>Votre projet est additionnel</v>
      </c>
      <c r="U26" s="301"/>
      <c r="V26" s="301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>
      <c r="A27" s="180">
        <f>'Données projet'!A40</f>
        <v>50</v>
      </c>
      <c r="B27" s="181">
        <f>'Données projet'!D40</f>
        <v>70.20999999999998</v>
      </c>
      <c r="C27" s="193">
        <v>24.5</v>
      </c>
      <c r="D27" s="182">
        <f t="shared" si="2"/>
        <v>1720.1449999999995</v>
      </c>
      <c r="E27" s="193">
        <v>60</v>
      </c>
      <c r="F27" s="233"/>
      <c r="G27" s="229"/>
      <c r="H27" s="190"/>
      <c r="I27" s="191"/>
      <c r="K27" s="208"/>
      <c r="L27" s="294"/>
      <c r="M27" s="295"/>
      <c r="N27" s="295"/>
      <c r="O27" s="295"/>
      <c r="P27" s="296"/>
      <c r="Q27" s="234"/>
      <c r="R27" s="23"/>
      <c r="S27" s="300" t="s">
        <v>267</v>
      </c>
      <c r="T27" s="300"/>
      <c r="U27" s="300"/>
      <c r="V27" s="300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>
      <c r="A28" s="180">
        <f>'Données projet'!A41</f>
        <v>60</v>
      </c>
      <c r="B28" s="181">
        <f>'Données projet'!D41</f>
        <v>69.839999999999975</v>
      </c>
      <c r="C28" s="193">
        <v>24.5</v>
      </c>
      <c r="D28" s="182">
        <f t="shared" si="2"/>
        <v>1711.0799999999995</v>
      </c>
      <c r="E28" s="193">
        <v>60</v>
      </c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>
      <c r="A29" s="180">
        <f>'Données projet'!A42</f>
        <v>70</v>
      </c>
      <c r="B29" s="181">
        <f>'Données projet'!D42</f>
        <v>67.88</v>
      </c>
      <c r="C29" s="193">
        <v>24.5</v>
      </c>
      <c r="D29" s="182">
        <f t="shared" si="2"/>
        <v>1663.06</v>
      </c>
      <c r="E29" s="193">
        <v>60</v>
      </c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>
      <c r="A30" s="180">
        <f>'Données projet'!A43</f>
        <v>80</v>
      </c>
      <c r="B30" s="181">
        <f>'Données projet'!D43</f>
        <v>520.03</v>
      </c>
      <c r="C30" s="193">
        <v>34</v>
      </c>
      <c r="D30" s="182">
        <f t="shared" si="2"/>
        <v>17681.02</v>
      </c>
      <c r="E30" s="193">
        <v>60</v>
      </c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2482.1879420369755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>
      <c r="A31" s="180">
        <f>'Données projet'!A44</f>
        <v>0</v>
      </c>
      <c r="B31" s="181">
        <f>'Données projet'!D44</f>
        <v>0</v>
      </c>
      <c r="C31" s="193"/>
      <c r="D31" s="182">
        <f t="shared" si="2"/>
        <v>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110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105.26315789473685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100.73029463611184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96.392626446040026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92.241747795253644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88.269615115075254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84.468531210598343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80.831130345070179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77.350363966574363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74.019487049353458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70.832045023304758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67.781861266320348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>
      <c r="A45" s="46" t="s">
        <v>166</v>
      </c>
      <c r="B45" s="174" t="str">
        <f>IF('Données projet'!$B$10="","",'Données projet'!$B$10)</f>
        <v>Cèdre de l'Atlas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64.863025135234793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62.069880512186401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59.397014844197528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>
      <c r="A48" s="49">
        <v>0</v>
      </c>
      <c r="B48" s="199" t="s">
        <v>132</v>
      </c>
      <c r="C48" s="198" t="s">
        <v>132</v>
      </c>
      <c r="D48" s="197" t="s">
        <v>132</v>
      </c>
      <c r="E48" s="193"/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56.839248654734469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54.391625506922963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52.049402398969342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49.808040573176413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47.663196720742981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45.610714565304299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>
      <c r="A54" s="180">
        <f>'Données projet'!A62</f>
        <v>42</v>
      </c>
      <c r="B54" s="181">
        <f>'Données projet'!D62</f>
        <v>185.17</v>
      </c>
      <c r="C54" s="191">
        <v>30.374999999999996</v>
      </c>
      <c r="D54" s="179">
        <f>B54*C54</f>
        <v>5624.5387499999988</v>
      </c>
      <c r="E54" s="193">
        <v>60</v>
      </c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43.64661680890363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>
      <c r="A55" s="180">
        <f>'Données projet'!A63</f>
        <v>49</v>
      </c>
      <c r="B55" s="181">
        <f>'Données projet'!D63</f>
        <v>101.22000000000003</v>
      </c>
      <c r="C55" s="191">
        <v>30.374999999999996</v>
      </c>
      <c r="D55" s="179">
        <f t="shared" ref="D55:D73" si="4">B55*C55</f>
        <v>3074.5575000000003</v>
      </c>
      <c r="E55" s="193">
        <v>60</v>
      </c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41.767097424788176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>
      <c r="A56" s="180">
        <f>'Données projet'!A64</f>
        <v>56</v>
      </c>
      <c r="B56" s="181">
        <f>'Données projet'!D64</f>
        <v>80.21999999999997</v>
      </c>
      <c r="C56" s="191">
        <v>30.374999999999996</v>
      </c>
      <c r="D56" s="179">
        <f t="shared" si="4"/>
        <v>2436.682499999999</v>
      </c>
      <c r="E56" s="193">
        <v>60</v>
      </c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39.968514282093949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>
      <c r="A57" s="180">
        <f>'Données projet'!A65</f>
        <v>63</v>
      </c>
      <c r="B57" s="181">
        <f>'Données projet'!D65</f>
        <v>79.909999999999968</v>
      </c>
      <c r="C57" s="191">
        <v>30.374999999999996</v>
      </c>
      <c r="D57" s="179">
        <f t="shared" si="4"/>
        <v>2427.2662499999988</v>
      </c>
      <c r="E57" s="193">
        <v>60</v>
      </c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38.247382088128191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>
      <c r="A58" s="180">
        <f>'Données projet'!A66</f>
        <v>71</v>
      </c>
      <c r="B58" s="181">
        <f>'Données projet'!D66</f>
        <v>91.730000000000018</v>
      </c>
      <c r="C58" s="191">
        <v>30.374999999999996</v>
      </c>
      <c r="D58" s="179">
        <f t="shared" si="4"/>
        <v>2786.2987500000004</v>
      </c>
      <c r="E58" s="193">
        <v>60</v>
      </c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36.600365634572434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>
      <c r="A59" s="180">
        <f>'Données projet'!A67</f>
        <v>79</v>
      </c>
      <c r="B59" s="181">
        <f>'Données projet'!D67</f>
        <v>89.009999999999991</v>
      </c>
      <c r="C59" s="191">
        <v>30.374999999999996</v>
      </c>
      <c r="D59" s="179">
        <f t="shared" si="4"/>
        <v>2703.6787499999996</v>
      </c>
      <c r="E59" s="193">
        <v>60</v>
      </c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35.02427333451908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>
      <c r="A60" s="180">
        <f>'Données projet'!A68</f>
        <v>87</v>
      </c>
      <c r="B60" s="181">
        <f>'Données projet'!D68</f>
        <v>89.649999999999977</v>
      </c>
      <c r="C60" s="191">
        <v>37.53</v>
      </c>
      <c r="D60" s="179">
        <f t="shared" si="4"/>
        <v>3364.564499999999</v>
      </c>
      <c r="E60" s="193">
        <v>60</v>
      </c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33.516051037817306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>
      <c r="A61" s="180">
        <f>'Données projet'!A69</f>
        <v>95</v>
      </c>
      <c r="B61" s="181">
        <f>'Données projet'!D69</f>
        <v>272.32</v>
      </c>
      <c r="C61" s="191">
        <v>37.53</v>
      </c>
      <c r="D61" s="179">
        <f t="shared" si="4"/>
        <v>10220.169599999999</v>
      </c>
      <c r="E61" s="193">
        <v>60</v>
      </c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32.072776112743838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>
      <c r="A62" s="180">
        <f>'Données projet'!A70</f>
        <v>105</v>
      </c>
      <c r="B62" s="181">
        <f>'Données projet'!D70</f>
        <v>361.46</v>
      </c>
      <c r="C62" s="191">
        <v>37.53</v>
      </c>
      <c r="D62" s="179">
        <f t="shared" si="4"/>
        <v>13565.593799999999</v>
      </c>
      <c r="E62" s="193">
        <v>60</v>
      </c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30.691651782529984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>
      <c r="A63" s="180">
        <f>'Données projet'!A71</f>
        <v>0</v>
      </c>
      <c r="B63" s="181">
        <f>'Données projet'!D71</f>
        <v>0</v>
      </c>
      <c r="C63" s="191"/>
      <c r="D63" s="179">
        <f t="shared" si="4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29.370001705770331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28.105264790210835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26.894990229866846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25.736832755853442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24.628548091725786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23.567988604522284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22.553099143083529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21.581913055582326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20.652548378547682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19.763204189997783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18.912157119615109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18.097758009201062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17.318428716938818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>
      <c r="A76" s="46" t="s">
        <v>167</v>
      </c>
      <c r="B76" s="174" t="str">
        <f>IF('Données projet'!B11="","",'Données projet'!B11)</f>
        <v>Chêne rouge d'Amérique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16.572659059271597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15.859003884470429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15.176080272220506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>
      <c r="A79" s="49">
        <v>0</v>
      </c>
      <c r="B79" s="199" t="s">
        <v>132</v>
      </c>
      <c r="C79" s="198" t="s">
        <v>132</v>
      </c>
      <c r="D79" s="197" t="s">
        <v>132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14.522564853799532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13.897191247655053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13.298747605411538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12.726074263551711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12.178061496221737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11.65364736480549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>
      <c r="A85" s="180">
        <f>'Données projet'!A88</f>
        <v>20</v>
      </c>
      <c r="B85" s="181">
        <f>'Données projet'!D88</f>
        <v>18.589743589743588</v>
      </c>
      <c r="C85" s="191">
        <v>13.5625</v>
      </c>
      <c r="D85" s="179">
        <f>B85*C85</f>
        <v>252.1233974358974</v>
      </c>
      <c r="E85" s="193">
        <v>60</v>
      </c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11.151815660100949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>
      <c r="A86" s="180">
        <f>'Données projet'!A89</f>
        <v>25</v>
      </c>
      <c r="B86" s="181">
        <f>'Données projet'!D89</f>
        <v>12.179487179487179</v>
      </c>
      <c r="C86" s="191">
        <v>13.5625</v>
      </c>
      <c r="D86" s="179">
        <f t="shared" ref="D86:D104" si="6">B86*C86</f>
        <v>165.18429487179486</v>
      </c>
      <c r="E86" s="193">
        <v>60</v>
      </c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10.671593933110955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>
      <c r="A87" s="180">
        <f>'Données projet'!A90</f>
        <v>30</v>
      </c>
      <c r="B87" s="181">
        <f>'Données projet'!D90</f>
        <v>12.820512820512819</v>
      </c>
      <c r="C87" s="191">
        <v>13.5625</v>
      </c>
      <c r="D87" s="179">
        <f t="shared" si="6"/>
        <v>173.87820512820511</v>
      </c>
      <c r="E87" s="193">
        <v>60</v>
      </c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10.212051610632498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>
      <c r="A88" s="180">
        <f>'Données projet'!A91</f>
        <v>35</v>
      </c>
      <c r="B88" s="181">
        <f>'Données projet'!D91</f>
        <v>12.820512820512819</v>
      </c>
      <c r="C88" s="191">
        <v>13.5625</v>
      </c>
      <c r="D88" s="179">
        <f t="shared" si="6"/>
        <v>173.87820512820511</v>
      </c>
      <c r="E88" s="193">
        <v>60</v>
      </c>
      <c r="F88" s="232"/>
      <c r="G88" s="205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9.7722981919928191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>
      <c r="A89" s="180">
        <f>'Données projet'!A92</f>
        <v>40</v>
      </c>
      <c r="B89" s="181">
        <f>'Données projet'!D92</f>
        <v>12.820512820512819</v>
      </c>
      <c r="C89" s="191">
        <v>13.5625</v>
      </c>
      <c r="D89" s="179">
        <f t="shared" si="6"/>
        <v>173.87820512820511</v>
      </c>
      <c r="E89" s="193">
        <v>60</v>
      </c>
      <c r="F89" s="232"/>
      <c r="G89" s="205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9.3514815234381068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>
      <c r="A90" s="180">
        <f>'Données projet'!A93</f>
        <v>45</v>
      </c>
      <c r="B90" s="181">
        <f>'Données projet'!D93</f>
        <v>12.179487179487179</v>
      </c>
      <c r="C90" s="191">
        <v>13.5625</v>
      </c>
      <c r="D90" s="179">
        <f t="shared" si="6"/>
        <v>165.18429487179486</v>
      </c>
      <c r="E90" s="193">
        <v>60</v>
      </c>
      <c r="F90" s="232"/>
      <c r="G90" s="205"/>
      <c r="H90" s="190"/>
      <c r="I90" s="191"/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5"/>
        <v>8.9487861468307255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>
      <c r="A91" s="180">
        <f>'Données projet'!A94</f>
        <v>50</v>
      </c>
      <c r="B91" s="181">
        <f>'Données projet'!D94</f>
        <v>11.538461538461538</v>
      </c>
      <c r="C91" s="191">
        <v>13.5625</v>
      </c>
      <c r="D91" s="179">
        <f t="shared" si="6"/>
        <v>156.49038461538461</v>
      </c>
      <c r="E91" s="193">
        <v>60</v>
      </c>
      <c r="F91" s="232"/>
      <c r="G91" s="206"/>
      <c r="H91" s="190"/>
      <c r="I91" s="191"/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5"/>
        <v>8.5634317194552416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>
      <c r="A92" s="180">
        <f>'Données projet'!A95</f>
        <v>55</v>
      </c>
      <c r="B92" s="181">
        <f>'Données projet'!D95</f>
        <v>10.897435897435898</v>
      </c>
      <c r="C92" s="191">
        <v>13.5625</v>
      </c>
      <c r="D92" s="179">
        <f t="shared" si="6"/>
        <v>147.79647435897436</v>
      </c>
      <c r="E92" s="193">
        <v>60</v>
      </c>
      <c r="F92" s="232"/>
      <c r="G92" s="206"/>
      <c r="H92" s="190"/>
      <c r="I92" s="191"/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5"/>
        <v>8.1946715018710456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>
      <c r="A93" s="180">
        <f>'Données projet'!A96</f>
        <v>60</v>
      </c>
      <c r="B93" s="181">
        <f>'Données projet'!D96</f>
        <v>10.256410256410255</v>
      </c>
      <c r="C93" s="191">
        <v>13.5625</v>
      </c>
      <c r="D93" s="179">
        <f t="shared" si="6"/>
        <v>139.10256410256409</v>
      </c>
      <c r="E93" s="193">
        <v>60</v>
      </c>
      <c r="F93" s="232"/>
      <c r="G93" s="206"/>
      <c r="H93" s="190"/>
      <c r="I93" s="191"/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5"/>
        <v>7.8417909108813832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>
      <c r="A94" s="180">
        <f>'Données projet'!A97</f>
        <v>65</v>
      </c>
      <c r="B94" s="181">
        <f>'Données projet'!D97</f>
        <v>9.615384615384615</v>
      </c>
      <c r="C94" s="191">
        <v>32.787500000000001</v>
      </c>
      <c r="D94" s="179">
        <f t="shared" si="6"/>
        <v>315.26442307692309</v>
      </c>
      <c r="E94" s="193">
        <v>60</v>
      </c>
      <c r="F94" s="232"/>
      <c r="G94" s="206"/>
      <c r="H94" s="190"/>
      <c r="I94" s="191"/>
      <c r="J94" s="4"/>
      <c r="K94" s="173"/>
      <c r="L94" s="4"/>
      <c r="M94" s="4"/>
      <c r="N94" s="4"/>
      <c r="O94" s="194">
        <f>IF(O93+1&lt;=MIN('Données projet'!$E$9:$E$18),O93+1,"STOP")</f>
        <v>61</v>
      </c>
      <c r="P94" s="185">
        <f t="shared" si="5"/>
        <v>7.5041061348147196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>
      <c r="A95" s="180">
        <f>'Données projet'!A98</f>
        <v>70</v>
      </c>
      <c r="B95" s="181">
        <f>'Données projet'!D98</f>
        <v>8.9743589743589745</v>
      </c>
      <c r="C95" s="191">
        <v>32.787500000000001</v>
      </c>
      <c r="D95" s="179">
        <f t="shared" si="6"/>
        <v>294.24679487179486</v>
      </c>
      <c r="E95" s="193">
        <v>60</v>
      </c>
      <c r="F95" s="232"/>
      <c r="G95" s="206"/>
      <c r="H95" s="190"/>
      <c r="I95" s="191"/>
      <c r="J95" s="4"/>
      <c r="K95" s="173"/>
      <c r="L95" s="4"/>
      <c r="M95" s="4"/>
      <c r="N95" s="4"/>
      <c r="O95" s="194">
        <f>IF(O94+1&lt;=MIN('Données projet'!$E$9:$E$18),O94+1,"STOP")</f>
        <v>62</v>
      </c>
      <c r="P95" s="185">
        <f t="shared" si="5"/>
        <v>7.180962808435142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>
      <c r="A96" s="180">
        <f>'Données projet'!A99</f>
        <v>75</v>
      </c>
      <c r="B96" s="181">
        <f>'Données projet'!D99</f>
        <v>7.6923076923076916</v>
      </c>
      <c r="C96" s="191">
        <v>32.787500000000001</v>
      </c>
      <c r="D96" s="179">
        <f t="shared" si="6"/>
        <v>252.21153846153845</v>
      </c>
      <c r="E96" s="193">
        <v>60</v>
      </c>
      <c r="F96" s="232"/>
      <c r="G96" s="206"/>
      <c r="H96" s="190"/>
      <c r="I96" s="191"/>
      <c r="J96" s="4"/>
      <c r="K96" s="173"/>
      <c r="L96" s="4"/>
      <c r="M96" s="4"/>
      <c r="N96" s="4"/>
      <c r="O96" s="194">
        <f>IF(O95+1&lt;=MIN('Données projet'!$E$9:$E$18),O95+1,"STOP")</f>
        <v>63</v>
      </c>
      <c r="P96" s="185">
        <f t="shared" si="5"/>
        <v>6.8717347449140096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>
      <c r="A97" s="180">
        <f>'Données projet'!A100</f>
        <v>80</v>
      </c>
      <c r="B97" s="181">
        <f>'Données projet'!D100</f>
        <v>7.0512820512820511</v>
      </c>
      <c r="C97" s="191">
        <v>32.787500000000001</v>
      </c>
      <c r="D97" s="179">
        <f t="shared" si="6"/>
        <v>231.19391025641025</v>
      </c>
      <c r="E97" s="193">
        <v>60</v>
      </c>
      <c r="F97" s="232"/>
      <c r="G97" s="206"/>
      <c r="H97" s="190"/>
      <c r="I97" s="191"/>
      <c r="J97" s="4"/>
      <c r="K97" s="173"/>
      <c r="L97" s="4"/>
      <c r="M97" s="4"/>
      <c r="N97" s="4"/>
      <c r="O97" s="194">
        <f>IF(O96+1&lt;=MIN('Données projet'!$E$9:$E$18),O96+1,"STOP")</f>
        <v>64</v>
      </c>
      <c r="P97" s="185">
        <f t="shared" ref="P97:P128" si="7">$P$25/(1+$M$4)^O97</f>
        <v>6.5758227224057553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>
      <c r="A98" s="180">
        <f>'Données projet'!A101</f>
        <v>85</v>
      </c>
      <c r="B98" s="181">
        <f>'Données projet'!D101</f>
        <v>6.4102564102564097</v>
      </c>
      <c r="C98" s="191">
        <v>32.787500000000001</v>
      </c>
      <c r="D98" s="179">
        <f t="shared" si="6"/>
        <v>210.17628205128204</v>
      </c>
      <c r="E98" s="193">
        <v>60</v>
      </c>
      <c r="F98" s="232"/>
      <c r="G98" s="206"/>
      <c r="H98" s="190"/>
      <c r="I98" s="191"/>
      <c r="J98" s="4"/>
      <c r="K98" s="173"/>
      <c r="L98" s="4"/>
      <c r="M98" s="4"/>
      <c r="N98" s="4"/>
      <c r="O98" s="194">
        <f>IF(O97+1&lt;=MIN('Données projet'!$E$9:$E$18),O97+1,"STOP")</f>
        <v>65</v>
      </c>
      <c r="P98" s="185">
        <f t="shared" si="7"/>
        <v>6.29265332287632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>
      <c r="A99" s="180">
        <f>'Données projet'!A102</f>
        <v>90</v>
      </c>
      <c r="B99" s="181">
        <f>'Données projet'!D102</f>
        <v>6.4102564102564097</v>
      </c>
      <c r="C99" s="191">
        <v>32.787500000000001</v>
      </c>
      <c r="D99" s="179">
        <f t="shared" si="6"/>
        <v>210.17628205128204</v>
      </c>
      <c r="E99" s="193">
        <v>60</v>
      </c>
      <c r="F99" s="232"/>
      <c r="G99" s="206"/>
      <c r="H99" s="190"/>
      <c r="I99" s="191"/>
      <c r="J99" s="4"/>
      <c r="K99" s="173"/>
      <c r="L99" s="4"/>
      <c r="M99" s="4"/>
      <c r="N99" s="4"/>
      <c r="O99" s="194">
        <f>IF(O98+1&lt;=MIN('Données projet'!$E$9:$E$18),O98+1,"STOP")</f>
        <v>66</v>
      </c>
      <c r="P99" s="185">
        <f t="shared" si="7"/>
        <v>6.0216778209342792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>
      <c r="A100" s="180">
        <f>'Données projet'!A103</f>
        <v>95</v>
      </c>
      <c r="B100" s="181">
        <f>'Données projet'!D103</f>
        <v>7.0512820512820511</v>
      </c>
      <c r="C100" s="191">
        <v>32.787500000000001</v>
      </c>
      <c r="D100" s="179">
        <f t="shared" si="6"/>
        <v>231.19391025641025</v>
      </c>
      <c r="E100" s="193">
        <v>60</v>
      </c>
      <c r="F100" s="232"/>
      <c r="G100" s="206"/>
      <c r="H100" s="190"/>
      <c r="I100" s="191"/>
      <c r="J100" s="4"/>
      <c r="K100" s="173"/>
      <c r="L100" s="4"/>
      <c r="M100" s="4"/>
      <c r="N100" s="4"/>
      <c r="O100" s="194">
        <f>IF(O99+1&lt;=MIN('Données projet'!$E$9:$E$18),O99+1,"STOP")</f>
        <v>67</v>
      </c>
      <c r="P100" s="185">
        <f t="shared" si="7"/>
        <v>5.762371120511272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>
      <c r="A101" s="180">
        <f>'Données projet'!A104</f>
        <v>100</v>
      </c>
      <c r="B101" s="181">
        <f>'Données projet'!D104</f>
        <v>142.94871794871796</v>
      </c>
      <c r="C101" s="191">
        <v>32.787500000000001</v>
      </c>
      <c r="D101" s="179">
        <f t="shared" si="6"/>
        <v>4686.9310897435898</v>
      </c>
      <c r="E101" s="193">
        <v>60</v>
      </c>
      <c r="F101" s="232"/>
      <c r="G101" s="206"/>
      <c r="H101" s="190"/>
      <c r="I101" s="191"/>
      <c r="J101" s="4"/>
      <c r="K101" s="173"/>
      <c r="L101" s="4"/>
      <c r="M101" s="4"/>
      <c r="N101" s="4"/>
      <c r="O101" s="194">
        <f>IF(O100+1&lt;=MIN('Données projet'!$E$9:$E$18),O100+1,"STOP")</f>
        <v>68</v>
      </c>
      <c r="P101" s="185">
        <f t="shared" si="7"/>
        <v>5.5142307373313617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>
        <f>IF(O101+1&lt;=MIN('Données projet'!$E$9:$E$18),O101+1,"STOP")</f>
        <v>69</v>
      </c>
      <c r="P102" s="185">
        <f t="shared" si="7"/>
        <v>5.2767758251974755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>
        <f>IF(O102+1&lt;=MIN('Données projet'!$E$9:$E$18),O102+1,"STOP")</f>
        <v>70</v>
      </c>
      <c r="P103" s="185">
        <f t="shared" si="7"/>
        <v>5.0495462442081118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>
        <f>IF(O103+1&lt;=MIN('Données projet'!$E$9:$E$18),O103+1,"STOP")</f>
        <v>71</v>
      </c>
      <c r="P104" s="185">
        <f t="shared" si="7"/>
        <v>4.8321016690986713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>
        <f>IF(O104+1&lt;=MIN('Données projet'!$E$9:$E$18),O104+1,"STOP")</f>
        <v>72</v>
      </c>
      <c r="P105" s="185">
        <f t="shared" si="7"/>
        <v>4.6240207359795917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>
        <f>IF(O105+1&lt;=MIN('Données projet'!$E$9:$E$18),O105+1,"STOP")</f>
        <v>73</v>
      </c>
      <c r="P106" s="185">
        <f t="shared" si="7"/>
        <v>4.4249002258177912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>
      <c r="A107" s="46" t="s">
        <v>168</v>
      </c>
      <c r="B107" s="174" t="str">
        <f>IF('Données projet'!B12="","",'Données projet'!B12)</f>
        <v>Charme</v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>
        <f>IF(O106+1&lt;=MIN('Données projet'!$E$9:$E$18),O106+1,"STOP")</f>
        <v>74</v>
      </c>
      <c r="P107" s="185">
        <f t="shared" si="7"/>
        <v>4.2343542830792265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>
        <f>IF(O107+1&lt;=MIN('Données projet'!$E$9:$E$18),O107+1,"STOP")</f>
        <v>75</v>
      </c>
      <c r="P108" s="185">
        <f t="shared" si="7"/>
        <v>4.0520136680183985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>
        <f>IF(O108+1&lt;=MIN('Données projet'!$E$9:$E$18),O108+1,"STOP")</f>
        <v>76</v>
      </c>
      <c r="P109" s="185">
        <f t="shared" si="7"/>
        <v>3.8775250411659323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>
        <f>IF(O109+1&lt;=MIN('Données projet'!$E$9:$E$18),O109+1,"STOP")</f>
        <v>77</v>
      </c>
      <c r="P110" s="185">
        <f t="shared" si="7"/>
        <v>3.7105502786276867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>
        <f>IF(O110+1&lt;=MIN('Données projet'!$E$9:$E$18),O110+1,"STOP")</f>
        <v>78</v>
      </c>
      <c r="P111" s="185">
        <f t="shared" si="7"/>
        <v>3.5507658168686005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>
        <f>IF(O111+1&lt;=MIN('Données projet'!$E$9:$E$18),O111+1,"STOP")</f>
        <v>79</v>
      </c>
      <c r="P112" s="185">
        <f t="shared" si="7"/>
        <v>3.397862025711579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>
        <f>IF(O112+1&lt;=MIN('Données projet'!$E$9:$E$18),O112+1,"STOP")</f>
        <v>80</v>
      </c>
      <c r="P113" s="185">
        <f t="shared" si="7"/>
        <v>3.2515426083364405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str">
        <f>IF(O113+1&lt;=MIN('Données projet'!$E$9:$E$18),O113+1,"STOP")</f>
        <v>STOP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>
      <c r="A116" s="180">
        <f>'Données projet'!A114</f>
        <v>25</v>
      </c>
      <c r="B116" s="181">
        <f>'Données projet'!D114</f>
        <v>8</v>
      </c>
      <c r="C116" s="191">
        <v>13.25</v>
      </c>
      <c r="D116" s="179">
        <f>B116*C116</f>
        <v>106</v>
      </c>
      <c r="E116" s="193">
        <v>60</v>
      </c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>
      <c r="A117" s="180">
        <f>'Données projet'!A115</f>
        <v>30</v>
      </c>
      <c r="B117" s="181">
        <f>'Données projet'!D115</f>
        <v>21</v>
      </c>
      <c r="C117" s="191">
        <v>13.25</v>
      </c>
      <c r="D117" s="179">
        <f t="shared" ref="D117:D135" si="8">B117*C117</f>
        <v>278.25</v>
      </c>
      <c r="E117" s="193">
        <v>60</v>
      </c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>
      <c r="A118" s="180">
        <f>'Données projet'!A116</f>
        <v>35</v>
      </c>
      <c r="B118" s="181">
        <f>'Données projet'!D116</f>
        <v>21</v>
      </c>
      <c r="C118" s="191">
        <v>13.25</v>
      </c>
      <c r="D118" s="179">
        <f t="shared" si="8"/>
        <v>278.25</v>
      </c>
      <c r="E118" s="193">
        <v>60</v>
      </c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>
      <c r="A119" s="180">
        <f>'Données projet'!A117</f>
        <v>40</v>
      </c>
      <c r="B119" s="181">
        <f>'Données projet'!D117</f>
        <v>21</v>
      </c>
      <c r="C119" s="191">
        <v>13.25</v>
      </c>
      <c r="D119" s="179">
        <f t="shared" si="8"/>
        <v>278.25</v>
      </c>
      <c r="E119" s="193">
        <v>60</v>
      </c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>
      <c r="A120" s="180">
        <f>'Données projet'!A118</f>
        <v>45</v>
      </c>
      <c r="B120" s="181">
        <f>'Données projet'!D118</f>
        <v>21</v>
      </c>
      <c r="C120" s="191">
        <v>13.25</v>
      </c>
      <c r="D120" s="179">
        <f t="shared" si="8"/>
        <v>278.25</v>
      </c>
      <c r="E120" s="193">
        <v>60</v>
      </c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>
      <c r="A121" s="180">
        <f>'Données projet'!A119</f>
        <v>50</v>
      </c>
      <c r="B121" s="181">
        <f>'Données projet'!D119</f>
        <v>21</v>
      </c>
      <c r="C121" s="191">
        <v>13.25</v>
      </c>
      <c r="D121" s="179">
        <f t="shared" si="8"/>
        <v>278.25</v>
      </c>
      <c r="E121" s="193">
        <v>60</v>
      </c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>
      <c r="A122" s="180">
        <f>'Données projet'!A120</f>
        <v>55</v>
      </c>
      <c r="B122" s="181">
        <f>'Données projet'!D120</f>
        <v>21</v>
      </c>
      <c r="C122" s="191">
        <v>13.25</v>
      </c>
      <c r="D122" s="179">
        <f t="shared" si="8"/>
        <v>278.25</v>
      </c>
      <c r="E122" s="193">
        <v>60</v>
      </c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>
      <c r="A123" s="180">
        <f>'Données projet'!A121</f>
        <v>60</v>
      </c>
      <c r="B123" s="181">
        <f>'Données projet'!D121</f>
        <v>21</v>
      </c>
      <c r="C123" s="191">
        <v>13.25</v>
      </c>
      <c r="D123" s="179">
        <f t="shared" si="8"/>
        <v>278.25</v>
      </c>
      <c r="E123" s="193">
        <v>60</v>
      </c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>
      <c r="A124" s="180">
        <f>'Données projet'!A122</f>
        <v>65</v>
      </c>
      <c r="B124" s="181">
        <f>'Données projet'!D122</f>
        <v>21</v>
      </c>
      <c r="C124" s="191">
        <v>13.25</v>
      </c>
      <c r="D124" s="179">
        <f t="shared" si="8"/>
        <v>278.25</v>
      </c>
      <c r="E124" s="193">
        <v>60</v>
      </c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>
      <c r="A125" s="180">
        <f>'Données projet'!A123</f>
        <v>70</v>
      </c>
      <c r="B125" s="181">
        <f>'Données projet'!D123</f>
        <v>21</v>
      </c>
      <c r="C125" s="191">
        <v>25.625</v>
      </c>
      <c r="D125" s="179">
        <f t="shared" si="8"/>
        <v>538.125</v>
      </c>
      <c r="E125" s="193">
        <v>60</v>
      </c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>
      <c r="A126" s="180">
        <f>'Données projet'!A124</f>
        <v>75</v>
      </c>
      <c r="B126" s="181">
        <f>'Données projet'!D124</f>
        <v>21</v>
      </c>
      <c r="C126" s="191">
        <v>25.625</v>
      </c>
      <c r="D126" s="179">
        <f t="shared" si="8"/>
        <v>538.125</v>
      </c>
      <c r="E126" s="193">
        <v>60</v>
      </c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>
      <c r="A127" s="180">
        <f>'Données projet'!A125</f>
        <v>80</v>
      </c>
      <c r="B127" s="181">
        <f>'Données projet'!D125</f>
        <v>21</v>
      </c>
      <c r="C127" s="191">
        <v>25.625</v>
      </c>
      <c r="D127" s="179">
        <f t="shared" si="8"/>
        <v>538.125</v>
      </c>
      <c r="E127" s="193">
        <v>60</v>
      </c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>
      <c r="A128" s="180">
        <f>'Données projet'!A126</f>
        <v>85</v>
      </c>
      <c r="B128" s="181">
        <f>'Données projet'!D126</f>
        <v>21</v>
      </c>
      <c r="C128" s="191">
        <v>25.625</v>
      </c>
      <c r="D128" s="179">
        <f t="shared" si="8"/>
        <v>538.125</v>
      </c>
      <c r="E128" s="193">
        <v>60</v>
      </c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>
      <c r="A129" s="180">
        <f>'Données projet'!A127</f>
        <v>90</v>
      </c>
      <c r="B129" s="181">
        <f>'Données projet'!D127</f>
        <v>21</v>
      </c>
      <c r="C129" s="191">
        <v>25.625</v>
      </c>
      <c r="D129" s="179">
        <f t="shared" si="8"/>
        <v>538.125</v>
      </c>
      <c r="E129" s="193">
        <v>60</v>
      </c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>
      <c r="A130" s="180">
        <f>'Données projet'!A128</f>
        <v>95</v>
      </c>
      <c r="B130" s="181">
        <f>'Données projet'!D128</f>
        <v>21</v>
      </c>
      <c r="C130" s="191">
        <v>25.625</v>
      </c>
      <c r="D130" s="179">
        <f t="shared" si="8"/>
        <v>538.125</v>
      </c>
      <c r="E130" s="193">
        <v>60</v>
      </c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>
      <c r="A131" s="180">
        <f>'Données projet'!A129</f>
        <v>100</v>
      </c>
      <c r="B131" s="181">
        <f>'Données projet'!D129</f>
        <v>21</v>
      </c>
      <c r="C131" s="191">
        <v>25.625</v>
      </c>
      <c r="D131" s="179">
        <f t="shared" si="8"/>
        <v>538.125</v>
      </c>
      <c r="E131" s="193">
        <v>60</v>
      </c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>
      <c r="A132" s="180">
        <f>'Données projet'!A130</f>
        <v>105</v>
      </c>
      <c r="B132" s="181">
        <f>'Données projet'!D130</f>
        <v>20</v>
      </c>
      <c r="C132" s="191">
        <v>25.625</v>
      </c>
      <c r="D132" s="179">
        <f t="shared" si="8"/>
        <v>512.5</v>
      </c>
      <c r="E132" s="193">
        <v>60</v>
      </c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>
      <c r="A133" s="180">
        <f>'Données projet'!A131</f>
        <v>110</v>
      </c>
      <c r="B133" s="181">
        <f>'Données projet'!D131</f>
        <v>19</v>
      </c>
      <c r="C133" s="191">
        <v>25.625</v>
      </c>
      <c r="D133" s="179">
        <f t="shared" si="8"/>
        <v>486.875</v>
      </c>
      <c r="E133" s="193">
        <v>60</v>
      </c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>
      <c r="A134" s="180">
        <f>'Données projet'!A132</f>
        <v>115</v>
      </c>
      <c r="B134" s="181">
        <f>'Données projet'!D132</f>
        <v>18</v>
      </c>
      <c r="C134" s="191">
        <v>25.625</v>
      </c>
      <c r="D134" s="179">
        <f t="shared" si="8"/>
        <v>461.25</v>
      </c>
      <c r="E134" s="193">
        <v>60</v>
      </c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>
      <c r="A135" s="180">
        <f>'Données projet'!A133</f>
        <v>120</v>
      </c>
      <c r="B135" s="181">
        <f>'Données projet'!D133</f>
        <v>285</v>
      </c>
      <c r="C135" s="191">
        <v>25.625</v>
      </c>
      <c r="D135" s="179">
        <f t="shared" si="8"/>
        <v>7303.125</v>
      </c>
      <c r="E135" s="193">
        <v>60</v>
      </c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>
      <c r="A138" s="46" t="s">
        <v>169</v>
      </c>
      <c r="B138" s="174" t="str">
        <f>IF('Données projet'!B13="","",'Données projet'!B13)</f>
        <v>Erable champêtre</v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>
      <c r="A147" s="42">
        <f>'Données projet'!A140</f>
        <v>20</v>
      </c>
      <c r="B147" s="175">
        <f>'Données projet'!D140</f>
        <v>21</v>
      </c>
      <c r="C147" s="191">
        <v>13.75</v>
      </c>
      <c r="D147" s="182">
        <f>B147*C147</f>
        <v>288.75</v>
      </c>
      <c r="E147" s="193">
        <v>60</v>
      </c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>
      <c r="A148" s="42">
        <f>'Données projet'!A141</f>
        <v>25</v>
      </c>
      <c r="B148" s="175">
        <f>'Données projet'!D141</f>
        <v>21</v>
      </c>
      <c r="C148" s="191">
        <v>13.75</v>
      </c>
      <c r="D148" s="182">
        <f t="shared" ref="D148:D166" si="10">B148*C148</f>
        <v>288.75</v>
      </c>
      <c r="E148" s="193">
        <v>60</v>
      </c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>
      <c r="A149" s="42">
        <f>'Données projet'!A142</f>
        <v>30</v>
      </c>
      <c r="B149" s="175">
        <f>'Données projet'!D142</f>
        <v>21</v>
      </c>
      <c r="C149" s="191">
        <v>13.75</v>
      </c>
      <c r="D149" s="182">
        <f t="shared" si="10"/>
        <v>288.75</v>
      </c>
      <c r="E149" s="193">
        <v>60</v>
      </c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>
      <c r="A150" s="42">
        <f>'Données projet'!A143</f>
        <v>35</v>
      </c>
      <c r="B150" s="175">
        <f>'Données projet'!D143</f>
        <v>21</v>
      </c>
      <c r="C150" s="191">
        <v>13.75</v>
      </c>
      <c r="D150" s="182">
        <f t="shared" si="10"/>
        <v>288.75</v>
      </c>
      <c r="E150" s="193">
        <v>60</v>
      </c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>
      <c r="A151" s="42">
        <f>'Données projet'!A144</f>
        <v>40</v>
      </c>
      <c r="B151" s="175">
        <f>'Données projet'!D144</f>
        <v>21</v>
      </c>
      <c r="C151" s="191">
        <v>13.75</v>
      </c>
      <c r="D151" s="182">
        <f t="shared" si="10"/>
        <v>288.75</v>
      </c>
      <c r="E151" s="193">
        <v>60</v>
      </c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>
      <c r="A152" s="42">
        <f>'Données projet'!A145</f>
        <v>45</v>
      </c>
      <c r="B152" s="175">
        <f>'Données projet'!D145</f>
        <v>18</v>
      </c>
      <c r="C152" s="191">
        <v>13.75</v>
      </c>
      <c r="D152" s="182">
        <f t="shared" si="10"/>
        <v>247.5</v>
      </c>
      <c r="E152" s="193">
        <v>60</v>
      </c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>
      <c r="A153" s="42">
        <f>'Données projet'!A146</f>
        <v>50</v>
      </c>
      <c r="B153" s="175">
        <f>'Données projet'!D146</f>
        <v>13</v>
      </c>
      <c r="C153" s="191">
        <v>23.75</v>
      </c>
      <c r="D153" s="182">
        <f t="shared" si="10"/>
        <v>308.75</v>
      </c>
      <c r="E153" s="193">
        <v>60</v>
      </c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>
      <c r="A154" s="42">
        <f>'Données projet'!A147</f>
        <v>55</v>
      </c>
      <c r="B154" s="175">
        <f>'Données projet'!D147</f>
        <v>11</v>
      </c>
      <c r="C154" s="191">
        <v>23.75</v>
      </c>
      <c r="D154" s="182">
        <f t="shared" si="10"/>
        <v>261.25</v>
      </c>
      <c r="E154" s="193">
        <v>60</v>
      </c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>
      <c r="A155" s="42">
        <f>'Données projet'!A148</f>
        <v>60</v>
      </c>
      <c r="B155" s="175">
        <f>'Données projet'!D148</f>
        <v>9</v>
      </c>
      <c r="C155" s="191">
        <v>23.75</v>
      </c>
      <c r="D155" s="182">
        <f t="shared" si="10"/>
        <v>213.75</v>
      </c>
      <c r="E155" s="193">
        <v>60</v>
      </c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>
      <c r="A156" s="42">
        <f>'Données projet'!A149</f>
        <v>65</v>
      </c>
      <c r="B156" s="175">
        <f>'Données projet'!D149</f>
        <v>8</v>
      </c>
      <c r="C156" s="191">
        <v>23.75</v>
      </c>
      <c r="D156" s="182">
        <f t="shared" si="10"/>
        <v>190</v>
      </c>
      <c r="E156" s="193">
        <v>60</v>
      </c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>
      <c r="A157" s="42">
        <f>'Données projet'!A150</f>
        <v>70</v>
      </c>
      <c r="B157" s="175">
        <f>'Données projet'!D150</f>
        <v>8</v>
      </c>
      <c r="C157" s="191">
        <v>23.75</v>
      </c>
      <c r="D157" s="182">
        <f t="shared" si="10"/>
        <v>190</v>
      </c>
      <c r="E157" s="193">
        <v>60</v>
      </c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>
      <c r="A158" s="42">
        <f>'Données projet'!A151</f>
        <v>75</v>
      </c>
      <c r="B158" s="175">
        <f>'Données projet'!D151</f>
        <v>7</v>
      </c>
      <c r="C158" s="191">
        <v>23.75</v>
      </c>
      <c r="D158" s="182">
        <f t="shared" si="10"/>
        <v>166.25</v>
      </c>
      <c r="E158" s="193">
        <v>60</v>
      </c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>
      <c r="A159" s="42">
        <f>'Données projet'!A152</f>
        <v>80</v>
      </c>
      <c r="B159" s="175">
        <f>'Données projet'!D152</f>
        <v>219</v>
      </c>
      <c r="C159" s="191">
        <v>23.75</v>
      </c>
      <c r="D159" s="182">
        <f t="shared" si="10"/>
        <v>5201.25</v>
      </c>
      <c r="E159" s="193">
        <v>60</v>
      </c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>
      <c r="A169" s="46" t="s">
        <v>170</v>
      </c>
      <c r="B169" s="174" t="str">
        <f>IF('Données projet'!B14="","",'Données projet'!B14)</f>
        <v>Tilleul</v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>
      <c r="A178" s="180">
        <f>'Données projet'!A166</f>
        <v>20</v>
      </c>
      <c r="B178" s="181">
        <f>'Données projet'!D166</f>
        <v>7.0512820512820511</v>
      </c>
      <c r="C178" s="193">
        <v>10.75</v>
      </c>
      <c r="D178" s="179">
        <f>B178*C178</f>
        <v>75.801282051282044</v>
      </c>
      <c r="E178" s="193">
        <v>60</v>
      </c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>
      <c r="A179" s="180">
        <f>'Données projet'!A167</f>
        <v>25</v>
      </c>
      <c r="B179" s="181">
        <f>'Données projet'!D167</f>
        <v>9.615384615384615</v>
      </c>
      <c r="C179" s="193">
        <v>10.75</v>
      </c>
      <c r="D179" s="179">
        <f t="shared" ref="D179:D197" si="11">B179*C179</f>
        <v>103.36538461538461</v>
      </c>
      <c r="E179" s="193">
        <v>60</v>
      </c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>
      <c r="A180" s="180">
        <f>'Données projet'!A168</f>
        <v>30</v>
      </c>
      <c r="B180" s="181">
        <f>'Données projet'!D168</f>
        <v>10.897435897435898</v>
      </c>
      <c r="C180" s="193">
        <v>10.75</v>
      </c>
      <c r="D180" s="179">
        <f t="shared" si="11"/>
        <v>117.1474358974359</v>
      </c>
      <c r="E180" s="193">
        <v>60</v>
      </c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>
      <c r="A181" s="180">
        <f>'Données projet'!A169</f>
        <v>35</v>
      </c>
      <c r="B181" s="181">
        <f>'Données projet'!D169</f>
        <v>12.179487179487179</v>
      </c>
      <c r="C181" s="193">
        <v>10.75</v>
      </c>
      <c r="D181" s="179">
        <f t="shared" si="11"/>
        <v>130.92948717948718</v>
      </c>
      <c r="E181" s="193">
        <v>60</v>
      </c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>
      <c r="A182" s="180">
        <f>'Données projet'!A170</f>
        <v>40</v>
      </c>
      <c r="B182" s="181">
        <f>'Données projet'!D170</f>
        <v>12.820512820512819</v>
      </c>
      <c r="C182" s="193">
        <v>10.75</v>
      </c>
      <c r="D182" s="179">
        <f t="shared" si="11"/>
        <v>137.82051282051282</v>
      </c>
      <c r="E182" s="193">
        <v>60</v>
      </c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>
      <c r="A183" s="180">
        <f>'Données projet'!A171</f>
        <v>45</v>
      </c>
      <c r="B183" s="181">
        <f>'Données projet'!D171</f>
        <v>13.461538461538462</v>
      </c>
      <c r="C183" s="193">
        <v>10.75</v>
      </c>
      <c r="D183" s="179">
        <f t="shared" si="11"/>
        <v>144.71153846153845</v>
      </c>
      <c r="E183" s="193">
        <v>60</v>
      </c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>
      <c r="A184" s="180">
        <f>'Données projet'!A172</f>
        <v>50</v>
      </c>
      <c r="B184" s="181">
        <f>'Données projet'!D172</f>
        <v>14.102564102564102</v>
      </c>
      <c r="C184" s="193">
        <v>10.75</v>
      </c>
      <c r="D184" s="179">
        <f t="shared" si="11"/>
        <v>151.60256410256409</v>
      </c>
      <c r="E184" s="193">
        <v>60</v>
      </c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>
      <c r="A185" s="180">
        <f>'Données projet'!A173</f>
        <v>55</v>
      </c>
      <c r="B185" s="181">
        <f>'Données projet'!D173</f>
        <v>14.102564102564102</v>
      </c>
      <c r="C185" s="193">
        <v>10.75</v>
      </c>
      <c r="D185" s="179">
        <f t="shared" si="11"/>
        <v>151.60256410256409</v>
      </c>
      <c r="E185" s="193">
        <v>60</v>
      </c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>
      <c r="A186" s="180">
        <f>'Données projet'!A174</f>
        <v>60</v>
      </c>
      <c r="B186" s="181">
        <f>'Données projet'!D174</f>
        <v>14.102564102564102</v>
      </c>
      <c r="C186" s="193">
        <v>10.75</v>
      </c>
      <c r="D186" s="179">
        <f t="shared" si="11"/>
        <v>151.60256410256409</v>
      </c>
      <c r="E186" s="193">
        <v>60</v>
      </c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>
      <c r="A187" s="180">
        <f>'Données projet'!A175</f>
        <v>65</v>
      </c>
      <c r="B187" s="181">
        <f>'Données projet'!D175</f>
        <v>14.102564102564102</v>
      </c>
      <c r="C187" s="193">
        <v>10.75</v>
      </c>
      <c r="D187" s="179">
        <f t="shared" si="11"/>
        <v>151.60256410256409</v>
      </c>
      <c r="E187" s="193">
        <v>60</v>
      </c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>
      <c r="A188" s="180">
        <f>'Données projet'!A176</f>
        <v>70</v>
      </c>
      <c r="B188" s="181">
        <f>'Données projet'!D176</f>
        <v>14.102564102564102</v>
      </c>
      <c r="C188" s="193">
        <v>10.75</v>
      </c>
      <c r="D188" s="179">
        <f t="shared" si="11"/>
        <v>151.60256410256409</v>
      </c>
      <c r="E188" s="193">
        <v>60</v>
      </c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>
      <c r="A189" s="180">
        <f>'Données projet'!A177</f>
        <v>75</v>
      </c>
      <c r="B189" s="181">
        <f>'Données projet'!D177</f>
        <v>14.102564102564102</v>
      </c>
      <c r="C189" s="193">
        <v>21.40625</v>
      </c>
      <c r="D189" s="179">
        <f t="shared" si="11"/>
        <v>301.88301282051282</v>
      </c>
      <c r="E189" s="193">
        <v>60</v>
      </c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>
      <c r="A190" s="180">
        <f>'Données projet'!A178</f>
        <v>80</v>
      </c>
      <c r="B190" s="181">
        <f>'Données projet'!D178</f>
        <v>13.461538461538462</v>
      </c>
      <c r="C190" s="193">
        <v>21.40625</v>
      </c>
      <c r="D190" s="179">
        <f t="shared" si="11"/>
        <v>288.16105769230768</v>
      </c>
      <c r="E190" s="193">
        <v>60</v>
      </c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>
      <c r="A191" s="180">
        <f>'Données projet'!A179</f>
        <v>85</v>
      </c>
      <c r="B191" s="181">
        <f>'Données projet'!D179</f>
        <v>12.820512820512819</v>
      </c>
      <c r="C191" s="193">
        <v>21.40625</v>
      </c>
      <c r="D191" s="179">
        <f t="shared" si="11"/>
        <v>274.43910256410254</v>
      </c>
      <c r="E191" s="193">
        <v>60</v>
      </c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>
      <c r="A192" s="180">
        <f>'Données projet'!A180</f>
        <v>90</v>
      </c>
      <c r="B192" s="181">
        <f>'Données projet'!D180</f>
        <v>12.820512820512819</v>
      </c>
      <c r="C192" s="193">
        <v>21.40625</v>
      </c>
      <c r="D192" s="179">
        <f t="shared" si="11"/>
        <v>274.43910256410254</v>
      </c>
      <c r="E192" s="193">
        <v>60</v>
      </c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>
      <c r="A193" s="180">
        <f>'Données projet'!A181</f>
        <v>95</v>
      </c>
      <c r="B193" s="181">
        <f>'Données projet'!D181</f>
        <v>12.179487179487179</v>
      </c>
      <c r="C193" s="193">
        <v>21.40625</v>
      </c>
      <c r="D193" s="179">
        <f t="shared" si="11"/>
        <v>260.7171474358974</v>
      </c>
      <c r="E193" s="193">
        <v>60</v>
      </c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>
      <c r="A194" s="180">
        <f>'Données projet'!A182</f>
        <v>100</v>
      </c>
      <c r="B194" s="181">
        <f>'Données projet'!D182</f>
        <v>11.538461538461538</v>
      </c>
      <c r="C194" s="193">
        <v>21.40625</v>
      </c>
      <c r="D194" s="179">
        <f t="shared" si="11"/>
        <v>246.99519230769229</v>
      </c>
      <c r="E194" s="193">
        <v>60</v>
      </c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>
      <c r="A195" s="180">
        <f>'Données projet'!A183</f>
        <v>105</v>
      </c>
      <c r="B195" s="181">
        <f>'Données projet'!D183</f>
        <v>10.897435897435898</v>
      </c>
      <c r="C195" s="193">
        <v>21.40625</v>
      </c>
      <c r="D195" s="179">
        <f t="shared" si="11"/>
        <v>233.27323717948718</v>
      </c>
      <c r="E195" s="193">
        <v>60</v>
      </c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>
      <c r="A196" s="180">
        <f>'Données projet'!A184</f>
        <v>110</v>
      </c>
      <c r="B196" s="181">
        <f>'Données projet'!D184</f>
        <v>10.897435897435898</v>
      </c>
      <c r="C196" s="193">
        <v>21.40625</v>
      </c>
      <c r="D196" s="179">
        <f t="shared" si="11"/>
        <v>233.27323717948718</v>
      </c>
      <c r="E196" s="193">
        <v>60</v>
      </c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>
      <c r="A197" s="180">
        <f>'Données projet'!A185</f>
        <v>115</v>
      </c>
      <c r="B197" s="181">
        <f>'Données projet'!D185</f>
        <v>183.33333333333331</v>
      </c>
      <c r="C197" s="193">
        <v>21.40625</v>
      </c>
      <c r="D197" s="179">
        <f t="shared" si="11"/>
        <v>3924.4791666666661</v>
      </c>
      <c r="E197" s="193">
        <v>60</v>
      </c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>
      <c r="A200" s="46" t="s">
        <v>171</v>
      </c>
      <c r="B200" s="174" t="str">
        <f>IF('Données projet'!$B$15="","",'Données projet'!$B$15)</f>
        <v>Cormier</v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>
      <c r="A209" s="180">
        <f>'Données projet'!A192</f>
        <v>25</v>
      </c>
      <c r="B209" s="181">
        <f>'Données projet'!D192</f>
        <v>5.7692307692307692</v>
      </c>
      <c r="C209" s="193">
        <v>13.75</v>
      </c>
      <c r="D209" s="179">
        <f>B209*C209</f>
        <v>79.32692307692308</v>
      </c>
      <c r="E209" s="193">
        <v>60</v>
      </c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>
      <c r="A210" s="180">
        <f>'Données projet'!A193</f>
        <v>30</v>
      </c>
      <c r="B210" s="181">
        <f>'Données projet'!D193</f>
        <v>5.1282051282051277</v>
      </c>
      <c r="C210" s="193">
        <v>13.75</v>
      </c>
      <c r="D210" s="179">
        <f t="shared" ref="D210:D228" si="12">B210*C210</f>
        <v>70.512820512820511</v>
      </c>
      <c r="E210" s="193">
        <v>60</v>
      </c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>
      <c r="A211" s="180">
        <f>'Données projet'!A194</f>
        <v>35</v>
      </c>
      <c r="B211" s="181">
        <f>'Données projet'!D194</f>
        <v>5.7692307692307692</v>
      </c>
      <c r="C211" s="193">
        <v>13.75</v>
      </c>
      <c r="D211" s="179">
        <f t="shared" si="12"/>
        <v>79.32692307692308</v>
      </c>
      <c r="E211" s="193">
        <v>60</v>
      </c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>
      <c r="A212" s="180">
        <f>'Données projet'!A195</f>
        <v>40</v>
      </c>
      <c r="B212" s="181">
        <f>'Données projet'!D195</f>
        <v>5.7692307692307692</v>
      </c>
      <c r="C212" s="193">
        <v>13.75</v>
      </c>
      <c r="D212" s="179">
        <f t="shared" si="12"/>
        <v>79.32692307692308</v>
      </c>
      <c r="E212" s="193">
        <v>60</v>
      </c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>
      <c r="A213" s="180">
        <f>'Données projet'!A196</f>
        <v>45</v>
      </c>
      <c r="B213" s="181">
        <f>'Données projet'!D196</f>
        <v>5.7692307692307692</v>
      </c>
      <c r="C213" s="193">
        <v>13.75</v>
      </c>
      <c r="D213" s="179">
        <f t="shared" si="12"/>
        <v>79.32692307692308</v>
      </c>
      <c r="E213" s="193">
        <v>60</v>
      </c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>
      <c r="A214" s="180">
        <f>'Données projet'!A197</f>
        <v>50</v>
      </c>
      <c r="B214" s="181">
        <f>'Données projet'!D197</f>
        <v>6.4102564102564097</v>
      </c>
      <c r="C214" s="193">
        <v>13.75</v>
      </c>
      <c r="D214" s="179">
        <f t="shared" si="12"/>
        <v>88.141025641025635</v>
      </c>
      <c r="E214" s="193">
        <v>60</v>
      </c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>
      <c r="A215" s="180">
        <f>'Données projet'!A198</f>
        <v>55</v>
      </c>
      <c r="B215" s="181">
        <f>'Données projet'!D198</f>
        <v>6.4102564102564097</v>
      </c>
      <c r="C215" s="193">
        <v>13.75</v>
      </c>
      <c r="D215" s="179">
        <f t="shared" si="12"/>
        <v>88.141025641025635</v>
      </c>
      <c r="E215" s="193">
        <v>60</v>
      </c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>
      <c r="A216" s="180">
        <f>'Données projet'!A199</f>
        <v>60</v>
      </c>
      <c r="B216" s="181">
        <f>'Données projet'!D199</f>
        <v>6.4102564102564097</v>
      </c>
      <c r="C216" s="193">
        <v>13.75</v>
      </c>
      <c r="D216" s="179">
        <f t="shared" si="12"/>
        <v>88.141025641025635</v>
      </c>
      <c r="E216" s="193">
        <v>60</v>
      </c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>
      <c r="A217" s="180">
        <f>'Données projet'!A200</f>
        <v>65</v>
      </c>
      <c r="B217" s="181">
        <f>'Données projet'!D200</f>
        <v>6.4102564102564097</v>
      </c>
      <c r="C217" s="193">
        <v>13.75</v>
      </c>
      <c r="D217" s="179">
        <f t="shared" si="12"/>
        <v>88.141025641025635</v>
      </c>
      <c r="E217" s="193">
        <v>60</v>
      </c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>
      <c r="A218" s="180">
        <f>'Données projet'!A201</f>
        <v>70</v>
      </c>
      <c r="B218" s="181">
        <f>'Données projet'!D201</f>
        <v>6.4102564102564097</v>
      </c>
      <c r="C218" s="193">
        <v>13.75</v>
      </c>
      <c r="D218" s="179">
        <f t="shared" si="12"/>
        <v>88.141025641025635</v>
      </c>
      <c r="E218" s="193">
        <v>60</v>
      </c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>
      <c r="A219" s="180">
        <f>'Données projet'!A202</f>
        <v>75</v>
      </c>
      <c r="B219" s="181">
        <f>'Données projet'!D202</f>
        <v>6.4102564102564097</v>
      </c>
      <c r="C219" s="193">
        <v>13.75</v>
      </c>
      <c r="D219" s="179">
        <f t="shared" si="12"/>
        <v>88.141025641025635</v>
      </c>
      <c r="E219" s="193">
        <v>60</v>
      </c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>
      <c r="A220" s="180">
        <f>'Données projet'!A203</f>
        <v>80</v>
      </c>
      <c r="B220" s="181">
        <f>'Données projet'!D203</f>
        <v>5.7692307692307692</v>
      </c>
      <c r="C220" s="193">
        <v>13.75</v>
      </c>
      <c r="D220" s="179">
        <f t="shared" si="12"/>
        <v>79.32692307692308</v>
      </c>
      <c r="E220" s="193">
        <v>60</v>
      </c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>
      <c r="A221" s="180">
        <f>'Données projet'!A204</f>
        <v>85</v>
      </c>
      <c r="B221" s="181">
        <f>'Données projet'!D204</f>
        <v>5.7692307692307692</v>
      </c>
      <c r="C221" s="193">
        <v>13.75</v>
      </c>
      <c r="D221" s="179">
        <f t="shared" si="12"/>
        <v>79.32692307692308</v>
      </c>
      <c r="E221" s="193">
        <v>60</v>
      </c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>
      <c r="A222" s="180">
        <f>'Données projet'!A205</f>
        <v>90</v>
      </c>
      <c r="B222" s="181">
        <f>'Données projet'!D205</f>
        <v>5.7692307692307692</v>
      </c>
      <c r="C222" s="193">
        <v>13.75</v>
      </c>
      <c r="D222" s="179">
        <f t="shared" si="12"/>
        <v>79.32692307692308</v>
      </c>
      <c r="E222" s="193">
        <v>60</v>
      </c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>
      <c r="A223" s="180">
        <f>'Données projet'!A206</f>
        <v>95</v>
      </c>
      <c r="B223" s="181">
        <f>'Données projet'!D206</f>
        <v>5.7692307692307692</v>
      </c>
      <c r="C223" s="193">
        <v>13.75</v>
      </c>
      <c r="D223" s="179">
        <f t="shared" si="12"/>
        <v>79.32692307692308</v>
      </c>
      <c r="E223" s="193">
        <v>60</v>
      </c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>
      <c r="A224" s="180">
        <f>'Données projet'!A207</f>
        <v>100</v>
      </c>
      <c r="B224" s="181">
        <f>'Données projet'!D207</f>
        <v>5.7692307692307692</v>
      </c>
      <c r="C224" s="193">
        <v>13.75</v>
      </c>
      <c r="D224" s="179">
        <f t="shared" si="12"/>
        <v>79.32692307692308</v>
      </c>
      <c r="E224" s="193">
        <v>60</v>
      </c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>
      <c r="A225" s="180">
        <f>'Données projet'!A208</f>
        <v>105</v>
      </c>
      <c r="B225" s="181">
        <f>'Données projet'!D208</f>
        <v>6.4102564102564097</v>
      </c>
      <c r="C225" s="193">
        <v>13.75</v>
      </c>
      <c r="D225" s="179">
        <f t="shared" si="12"/>
        <v>88.141025641025635</v>
      </c>
      <c r="E225" s="193">
        <v>60</v>
      </c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>
      <c r="A226" s="180">
        <f>'Données projet'!A209</f>
        <v>110</v>
      </c>
      <c r="B226" s="181">
        <f>'Données projet'!D209</f>
        <v>6.4102564102564097</v>
      </c>
      <c r="C226" s="193">
        <v>13.75</v>
      </c>
      <c r="D226" s="179">
        <f t="shared" si="12"/>
        <v>88.141025641025635</v>
      </c>
      <c r="E226" s="193">
        <v>60</v>
      </c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>
      <c r="A227" s="180">
        <f>'Données projet'!A210</f>
        <v>115</v>
      </c>
      <c r="B227" s="181">
        <f>'Données projet'!D210</f>
        <v>6.4102564102564097</v>
      </c>
      <c r="C227" s="193">
        <v>13.75</v>
      </c>
      <c r="D227" s="179">
        <f t="shared" si="12"/>
        <v>88.141025641025635</v>
      </c>
      <c r="E227" s="193">
        <v>60</v>
      </c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>
      <c r="A228" s="180">
        <f>'Données projet'!A211</f>
        <v>120</v>
      </c>
      <c r="B228" s="181">
        <f>'Données projet'!D211</f>
        <v>122.43589743589743</v>
      </c>
      <c r="C228" s="193">
        <v>23.75</v>
      </c>
      <c r="D228" s="179">
        <f t="shared" si="12"/>
        <v>2907.852564102564</v>
      </c>
      <c r="E228" s="193">
        <v>60</v>
      </c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>
      <c r="A231" s="46" t="s">
        <v>172</v>
      </c>
      <c r="B231" s="174" t="str">
        <f>IF('Données projet'!$B$16="","",'Données projet'!$B$16)</f>
        <v>Alisier torminal</v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>
      <c r="A240" s="180">
        <f>'Données projet'!A218</f>
        <v>25</v>
      </c>
      <c r="B240" s="181">
        <f>'Données projet'!D218</f>
        <v>5.7692307692307692</v>
      </c>
      <c r="C240" s="193">
        <v>13.75</v>
      </c>
      <c r="D240" s="179">
        <f>B240*C240</f>
        <v>79.32692307692308</v>
      </c>
      <c r="E240" s="193">
        <v>60</v>
      </c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>
      <c r="A241" s="180">
        <f>'Données projet'!A219</f>
        <v>30</v>
      </c>
      <c r="B241" s="181">
        <f>'Données projet'!D219</f>
        <v>5.1282051282051277</v>
      </c>
      <c r="C241" s="193">
        <v>13.75</v>
      </c>
      <c r="D241" s="179">
        <f t="shared" ref="D241:D259" si="13">B241*C241</f>
        <v>70.512820512820511</v>
      </c>
      <c r="E241" s="193">
        <v>60</v>
      </c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>
      <c r="A242" s="180">
        <f>'Données projet'!A220</f>
        <v>35</v>
      </c>
      <c r="B242" s="181">
        <f>'Données projet'!D220</f>
        <v>5.7692307692307692</v>
      </c>
      <c r="C242" s="193">
        <v>13.75</v>
      </c>
      <c r="D242" s="179">
        <f t="shared" si="13"/>
        <v>79.32692307692308</v>
      </c>
      <c r="E242" s="193">
        <v>60</v>
      </c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>
      <c r="A243" s="180">
        <f>'Données projet'!A221</f>
        <v>40</v>
      </c>
      <c r="B243" s="181">
        <f>'Données projet'!D221</f>
        <v>5.7692307692307692</v>
      </c>
      <c r="C243" s="193">
        <v>13.75</v>
      </c>
      <c r="D243" s="179">
        <f t="shared" si="13"/>
        <v>79.32692307692308</v>
      </c>
      <c r="E243" s="193">
        <v>60</v>
      </c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>
      <c r="A244" s="180">
        <f>'Données projet'!A222</f>
        <v>45</v>
      </c>
      <c r="B244" s="181">
        <f>'Données projet'!D222</f>
        <v>5.7692307692307692</v>
      </c>
      <c r="C244" s="193">
        <v>13.75</v>
      </c>
      <c r="D244" s="179">
        <f t="shared" si="13"/>
        <v>79.32692307692308</v>
      </c>
      <c r="E244" s="193">
        <v>60</v>
      </c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>
      <c r="A245" s="180">
        <f>'Données projet'!A223</f>
        <v>50</v>
      </c>
      <c r="B245" s="181">
        <f>'Données projet'!D223</f>
        <v>6.4102564102564097</v>
      </c>
      <c r="C245" s="193">
        <v>13.75</v>
      </c>
      <c r="D245" s="179">
        <f t="shared" si="13"/>
        <v>88.141025641025635</v>
      </c>
      <c r="E245" s="193">
        <v>60</v>
      </c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>
      <c r="A246" s="180">
        <f>'Données projet'!A224</f>
        <v>55</v>
      </c>
      <c r="B246" s="181">
        <f>'Données projet'!D224</f>
        <v>6.4102564102564097</v>
      </c>
      <c r="C246" s="193">
        <v>13.75</v>
      </c>
      <c r="D246" s="179">
        <f t="shared" si="13"/>
        <v>88.141025641025635</v>
      </c>
      <c r="E246" s="193">
        <v>60</v>
      </c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>
      <c r="A247" s="180">
        <f>'Données projet'!A225</f>
        <v>60</v>
      </c>
      <c r="B247" s="181">
        <f>'Données projet'!D225</f>
        <v>6.4102564102564097</v>
      </c>
      <c r="C247" s="193">
        <v>13.75</v>
      </c>
      <c r="D247" s="179">
        <f t="shared" si="13"/>
        <v>88.141025641025635</v>
      </c>
      <c r="E247" s="193">
        <v>60</v>
      </c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>
      <c r="A248" s="180">
        <f>'Données projet'!A226</f>
        <v>65</v>
      </c>
      <c r="B248" s="181">
        <f>'Données projet'!D226</f>
        <v>6.4102564102564097</v>
      </c>
      <c r="C248" s="193">
        <v>13.75</v>
      </c>
      <c r="D248" s="179">
        <f t="shared" si="13"/>
        <v>88.141025641025635</v>
      </c>
      <c r="E248" s="193">
        <v>60</v>
      </c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>
      <c r="A249" s="180">
        <f>'Données projet'!A227</f>
        <v>70</v>
      </c>
      <c r="B249" s="181">
        <f>'Données projet'!D227</f>
        <v>6.4102564102564097</v>
      </c>
      <c r="C249" s="193">
        <v>13.75</v>
      </c>
      <c r="D249" s="179">
        <f t="shared" si="13"/>
        <v>88.141025641025635</v>
      </c>
      <c r="E249" s="193">
        <v>60</v>
      </c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>
      <c r="A250" s="180">
        <f>'Données projet'!A228</f>
        <v>75</v>
      </c>
      <c r="B250" s="181">
        <f>'Données projet'!D228</f>
        <v>6.4102564102564097</v>
      </c>
      <c r="C250" s="193">
        <v>13.75</v>
      </c>
      <c r="D250" s="179">
        <f t="shared" si="13"/>
        <v>88.141025641025635</v>
      </c>
      <c r="E250" s="193">
        <v>60</v>
      </c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>
      <c r="A251" s="180">
        <f>'Données projet'!A229</f>
        <v>80</v>
      </c>
      <c r="B251" s="181">
        <f>'Données projet'!D229</f>
        <v>5.7692307692307692</v>
      </c>
      <c r="C251" s="193">
        <v>13.75</v>
      </c>
      <c r="D251" s="179">
        <f t="shared" si="13"/>
        <v>79.32692307692308</v>
      </c>
      <c r="E251" s="193">
        <v>60</v>
      </c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>
      <c r="A252" s="180">
        <f>'Données projet'!A230</f>
        <v>85</v>
      </c>
      <c r="B252" s="181">
        <f>'Données projet'!D230</f>
        <v>5.7692307692307692</v>
      </c>
      <c r="C252" s="193">
        <v>13.75</v>
      </c>
      <c r="D252" s="179">
        <f t="shared" si="13"/>
        <v>79.32692307692308</v>
      </c>
      <c r="E252" s="193">
        <v>60</v>
      </c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>
      <c r="A253" s="180">
        <f>'Données projet'!A231</f>
        <v>90</v>
      </c>
      <c r="B253" s="181">
        <f>'Données projet'!D231</f>
        <v>5.7692307692307692</v>
      </c>
      <c r="C253" s="193">
        <v>13.75</v>
      </c>
      <c r="D253" s="179">
        <f t="shared" si="13"/>
        <v>79.32692307692308</v>
      </c>
      <c r="E253" s="193">
        <v>60</v>
      </c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>
      <c r="A254" s="180">
        <f>'Données projet'!A232</f>
        <v>95</v>
      </c>
      <c r="B254" s="181">
        <f>'Données projet'!D232</f>
        <v>5.7692307692307692</v>
      </c>
      <c r="C254" s="193">
        <v>13.75</v>
      </c>
      <c r="D254" s="179">
        <f t="shared" si="13"/>
        <v>79.32692307692308</v>
      </c>
      <c r="E254" s="193">
        <v>60</v>
      </c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>
      <c r="A255" s="180">
        <f>'Données projet'!A233</f>
        <v>100</v>
      </c>
      <c r="B255" s="181">
        <f>'Données projet'!D233</f>
        <v>5.7692307692307692</v>
      </c>
      <c r="C255" s="193">
        <v>13.75</v>
      </c>
      <c r="D255" s="179">
        <f t="shared" si="13"/>
        <v>79.32692307692308</v>
      </c>
      <c r="E255" s="193">
        <v>60</v>
      </c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>
      <c r="A256" s="180">
        <f>'Données projet'!A234</f>
        <v>105</v>
      </c>
      <c r="B256" s="181">
        <f>'Données projet'!D234</f>
        <v>6.4102564102564097</v>
      </c>
      <c r="C256" s="193">
        <v>13.75</v>
      </c>
      <c r="D256" s="179">
        <f t="shared" si="13"/>
        <v>88.141025641025635</v>
      </c>
      <c r="E256" s="193">
        <v>60</v>
      </c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>
      <c r="A257" s="180">
        <f>'Données projet'!A235</f>
        <v>110</v>
      </c>
      <c r="B257" s="181">
        <f>'Données projet'!D235</f>
        <v>6.4102564102564097</v>
      </c>
      <c r="C257" s="193">
        <v>13.75</v>
      </c>
      <c r="D257" s="179">
        <f t="shared" si="13"/>
        <v>88.141025641025635</v>
      </c>
      <c r="E257" s="193">
        <v>60</v>
      </c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>
      <c r="A258" s="180">
        <f>'Données projet'!A236</f>
        <v>115</v>
      </c>
      <c r="B258" s="181">
        <f>'Données projet'!D236</f>
        <v>6.4102564102564097</v>
      </c>
      <c r="C258" s="193">
        <v>13.75</v>
      </c>
      <c r="D258" s="179">
        <f t="shared" si="13"/>
        <v>88.141025641025635</v>
      </c>
      <c r="E258" s="193">
        <v>60</v>
      </c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>
      <c r="A259" s="180">
        <f>'Données projet'!A237</f>
        <v>120</v>
      </c>
      <c r="B259" s="181">
        <f>'Données projet'!D237</f>
        <v>122.43589743589743</v>
      </c>
      <c r="C259" s="193">
        <v>55.625</v>
      </c>
      <c r="D259" s="179">
        <f t="shared" si="13"/>
        <v>6810.4967948717949</v>
      </c>
      <c r="E259" s="193">
        <v>60</v>
      </c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382d34-9bb8-44b7-b653-fe70b92f328c" xsi:nil="true"/>
    <lcf76f155ced4ddcb4097134ff3c332f xmlns="0b31a522-a3bf-48c4-bec5-a17f159ba481">
      <Terms xmlns="http://schemas.microsoft.com/office/infopath/2007/PartnerControls"/>
    </lcf76f155ced4ddcb4097134ff3c332f>
    <_Flow_SignoffStatus xmlns="0b31a522-a3bf-48c4-bec5-a17f159ba481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6884909D472E4887D0D71289C24DC5" ma:contentTypeVersion="17" ma:contentTypeDescription="Crée un document." ma:contentTypeScope="" ma:versionID="97721cb2592a482bffe4535c1d82bfab">
  <xsd:schema xmlns:xsd="http://www.w3.org/2001/XMLSchema" xmlns:xs="http://www.w3.org/2001/XMLSchema" xmlns:p="http://schemas.microsoft.com/office/2006/metadata/properties" xmlns:ns2="0b31a522-a3bf-48c4-bec5-a17f159ba481" xmlns:ns3="e2382d34-9bb8-44b7-b653-fe70b92f328c" targetNamespace="http://schemas.microsoft.com/office/2006/metadata/properties" ma:root="true" ma:fieldsID="898389d66497a537f7ef3029f47afb57" ns2:_="" ns3:_="">
    <xsd:import namespace="0b31a522-a3bf-48c4-bec5-a17f159ba481"/>
    <xsd:import namespace="e2382d34-9bb8-44b7-b653-fe70b92f328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31a522-a3bf-48c4-bec5-a17f159ba4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Balises d’images" ma:readOnly="false" ma:fieldId="{5cf76f15-5ced-4ddc-b409-7134ff3c332f}" ma:taxonomyMulti="true" ma:sspId="d1090b2c-5079-4c1b-ae3e-0f22ffb919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1" nillable="true" ma:displayName="Sign-off status" ma:internalName="Sign_x002d_off_x0020_status">
      <xsd:simpleType>
        <xsd:restriction base="dms:Text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382d34-9bb8-44b7-b653-fe70b92f328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ea42f30-ac50-40fe-8b72-1112505a2dd8}" ma:internalName="TaxCatchAll" ma:showField="CatchAllData" ma:web="e2382d34-9bb8-44b7-b653-fe70b92f32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A6861AC-80B4-4803-8030-7424409AD984}">
  <ds:schemaRefs>
    <ds:schemaRef ds:uri="http://schemas.microsoft.com/office/2006/metadata/properties"/>
    <ds:schemaRef ds:uri="http://schemas.microsoft.com/office/infopath/2007/PartnerControls"/>
    <ds:schemaRef ds:uri="e2382d34-9bb8-44b7-b653-fe70b92f328c"/>
    <ds:schemaRef ds:uri="0b31a522-a3bf-48c4-bec5-a17f159ba481"/>
  </ds:schemaRefs>
</ds:datastoreItem>
</file>

<file path=customXml/itemProps2.xml><?xml version="1.0" encoding="utf-8"?>
<ds:datastoreItem xmlns:ds="http://schemas.openxmlformats.org/officeDocument/2006/customXml" ds:itemID="{8A2924E7-EC47-4035-879F-BBFFD60B1FE0}"/>
</file>

<file path=customXml/itemProps3.xml><?xml version="1.0" encoding="utf-8"?>
<ds:datastoreItem xmlns:ds="http://schemas.openxmlformats.org/officeDocument/2006/customXml" ds:itemID="{97375F83-DE23-4706-80ED-4A8DA07E8E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REE</vt:lpstr>
      <vt:lpstr>Calculateur</vt:lpstr>
      <vt:lpstr>Paramètres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Malo DE CHAILLÉ</cp:lastModifiedBy>
  <dcterms:created xsi:type="dcterms:W3CDTF">2021-02-01T08:22:39Z</dcterms:created>
  <dcterms:modified xsi:type="dcterms:W3CDTF">2026-05-06T07:59:35Z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0x010100A36884909D472E4887D0D71289C24DC5</vt:lpwstr>
  </property>
  <property fmtid="{D5CDD505-2E9C-101B-9397-08002B2CF9AE}" pid="3" name="Order">
    <vt:r8>2102600</vt:r8>
  </property>
  <property fmtid="{D5CDD505-2E9C-101B-9397-08002B2CF9AE}" pid="4" name="MediaServiceImageTags">
    <vt:lpwstr/>
  </property>
</Properties>
</file>