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GF SYLVISTELLA (Vicq Exemplet) - 19642226 LE/"/>
    </mc:Choice>
  </mc:AlternateContent>
  <xr:revisionPtr revIDLastSave="114" documentId="8_{FC868DE2-5832-4662-9B45-94D95963E85D}" xr6:coauthVersionLast="47" xr6:coauthVersionMax="47" xr10:uidLastSave="{D1C8A4E9-25D8-43A3-966B-E972AF6A437E}"/>
  <bookViews>
    <workbookView xWindow="-98" yWindow="-98" windowWidth="19396" windowHeight="11475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FR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DG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EY179" i="2" s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W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 l="1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EW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02" i="2" a="1"/>
  <c r="GT102" i="2" s="1"/>
  <c r="GT11" i="2" a="1"/>
  <c r="GT11" i="2" s="1"/>
  <c r="EI166" i="2" a="1"/>
  <c r="EI166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BC130" i="2" a="1"/>
  <c r="BC130" i="2" s="1"/>
  <c r="BC55" i="2" a="1"/>
  <c r="BC55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38" i="2" a="1"/>
  <c r="GT138" i="2" s="1"/>
  <c r="GT15" i="2" a="1"/>
  <c r="GT15" i="2" s="1"/>
  <c r="EI38" i="2" a="1"/>
  <c r="EI38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AX200" i="2"/>
  <c r="DN70" i="2" l="1" a="1"/>
  <c r="DN70" i="2" s="1"/>
  <c r="DN63" i="2" a="1"/>
  <c r="DN63" i="2" s="1"/>
  <c r="DN113" i="2" a="1"/>
  <c r="DN113" i="2" s="1"/>
  <c r="DN103" i="2" a="1"/>
  <c r="DN103" i="2" s="1"/>
  <c r="CS185" i="2" a="1"/>
  <c r="CS185" i="2" s="1"/>
  <c r="CS114" i="2" a="1"/>
  <c r="CS114" i="2" s="1"/>
  <c r="CS56" i="2" a="1"/>
  <c r="CS56" i="2" s="1"/>
  <c r="CS38" i="2" a="1"/>
  <c r="CS38" i="2" s="1"/>
  <c r="CS105" i="2" a="1"/>
  <c r="CS105" i="2" s="1"/>
  <c r="CS161" i="2" a="1"/>
  <c r="CS161" i="2" s="1"/>
  <c r="CS77" i="2" a="1"/>
  <c r="CS77" i="2" s="1"/>
  <c r="BC32" i="2" a="1"/>
  <c r="BC32" i="2" s="1"/>
  <c r="BC164" i="2" a="1"/>
  <c r="BC164" i="2" s="1"/>
  <c r="BC58" i="2" a="1"/>
  <c r="BC58" i="2" s="1"/>
  <c r="BC68" i="2" a="1"/>
  <c r="BC68" i="2" s="1"/>
  <c r="BC192" i="2" a="1"/>
  <c r="BC192" i="2" s="1"/>
  <c r="BC34" i="2" a="1"/>
  <c r="BC34" i="2" s="1"/>
  <c r="DN55" i="2" a="1"/>
  <c r="DN55" i="2" s="1"/>
  <c r="DN25" i="2" a="1"/>
  <c r="DN25" i="2" s="1"/>
  <c r="DN123" i="2" a="1"/>
  <c r="DN123" i="2" s="1"/>
  <c r="BX107" i="2" a="1"/>
  <c r="BX107" i="2" s="1"/>
  <c r="DN16" i="2" a="1"/>
  <c r="DN16" i="2" s="1"/>
  <c r="DN150" i="2" a="1"/>
  <c r="DN150" i="2" s="1"/>
  <c r="DN43" i="2" a="1"/>
  <c r="DN43" i="2" s="1"/>
  <c r="FY196" i="2" a="1"/>
  <c r="FY196" i="2" s="1"/>
  <c r="GT122" i="2" a="1"/>
  <c r="GT122" i="2" s="1"/>
  <c r="FS203" i="2"/>
  <c r="DN30" i="2" a="1"/>
  <c r="DN30" i="2" s="1"/>
  <c r="DN135" i="2" a="1"/>
  <c r="DN135" i="2" s="1"/>
  <c r="EI34" i="2" a="1"/>
  <c r="EI34" i="2" s="1"/>
  <c r="GT74" i="2" a="1"/>
  <c r="GT74" i="2" s="1"/>
  <c r="DN86" i="2" a="1"/>
  <c r="DN86" i="2" s="1"/>
  <c r="GT51" i="2" a="1"/>
  <c r="GT51" i="2" s="1"/>
  <c r="FY104" i="2" a="1"/>
  <c r="FY104" i="2" s="1"/>
  <c r="GT107" i="2" a="1"/>
  <c r="GT107" i="2" s="1"/>
  <c r="DN29" i="2" a="1"/>
  <c r="DN29" i="2" s="1"/>
  <c r="GT190" i="2" a="1"/>
  <c r="GT190" i="2" s="1"/>
  <c r="DN41" i="2" a="1"/>
  <c r="DN41" i="2" s="1"/>
  <c r="GT133" i="2" a="1"/>
  <c r="GT133" i="2" s="1"/>
  <c r="GT38" i="2" a="1"/>
  <c r="GT38" i="2" s="1"/>
  <c r="DN186" i="2" a="1"/>
  <c r="DN186" i="2" s="1"/>
  <c r="DN164" i="2" a="1"/>
  <c r="DN164" i="2" s="1"/>
  <c r="DN137" i="2" a="1"/>
  <c r="DN137" i="2" s="1"/>
  <c r="GT178" i="2" a="1"/>
  <c r="GT178" i="2" s="1"/>
  <c r="GT68" i="2" a="1"/>
  <c r="GT68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87" i="2" a="1"/>
  <c r="DN187" i="2" s="1"/>
  <c r="DN184" i="2" a="1"/>
  <c r="DN184" i="2" s="1"/>
  <c r="DN31" i="2" a="1"/>
  <c r="DN31" i="2" s="1"/>
  <c r="DN152" i="2" a="1"/>
  <c r="DN152" i="2" s="1"/>
  <c r="GT174" i="2" a="1"/>
  <c r="GT174" i="2" s="1"/>
  <c r="DN192" i="2" a="1"/>
  <c r="DN192" i="2" s="1"/>
  <c r="GT126" i="2" a="1"/>
  <c r="GT126" i="2" s="1"/>
  <c r="DN38" i="2" a="1"/>
  <c r="DN38" i="2" s="1"/>
  <c r="DN177" i="2" a="1"/>
  <c r="DN177" i="2" s="1"/>
  <c r="AH62" i="2" a="1"/>
  <c r="AH62" i="2" s="1"/>
  <c r="DN153" i="2" a="1"/>
  <c r="DN153" i="2" s="1"/>
  <c r="GT184" i="2" a="1"/>
  <c r="GT184" i="2" s="1"/>
  <c r="FY78" i="2" a="1"/>
  <c r="FY78" i="2" s="1"/>
  <c r="DN110" i="2" a="1"/>
  <c r="DN110" i="2" s="1"/>
  <c r="GT147" i="2" a="1"/>
  <c r="GT147" i="2" s="1"/>
  <c r="GT152" i="2" a="1"/>
  <c r="GT152" i="2" s="1"/>
  <c r="FY30" i="2" a="1"/>
  <c r="FY30" i="2" s="1"/>
  <c r="GT121" i="2" a="1"/>
  <c r="GT121" i="2" s="1"/>
  <c r="EI165" i="2" a="1"/>
  <c r="EI165" i="2" s="1"/>
  <c r="EI71" i="2" a="1"/>
  <c r="EI71" i="2" s="1"/>
  <c r="EI57" i="2" a="1"/>
  <c r="EI57" i="2" s="1"/>
  <c r="DN80" i="2" a="1"/>
  <c r="DN80" i="2" s="1"/>
  <c r="EI36" i="2" a="1"/>
  <c r="EI36" i="2" s="1"/>
  <c r="GT21" i="2" a="1"/>
  <c r="GT21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DN167" i="2" a="1"/>
  <c r="DN167" i="2" s="1"/>
  <c r="DN45" i="2" a="1"/>
  <c r="DN45" i="2" s="1"/>
  <c r="GT33" i="2" a="1"/>
  <c r="GT33" i="2" s="1"/>
  <c r="DN162" i="2" a="1"/>
  <c r="DN162" i="2" s="1"/>
  <c r="DN49" i="2" a="1"/>
  <c r="DN49" i="2" s="1"/>
  <c r="DN66" i="2" a="1"/>
  <c r="DN66" i="2" s="1"/>
  <c r="DN132" i="2" a="1"/>
  <c r="DN132" i="2" s="1"/>
  <c r="DN188" i="2" a="1"/>
  <c r="DN188" i="2" s="1"/>
  <c r="FY190" i="2" a="1"/>
  <c r="FY190" i="2" s="1"/>
  <c r="GT189" i="2" a="1"/>
  <c r="GT189" i="2" s="1"/>
  <c r="DN190" i="2" a="1"/>
  <c r="DN190" i="2" s="1"/>
  <c r="DN133" i="2" a="1"/>
  <c r="DN133" i="2" s="1"/>
  <c r="EI87" i="2" a="1"/>
  <c r="EI87" i="2" s="1"/>
  <c r="GT12" i="2" a="1"/>
  <c r="GT12" i="2" s="1"/>
  <c r="DN129" i="2" a="1"/>
  <c r="DN129" i="2" s="1"/>
  <c r="EI142" i="2" a="1"/>
  <c r="EI142" i="2" s="1"/>
  <c r="DN56" i="2" a="1"/>
  <c r="DN56" i="2" s="1"/>
  <c r="FY69" i="2" a="1"/>
  <c r="FY69" i="2" s="1"/>
  <c r="GT191" i="2" a="1"/>
  <c r="GT191" i="2" s="1"/>
  <c r="EI20" i="2" a="1"/>
  <c r="EI20" i="2" s="1"/>
  <c r="DN46" i="2" a="1"/>
  <c r="DN46" i="2" s="1"/>
  <c r="DN176" i="2" a="1"/>
  <c r="DN176" i="2" s="1"/>
  <c r="GT198" i="2" a="1"/>
  <c r="GT198" i="2" s="1"/>
  <c r="DN65" i="2" a="1"/>
  <c r="DN65" i="2" s="1"/>
  <c r="DN168" i="2" a="1"/>
  <c r="DN168" i="2" s="1"/>
  <c r="EI109" i="2" a="1"/>
  <c r="EI109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11" i="2" l="1"/>
  <c r="CD60" i="2"/>
  <c r="CD97" i="2"/>
  <c r="CD117" i="2"/>
  <c r="CD163" i="2"/>
  <c r="CD3" i="2"/>
  <c r="C9" i="4" s="1"/>
  <c r="E9" i="4" s="1"/>
  <c r="F9" i="4" s="1"/>
  <c r="G9" i="4" s="1"/>
  <c r="L9" i="4" s="1"/>
  <c r="CD78" i="2"/>
  <c r="CD55" i="2"/>
  <c r="CD192" i="2"/>
  <c r="CD119" i="2"/>
  <c r="CD156" i="2"/>
  <c r="CD129" i="2"/>
  <c r="CD154" i="2"/>
  <c r="CD54" i="2"/>
  <c r="CD37" i="2"/>
  <c r="CD121" i="2"/>
  <c r="CD124" i="2"/>
  <c r="CD162" i="2"/>
  <c r="CD79" i="2"/>
  <c r="CD152" i="2"/>
  <c r="CD26" i="2"/>
  <c r="CD85" i="2"/>
  <c r="CD134" i="2"/>
  <c r="CD137" i="2"/>
  <c r="CD190" i="2"/>
  <c r="CD194" i="2"/>
  <c r="CD14" i="2"/>
  <c r="CD123" i="2"/>
  <c r="CD99" i="2"/>
  <c r="CD197" i="2"/>
  <c r="CD164" i="2"/>
  <c r="CD45" i="2"/>
  <c r="CD148" i="2"/>
  <c r="CD19" i="2"/>
  <c r="CD132" i="2"/>
  <c r="CD86" i="2"/>
  <c r="CD87" i="2"/>
  <c r="CD184" i="2"/>
  <c r="CD10" i="2"/>
  <c r="CD94" i="2"/>
  <c r="CD5" i="2"/>
  <c r="CD105" i="2"/>
  <c r="CD149" i="2"/>
  <c r="CD36" i="2"/>
  <c r="CD76" i="2"/>
  <c r="CD172" i="2"/>
  <c r="CD167" i="2"/>
  <c r="CD160" i="2"/>
  <c r="CD9" i="2"/>
  <c r="CD57" i="2"/>
  <c r="CD127" i="2"/>
  <c r="CD74" i="2"/>
  <c r="CD139" i="2"/>
  <c r="CD165" i="2"/>
  <c r="CD92" i="2"/>
  <c r="CD203" i="2"/>
  <c r="CD104" i="2"/>
  <c r="CD189" i="2"/>
  <c r="CD88" i="2"/>
  <c r="CD27" i="2"/>
  <c r="CD126" i="2"/>
  <c r="CD95" i="2"/>
  <c r="CD13" i="2"/>
  <c r="CD43" i="2"/>
  <c r="CD24" i="2"/>
  <c r="CD39" i="2"/>
  <c r="CD112" i="2"/>
  <c r="CD8" i="2"/>
  <c r="CD176" i="2"/>
  <c r="CD53" i="2"/>
  <c r="CD182" i="2"/>
  <c r="CD90" i="2"/>
  <c r="CD93" i="2"/>
  <c r="CD16" i="2"/>
  <c r="CD166" i="2"/>
  <c r="CD111" i="2"/>
  <c r="CD58" i="2"/>
  <c r="CD12" i="2"/>
  <c r="CD33" i="2"/>
  <c r="CD48" i="2"/>
  <c r="CD142" i="2"/>
  <c r="CD38" i="2"/>
  <c r="CD115" i="2"/>
  <c r="CD106" i="2"/>
  <c r="CD73" i="2"/>
  <c r="CD169" i="2"/>
  <c r="CD83" i="2"/>
  <c r="CD175" i="2"/>
  <c r="CD151" i="2"/>
  <c r="CD158" i="2"/>
  <c r="CD198" i="2"/>
  <c r="CD136" i="2"/>
  <c r="CD52" i="2"/>
  <c r="CD41" i="2"/>
  <c r="CD131" i="2"/>
  <c r="CD21" i="2"/>
  <c r="CD44" i="2"/>
  <c r="CD61" i="2"/>
  <c r="CD153" i="2"/>
  <c r="CD133" i="2"/>
  <c r="CD181" i="2"/>
  <c r="CD22" i="2"/>
  <c r="CD177" i="2"/>
  <c r="CD191" i="2"/>
  <c r="CD49" i="2"/>
  <c r="CD84" i="2"/>
  <c r="CD195" i="2"/>
  <c r="CD40" i="2"/>
  <c r="CD174" i="2"/>
  <c r="CD113" i="2"/>
  <c r="CD15" i="2"/>
  <c r="CD7" i="2"/>
  <c r="CD96" i="2"/>
  <c r="CD30" i="2"/>
  <c r="CD98" i="2"/>
  <c r="CD82" i="2"/>
  <c r="CD59" i="2"/>
  <c r="CD120" i="2"/>
  <c r="CD64" i="2"/>
  <c r="CD150" i="2"/>
  <c r="CD17" i="2"/>
  <c r="CD72" i="2"/>
  <c r="CD77" i="2"/>
  <c r="CD122" i="2"/>
  <c r="CD101" i="2"/>
  <c r="CD28" i="2"/>
  <c r="CD173" i="2"/>
  <c r="CD107" i="2"/>
  <c r="CD193" i="2"/>
  <c r="CD168" i="2"/>
  <c r="CD157" i="2"/>
  <c r="CD62" i="2"/>
  <c r="CD110" i="2"/>
  <c r="CD143" i="2"/>
  <c r="CD20" i="2"/>
  <c r="CD103" i="2"/>
  <c r="CD170" i="2"/>
  <c r="CD56" i="2"/>
  <c r="CD196" i="2"/>
  <c r="CD81" i="2"/>
  <c r="CD130" i="2"/>
  <c r="CD102" i="2"/>
  <c r="CD25" i="2"/>
  <c r="CD69" i="2"/>
  <c r="CD202" i="2"/>
  <c r="CD171" i="2"/>
  <c r="CD32" i="2"/>
  <c r="CD18" i="2"/>
  <c r="CD140" i="2"/>
  <c r="CD199" i="2"/>
  <c r="CD114" i="2"/>
  <c r="CD63" i="2"/>
  <c r="CD31" i="2"/>
  <c r="CD70" i="2"/>
  <c r="CD201" i="2"/>
  <c r="CD180" i="2"/>
  <c r="CD155" i="2"/>
  <c r="CD80" i="2"/>
  <c r="CD42" i="2"/>
  <c r="CD68" i="2"/>
  <c r="CD146" i="2"/>
  <c r="CD47" i="2"/>
  <c r="CD144" i="2"/>
  <c r="CD109" i="2"/>
  <c r="CD51" i="2"/>
  <c r="CD145" i="2"/>
  <c r="CD187" i="2"/>
  <c r="CD46" i="2"/>
  <c r="CD50" i="2"/>
  <c r="CD141" i="2"/>
  <c r="CD108" i="2"/>
  <c r="CD186" i="2"/>
  <c r="CD65" i="2"/>
  <c r="CD34" i="2"/>
  <c r="CD185" i="2"/>
  <c r="CD138" i="2"/>
  <c r="CD178" i="2"/>
  <c r="CD179" i="2"/>
  <c r="CD161" i="2"/>
  <c r="CD35" i="2"/>
  <c r="CD89" i="2"/>
  <c r="CD118" i="2"/>
  <c r="CD71" i="2"/>
  <c r="CD91" i="2"/>
  <c r="CD135" i="2"/>
  <c r="CD116" i="2"/>
  <c r="CD125" i="2"/>
  <c r="CD67" i="2"/>
  <c r="CD75" i="2"/>
  <c r="CD147" i="2"/>
  <c r="CD29" i="2"/>
  <c r="CD200" i="2"/>
  <c r="CD159" i="2"/>
  <c r="CD188" i="2"/>
  <c r="CD100" i="2"/>
  <c r="CD128" i="2"/>
  <c r="CD183" i="2"/>
  <c r="CD66" i="2"/>
  <c r="CD4" i="2"/>
  <c r="CD6" i="2"/>
  <c r="CD23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203" i="2" l="1"/>
  <c r="AN97" i="2"/>
  <c r="AN37" i="2"/>
  <c r="AN176" i="2"/>
  <c r="AN17" i="2"/>
  <c r="AN109" i="2"/>
  <c r="AN74" i="2"/>
  <c r="AN196" i="2"/>
  <c r="AN76" i="2"/>
  <c r="AN113" i="2"/>
  <c r="AN57" i="2"/>
  <c r="AN120" i="2"/>
  <c r="AN167" i="2"/>
  <c r="AN59" i="2"/>
  <c r="AN94" i="2"/>
  <c r="AN172" i="2"/>
  <c r="AN181" i="2"/>
  <c r="AN81" i="2"/>
  <c r="AN165" i="2"/>
  <c r="AN92" i="2"/>
  <c r="AN82" i="2"/>
  <c r="AN125" i="2"/>
  <c r="AN54" i="2"/>
  <c r="AN146" i="2"/>
  <c r="AN90" i="2"/>
  <c r="AN147" i="2"/>
  <c r="AN77" i="2"/>
  <c r="AN64" i="2"/>
  <c r="AN69" i="2"/>
  <c r="AN171" i="2"/>
  <c r="AN122" i="2"/>
  <c r="AN7" i="2"/>
  <c r="AN148" i="2"/>
  <c r="AN117" i="2"/>
  <c r="AN182" i="2"/>
  <c r="AN110" i="2"/>
  <c r="AN137" i="2"/>
  <c r="AN193" i="2"/>
  <c r="AN51" i="2"/>
  <c r="AN18" i="2"/>
  <c r="AN107" i="2"/>
  <c r="AN195" i="2"/>
  <c r="AN190" i="2"/>
  <c r="AN49" i="2"/>
  <c r="AN55" i="2"/>
  <c r="AN3" i="2"/>
  <c r="C7" i="4" s="1"/>
  <c r="E7" i="4" s="1"/>
  <c r="F7" i="4" s="1"/>
  <c r="G7" i="4" s="1"/>
  <c r="L7" i="4" s="1"/>
  <c r="AN183" i="2"/>
  <c r="AN185" i="2"/>
  <c r="AN88" i="2"/>
  <c r="AN83" i="2"/>
  <c r="AN73" i="2"/>
  <c r="AN39" i="2"/>
  <c r="AN53" i="2"/>
  <c r="AN100" i="2"/>
  <c r="AN175" i="2"/>
  <c r="AN62" i="2"/>
  <c r="AN105" i="2"/>
  <c r="AN121" i="2"/>
  <c r="AN188" i="2"/>
  <c r="AN124" i="2"/>
  <c r="AN20" i="2"/>
  <c r="AN47" i="2"/>
  <c r="AN96" i="2"/>
  <c r="AN104" i="2"/>
  <c r="AN56" i="2"/>
  <c r="AN136" i="2"/>
  <c r="AN140" i="2"/>
  <c r="AN58" i="2"/>
  <c r="AN145" i="2"/>
  <c r="AN108" i="2"/>
  <c r="AN72" i="2"/>
  <c r="AN19" i="2"/>
  <c r="AN200" i="2"/>
  <c r="AN194" i="2"/>
  <c r="AN12" i="2"/>
  <c r="AN186" i="2"/>
  <c r="AN134" i="2"/>
  <c r="AN33" i="2"/>
  <c r="AN132" i="2"/>
  <c r="AN31" i="2"/>
  <c r="AN91" i="2"/>
  <c r="AN103" i="2"/>
  <c r="AN198" i="2"/>
  <c r="AN173" i="2"/>
  <c r="AN142" i="2"/>
  <c r="AN66" i="2"/>
  <c r="AN35" i="2"/>
  <c r="AN111" i="2"/>
  <c r="AN155" i="2"/>
  <c r="AN179" i="2"/>
  <c r="AN40" i="2"/>
  <c r="AN154" i="2"/>
  <c r="AN80" i="2"/>
  <c r="AN16" i="2"/>
  <c r="AN101" i="2"/>
  <c r="AN21" i="2"/>
  <c r="AN112" i="2"/>
  <c r="AN14" i="2"/>
  <c r="AN158" i="2"/>
  <c r="AN32" i="2"/>
  <c r="AN10" i="2"/>
  <c r="AN187" i="2"/>
  <c r="AN166" i="2"/>
  <c r="AN184" i="2"/>
  <c r="AN163" i="2"/>
  <c r="AN68" i="2"/>
  <c r="AN118" i="2"/>
  <c r="AN23" i="2"/>
  <c r="AN116" i="2"/>
  <c r="AN135" i="2"/>
  <c r="AN27" i="2"/>
  <c r="AN156" i="2"/>
  <c r="AN70" i="2"/>
  <c r="AN180" i="2"/>
  <c r="AN131" i="2"/>
  <c r="AN28" i="2"/>
  <c r="AN202" i="2"/>
  <c r="AN159" i="2"/>
  <c r="AN168" i="2"/>
  <c r="AN115" i="2"/>
  <c r="AN60" i="2"/>
  <c r="AN177" i="2"/>
  <c r="AN119" i="2"/>
  <c r="AN78" i="2"/>
  <c r="AN30" i="2"/>
  <c r="AN149" i="2"/>
  <c r="AN178" i="2"/>
  <c r="AN36" i="2"/>
  <c r="AN102" i="2"/>
  <c r="AN87" i="2"/>
  <c r="AN71" i="2"/>
  <c r="AN128" i="2"/>
  <c r="AN129" i="2"/>
  <c r="AN43" i="2"/>
  <c r="AN67" i="2"/>
  <c r="AN157" i="2"/>
  <c r="AN138" i="2"/>
  <c r="AN199" i="2"/>
  <c r="AN15" i="2"/>
  <c r="AN41" i="2"/>
  <c r="AN130" i="2"/>
  <c r="AN86" i="2"/>
  <c r="AN13" i="2"/>
  <c r="AN170" i="2"/>
  <c r="AN191" i="2"/>
  <c r="AN99" i="2"/>
  <c r="AN85" i="2"/>
  <c r="AN63" i="2"/>
  <c r="AN11" i="2"/>
  <c r="AN161" i="2"/>
  <c r="AN160" i="2"/>
  <c r="AN38" i="2"/>
  <c r="AN52" i="2"/>
  <c r="AN162" i="2"/>
  <c r="AN169" i="2"/>
  <c r="AN197" i="2"/>
  <c r="AN44" i="2"/>
  <c r="AN106" i="2"/>
  <c r="AN4" i="2"/>
  <c r="AN133" i="2"/>
  <c r="AN164" i="2"/>
  <c r="AN50" i="2"/>
  <c r="AN5" i="2"/>
  <c r="AN143" i="2"/>
  <c r="AN75" i="2"/>
  <c r="AN8" i="2"/>
  <c r="AN192" i="2"/>
  <c r="AN89" i="2"/>
  <c r="AN201" i="2"/>
  <c r="AN34" i="2"/>
  <c r="AN127" i="2"/>
  <c r="AN144" i="2"/>
  <c r="AN123" i="2"/>
  <c r="AN84" i="2"/>
  <c r="AN29" i="2"/>
  <c r="AN6" i="2"/>
  <c r="AN150" i="2"/>
  <c r="AN79" i="2"/>
  <c r="AN152" i="2"/>
  <c r="AN153" i="2"/>
  <c r="AN65" i="2"/>
  <c r="AN93" i="2"/>
  <c r="AN9" i="2"/>
  <c r="AN26" i="2"/>
  <c r="AN174" i="2"/>
  <c r="AN139" i="2"/>
  <c r="AN98" i="2"/>
  <c r="AN25" i="2"/>
  <c r="AN126" i="2"/>
  <c r="AN151" i="2"/>
  <c r="AN48" i="2"/>
  <c r="AN189" i="2"/>
  <c r="AN24" i="2"/>
  <c r="AN61" i="2"/>
  <c r="AN42" i="2"/>
  <c r="AN141" i="2"/>
  <c r="AN45" i="2"/>
  <c r="AN46" i="2"/>
  <c r="AN114" i="2"/>
  <c r="AN22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8" i="2"/>
  <c r="BI46" i="2"/>
  <c r="BI194" i="2"/>
  <c r="BI48" i="2"/>
  <c r="BI182" i="2"/>
  <c r="BI28" i="2"/>
  <c r="BI41" i="2"/>
  <c r="BI156" i="2"/>
  <c r="BI105" i="2"/>
  <c r="BI173" i="2"/>
  <c r="BI152" i="2"/>
  <c r="BI146" i="2"/>
  <c r="BI50" i="2"/>
  <c r="BI85" i="2"/>
  <c r="BI24" i="2"/>
  <c r="BI192" i="2"/>
  <c r="BI3" i="2"/>
  <c r="C8" i="4" s="1"/>
  <c r="E8" i="4" s="1"/>
  <c r="F8" i="4" s="1"/>
  <c r="G8" i="4" s="1"/>
  <c r="L8" i="4" s="1"/>
  <c r="BI10" i="2"/>
  <c r="BI34" i="2"/>
  <c r="BI59" i="2"/>
  <c r="BI116" i="2"/>
  <c r="BI96" i="2"/>
  <c r="BI114" i="2"/>
  <c r="BI130" i="2"/>
  <c r="BI43" i="2"/>
  <c r="BI29" i="2"/>
  <c r="BI185" i="2"/>
  <c r="BI42" i="2"/>
  <c r="BI129" i="2"/>
  <c r="BI4" i="2"/>
  <c r="BI13" i="2"/>
  <c r="BI122" i="2"/>
  <c r="BI69" i="2"/>
  <c r="BI25" i="2"/>
  <c r="BI143" i="2"/>
  <c r="BI170" i="2"/>
  <c r="BI109" i="2"/>
  <c r="BI9" i="2"/>
  <c r="BI151" i="2"/>
  <c r="BI175" i="2"/>
  <c r="BI60" i="2"/>
  <c r="BI7" i="2"/>
  <c r="BI136" i="2"/>
  <c r="BI66" i="2"/>
  <c r="BI198" i="2"/>
  <c r="BI168" i="2"/>
  <c r="BI95" i="2"/>
  <c r="BI196" i="2"/>
  <c r="BI38" i="2"/>
  <c r="BI23" i="2"/>
  <c r="BI99" i="2"/>
  <c r="BI148" i="2"/>
  <c r="BI70" i="2"/>
  <c r="BI62" i="2"/>
  <c r="BI51" i="2"/>
  <c r="BI153" i="2"/>
  <c r="BI98" i="2"/>
  <c r="BI57" i="2"/>
  <c r="BI139" i="2"/>
  <c r="BI134" i="2"/>
  <c r="BI172" i="2"/>
  <c r="BI183" i="2"/>
  <c r="BI91" i="2"/>
  <c r="BI178" i="2"/>
  <c r="BI169" i="2"/>
  <c r="BI61" i="2"/>
  <c r="BI92" i="2"/>
  <c r="BI27" i="2"/>
  <c r="BI123" i="2"/>
  <c r="BI72" i="2"/>
  <c r="BI78" i="2"/>
  <c r="BI20" i="2"/>
  <c r="BI5" i="2"/>
  <c r="BI82" i="2"/>
  <c r="BI184" i="2"/>
  <c r="BI12" i="2"/>
  <c r="BI115" i="2"/>
  <c r="BI16" i="2"/>
  <c r="BI64" i="2"/>
  <c r="BI119" i="2"/>
  <c r="BI127" i="2"/>
  <c r="BI90" i="2"/>
  <c r="BI157" i="2"/>
  <c r="BI79" i="2"/>
  <c r="BI197" i="2"/>
  <c r="BI58" i="2"/>
  <c r="BI30" i="2"/>
  <c r="BI201" i="2"/>
  <c r="BI104" i="2"/>
  <c r="BI68" i="2"/>
  <c r="BI177" i="2"/>
  <c r="BI73" i="2"/>
  <c r="BI165" i="2"/>
  <c r="BI171" i="2"/>
  <c r="BI40" i="2"/>
  <c r="BI199" i="2"/>
  <c r="BI101" i="2"/>
  <c r="BI200" i="2"/>
  <c r="BI103" i="2"/>
  <c r="BI167" i="2"/>
  <c r="BI160" i="2"/>
  <c r="BI100" i="2"/>
  <c r="BI77" i="2"/>
  <c r="BI142" i="2"/>
  <c r="BI8" i="2"/>
  <c r="BI112" i="2"/>
  <c r="BI138" i="2"/>
  <c r="BI125" i="2"/>
  <c r="BI195" i="2"/>
  <c r="BI97" i="2"/>
  <c r="BI35" i="2"/>
  <c r="BI141" i="2"/>
  <c r="BI186" i="2"/>
  <c r="BI190" i="2"/>
  <c r="BI53" i="2"/>
  <c r="BI39" i="2"/>
  <c r="BI54" i="2"/>
  <c r="BI102" i="2"/>
  <c r="BI76" i="2"/>
  <c r="BI149" i="2"/>
  <c r="BI71" i="2"/>
  <c r="BI6" i="2"/>
  <c r="BI188" i="2"/>
  <c r="BI191" i="2"/>
  <c r="BI94" i="2"/>
  <c r="BI22" i="2"/>
  <c r="BI15" i="2"/>
  <c r="BI33" i="2"/>
  <c r="BI162" i="2"/>
  <c r="BI154" i="2"/>
  <c r="BI37" i="2"/>
  <c r="BI126" i="2"/>
  <c r="BI63" i="2"/>
  <c r="BI202" i="2"/>
  <c r="BI83" i="2"/>
  <c r="BI56" i="2"/>
  <c r="BI17" i="2"/>
  <c r="BI128" i="2"/>
  <c r="BI44" i="2"/>
  <c r="BI161" i="2"/>
  <c r="BI87" i="2"/>
  <c r="BI84" i="2"/>
  <c r="BI158" i="2"/>
  <c r="BI26" i="2"/>
  <c r="BI137" i="2"/>
  <c r="BI106" i="2"/>
  <c r="BI189" i="2"/>
  <c r="BI89" i="2"/>
  <c r="BI180" i="2"/>
  <c r="BI55" i="2"/>
  <c r="BI67" i="2"/>
  <c r="BI135" i="2"/>
  <c r="BI131" i="2"/>
  <c r="BI118" i="2"/>
  <c r="BI155" i="2"/>
  <c r="BI166" i="2"/>
  <c r="BI75" i="2"/>
  <c r="BI31" i="2"/>
  <c r="BI179" i="2"/>
  <c r="BI164" i="2"/>
  <c r="BI144" i="2"/>
  <c r="BI21" i="2"/>
  <c r="BI187" i="2"/>
  <c r="BI14" i="2"/>
  <c r="BI52" i="2"/>
  <c r="BI150" i="2"/>
  <c r="BI159" i="2"/>
  <c r="BI147" i="2"/>
  <c r="BI176" i="2"/>
  <c r="BI193" i="2"/>
  <c r="BI121" i="2"/>
  <c r="BI110" i="2"/>
  <c r="BI45" i="2"/>
  <c r="BI113" i="2"/>
  <c r="BI163" i="2"/>
  <c r="BI132" i="2"/>
  <c r="BI86" i="2"/>
  <c r="BI133" i="2"/>
  <c r="BI174" i="2"/>
  <c r="BI124" i="2"/>
  <c r="BI111" i="2"/>
  <c r="BI140" i="2"/>
  <c r="BI108" i="2"/>
  <c r="BI117" i="2"/>
  <c r="BI18" i="2"/>
  <c r="BI74" i="2"/>
  <c r="BI93" i="2"/>
  <c r="BI181" i="2"/>
  <c r="BI49" i="2"/>
  <c r="BI32" i="2"/>
  <c r="BI36" i="2"/>
  <c r="BI11" i="2"/>
  <c r="BI203" i="2"/>
  <c r="BI81" i="2"/>
  <c r="BI65" i="2"/>
  <c r="BI145" i="2"/>
  <c r="BI19" i="2"/>
  <c r="BI80" i="2"/>
  <c r="BI107" i="2"/>
  <c r="BI12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<sst xmlns="http://schemas.openxmlformats.org/spreadsheetml/2006/main" count="1173" uniqueCount="326">
  <si>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</si>
  <si>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</si>
  <si>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</si>
  <si>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</si>
  <si>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</si>
  <si>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</si>
  <si>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</si>
  <si>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</si>
  <si>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</si>
  <si>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</si>
  <si>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</si>
  <si>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</si>
  <si>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</si>
  <si>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</si>
  <si>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</si>
  <si>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</si>
  <si>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</si>
  <si>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</si>
  <si>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</si>
  <si>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</si>
  <si>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</si>
  <si>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</si>
  <si>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</si>
  <si>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</si>
  <si>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</si>
  <si>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</si>
  <si>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</si>
  <si>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</si>
  <si>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</si>
  <si>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</si>
  <si>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</si>
  <si>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</si>
  <si>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</si>
  <si>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</si>
  <si>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</si>
  <si>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</si>
  <si>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</si>
  <si>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</si>
  <si>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</si>
  <si>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</si>
  <si>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</si>
  <si>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</si>
  <si>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</si>
  <si>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</si>
  <si>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</si>
  <si>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</si>
  <si>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</si>
  <si>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</si>
  <si>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</si>
  <si>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</si>
  <si>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</si>
  <si>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</si>
  <si>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</si>
  <si>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</si>
  <si>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</si>
  <si>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</si>
  <si>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</si>
  <si>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</si>
  <si>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</si>
  <si>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</si>
  <si>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</si>
  <si>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</si>
  <si>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</si>
  <si>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</si>
  <si>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</si>
  <si>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</si>
  <si>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</si>
  <si>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</si>
  <si>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</si>
  <si>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</si>
  <si>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</si>
  <si>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</si>
  <si>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</si>
  <si>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</si>
  <si>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</si>
  <si>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</si>
  <si>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</si>
  <si>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</si>
  <si>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</si>
  <si>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</si>
  <si>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</si>
  <si>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</si>
  <si>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</si>
  <si>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</si>
  <si>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</si>
  <si>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</si>
  <si>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</si>
  <si>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</si>
  <si>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</si>
  <si>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</si>
  <si>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</si>
  <si>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</si>
  <si>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</si>
  <si>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</si>
  <si>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</si>
  <si>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</si>
  <si>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</si>
  <si>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</si>
  <si>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</si>
  <si>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</si>
  <si>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</si>
  <si>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</si>
  <si>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</si>
  <si>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</si>
  <si>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</si>
  <si>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</si>
  <si>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</si>
  <si>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</si>
  <si>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</si>
  <si>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</si>
  <si>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</si>
  <si>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</si>
  <si>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</si>
  <si>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</si>
  <si>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</si>
  <si>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</si>
  <si>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</si>
  <si>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</si>
  <si>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</si>
  <si>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</si>
  <si>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</si>
  <si>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</si>
  <si>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</si>
  <si>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</si>
  <si>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</si>
  <si>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</si>
  <si>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</si>
  <si>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</si>
  <si>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</si>
  <si>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</si>
  <si>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</si>
  <si>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</si>
  <si>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</si>
  <si>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</si>
  <si>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</si>
  <si>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</si>
  <si>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</si>
  <si>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</si>
  <si>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</si>
  <si>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</si>
  <si>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</si>
  <si>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</si>
  <si>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</si>
  <si>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</si>
  <si>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</si>
  <si>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</si>
  <si>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</si>
  <si>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</si>
  <si>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</si>
  <si>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</si>
  <si>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</si>
  <si>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</si>
  <si>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</si>
  <si>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</si>
  <si>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</si>
  <si>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</si>
  <si>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</si>
  <si>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</si>
  <si>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</si>
  <si>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</si>
  <si>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</si>
  <si>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</si>
  <si>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</si>
  <si>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</si>
  <si>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</si>
  <si>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</si>
  <si>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</si>
  <si>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</si>
  <si>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</si>
  <si>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</si>
  <si>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</si>
  <si>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</si>
  <si>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</si>
  <si>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</si>
  <si>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</si>
  <si>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</si>
  <si>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</si>
  <si>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</si>
  <si>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</si>
  <si>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</si>
  <si>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</si>
  <si>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</si>
  <si>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</si>
  <si>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</si>
  <si>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</si>
  <si>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</si>
  <si>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</si>
  <si>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</si>
  <si>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</si>
  <si>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</si>
  <si>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</si>
  <si>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</si>
  <si>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</si>
  <si>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</si>
  <si>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</si>
  <si>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</si>
  <si>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</si>
  <si>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</si>
  <si>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</si>
  <si>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</si>
  <si>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</si>
  <si>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</si>
  <si>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</si>
  <si>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</si>
  <si>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</si>
  <si>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</si>
  <si>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</si>
  <si>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</si>
  <si>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</si>
  <si>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</si>
  <si>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</si>
  <si>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</si>
  <si>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</si>
  <si>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</si>
  <si>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</si>
  <si>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</si>
  <si>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</si>
  <si>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</si>
  <si>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</si>
  <si>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</si>
  <si>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</si>
  <si>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</si>
  <si>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</si>
  <si>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</si>
  <si>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</si>
  <si>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</si>
  <si>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</si>
  <si>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</si>
  <si>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</si>
  <si>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</si>
  <si>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</si>
  <si>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</si>
  <si>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</si>
  <si>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</si>
  <si>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</si>
  <si>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</si>
  <si>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</si>
  <si>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</si>
  <si>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</si>
  <si>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</si>
  <si>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</si>
  <si>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</si>
  <si>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</si>
  <si>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</si>
  <si>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</si>
  <si>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</si>
  <si>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</si>
  <si>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</si>
  <si>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</si>
  <si>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</si>
  <si>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</si>
  <si>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</si>
  <si>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</si>
  <si>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</si>
  <si>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</si>
  <si>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</si>
  <si>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</si>
  <si>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</si>
  <si>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</si>
  <si>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</si>
  <si>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</si>
  <si>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</si>
  <si>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</si>
  <si>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</si>
  <si>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</si>
  <si>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</si>
  <si>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</si>
  <si>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</si>
  <si>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</si>
  <si>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</si>
  <si>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</si>
  <si>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</si>
  <si>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</si>
  <si>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</si>
  <si>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</si>
  <si>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</si>
  <si>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</si>
  <si>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</si>
  <si>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</si>
  <si>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</si>
  <si>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</si>
  <si>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</si>
  <si>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</si>
  <si>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</si>
  <si>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</si>
  <si>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</si>
  <si>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</si>
  <si>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</si>
  <si>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</si>
  <si>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</si>
  <si>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</si>
  <si>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</si>
  <si>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</si>
  <si>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</si>
  <si>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</si>
  <si>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</si>
  <si>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</si>
  <si>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</si>
  <si>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</si>
  <si>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</si>
  <si>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</si>
  <si>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</si>
  <si>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</si>
  <si>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</si>
  <si>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</si>
  <si>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</si>
  <si>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</si>
  <si>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</si>
  <si>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</si>
  <si>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</si>
  <si>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</si>
  <si>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</si>
  <si>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</si>
  <si>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</si>
  <si>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</si>
  <si>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</si>
  <si>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</si>
  <si>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</si>
  <si>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</si>
  <si>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</si>
  <si>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</si>
  <si>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</si>
  <si>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</si>
  <si>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</si>
  <si>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F4</t>
  </si>
  <si>
    <t>F3_1600st/ha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</si>
</sst>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3.8137700755774304</c:v>
                </c:pt>
                <c:pt idx="2">
                  <c:v>6.2997538873685981</c:v>
                </c:pt>
                <c:pt idx="3">
                  <c:v>10.414100112167496</c:v>
                </c:pt>
                <c:pt idx="4">
                  <c:v>17.228227360190122</c:v>
                </c:pt>
                <c:pt idx="5">
                  <c:v>28.521441276211153</c:v>
                </c:pt>
                <c:pt idx="6">
                  <c:v>37.184592356992994</c:v>
                </c:pt>
                <c:pt idx="7">
                  <c:v>48.391830555321064</c:v>
                </c:pt>
                <c:pt idx="8">
                  <c:v>59.529652064377473</c:v>
                </c:pt>
                <c:pt idx="9">
                  <c:v>70.612974270608049</c:v>
                </c:pt>
                <c:pt idx="10">
                  <c:v>81.651597491542759</c:v>
                </c:pt>
                <c:pt idx="11">
                  <c:v>73.183794835084214</c:v>
                </c:pt>
                <c:pt idx="12">
                  <c:v>83.957032434198595</c:v>
                </c:pt>
                <c:pt idx="13">
                  <c:v>94.695368992916897</c:v>
                </c:pt>
                <c:pt idx="14">
                  <c:v>105.40332881876198</c:v>
                </c:pt>
                <c:pt idx="15">
                  <c:v>116.0844383527904</c:v>
                </c:pt>
                <c:pt idx="16">
                  <c:v>109.22093375967212</c:v>
                </c:pt>
                <c:pt idx="17">
                  <c:v>118.87779949242434</c:v>
                </c:pt>
                <c:pt idx="18">
                  <c:v>128.51553258511058</c:v>
                </c:pt>
                <c:pt idx="19">
                  <c:v>138.1357721149991</c:v>
                </c:pt>
                <c:pt idx="20">
                  <c:v>147.73990973719876</c:v>
                </c:pt>
                <c:pt idx="21">
                  <c:v>143.19250864968348</c:v>
                </c:pt>
                <c:pt idx="22">
                  <c:v>151.27446052817541</c:v>
                </c:pt>
                <c:pt idx="23">
                  <c:v>159.34612716452099</c:v>
                </c:pt>
                <c:pt idx="24">
                  <c:v>167.40810379843893</c:v>
                </c:pt>
                <c:pt idx="25">
                  <c:v>175.46092355936639</c:v>
                </c:pt>
                <c:pt idx="26">
                  <c:v>171.93890974299018</c:v>
                </c:pt>
                <c:pt idx="27">
                  <c:v>178.47846972867228</c:v>
                </c:pt>
                <c:pt idx="28">
                  <c:v>185.01241336786015</c:v>
                </c:pt>
                <c:pt idx="29">
                  <c:v>191.54096733406016</c:v>
                </c:pt>
                <c:pt idx="30">
                  <c:v>198.0643415596295</c:v>
                </c:pt>
                <c:pt idx="31">
                  <c:v>195.80682419154718</c:v>
                </c:pt>
                <c:pt idx="32">
                  <c:v>201.0734371189418</c:v>
                </c:pt>
                <c:pt idx="33">
                  <c:v>206.33685405846359</c:v>
                </c:pt>
                <c:pt idx="34">
                  <c:v>211.59716819984547</c:v>
                </c:pt>
                <c:pt idx="35">
                  <c:v>216.8544677122193</c:v>
                </c:pt>
                <c:pt idx="36">
                  <c:v>215.35268479838086</c:v>
                </c:pt>
                <c:pt idx="37">
                  <c:v>220.10751245497329</c:v>
                </c:pt>
                <c:pt idx="38">
                  <c:v>224.85998134585955</c:v>
                </c:pt>
                <c:pt idx="39">
                  <c:v>229.61014845856312</c:v>
                </c:pt>
                <c:pt idx="40">
                  <c:v>234.35806822564211</c:v>
                </c:pt>
                <c:pt idx="41">
                  <c:v>234.10823288759198</c:v>
                </c:pt>
                <c:pt idx="42">
                  <c:v>238.85407163345113</c:v>
                </c:pt>
                <c:pt idx="43">
                  <c:v>243.59776231305099</c:v>
                </c:pt>
                <c:pt idx="44">
                  <c:v>248.33935273850986</c:v>
                </c:pt>
                <c:pt idx="45">
                  <c:v>253.07888874379844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8.8464909557520901</c:v>
                </c:pt>
                <c:pt idx="2">
                  <c:v>17.303572811012511</c:v>
                </c:pt>
                <c:pt idx="3">
                  <c:v>25.634895073928181</c:v>
                </c:pt>
                <c:pt idx="4">
                  <c:v>33.888696198019623</c:v>
                </c:pt>
                <c:pt idx="5">
                  <c:v>42.086839431783375</c:v>
                </c:pt>
                <c:pt idx="6">
                  <c:v>50.241796484978039</c:v>
                </c:pt>
                <c:pt idx="7">
                  <c:v>58.361607386659266</c:v>
                </c:pt>
                <c:pt idx="8">
                  <c:v>66.451872334484463</c:v>
                </c:pt>
                <c:pt idx="9">
                  <c:v>74.51670754497205</c:v>
                </c:pt>
                <c:pt idx="10">
                  <c:v>82.559260857996719</c:v>
                </c:pt>
                <c:pt idx="11">
                  <c:v>90.582014114042082</c:v>
                </c:pt>
                <c:pt idx="12">
                  <c:v>98.586972028011871</c:v>
                </c:pt>
                <c:pt idx="13">
                  <c:v>106.5757861427755</c:v>
                </c:pt>
                <c:pt idx="14">
                  <c:v>114.54983948410518</c:v>
                </c:pt>
                <c:pt idx="15">
                  <c:v>122.51030630712535</c:v>
                </c:pt>
                <c:pt idx="16">
                  <c:v>130.45819544187259</c:v>
                </c:pt>
                <c:pt idx="17">
                  <c:v>138.39438248722183</c:v>
                </c:pt>
                <c:pt idx="18">
                  <c:v>146.31963421121341</c:v>
                </c:pt>
                <c:pt idx="19">
                  <c:v>154.23462737363312</c:v>
                </c:pt>
                <c:pt idx="20">
                  <c:v>162.13996347289819</c:v>
                </c:pt>
                <c:pt idx="21">
                  <c:v>170.03618045975017</c:v>
                </c:pt>
                <c:pt idx="22">
                  <c:v>177.92376215655057</c:v>
                </c:pt>
                <c:pt idx="23">
                  <c:v>185.80314591556689</c:v>
                </c:pt>
                <c:pt idx="24">
                  <c:v>193.67472890780064</c:v>
                </c:pt>
                <c:pt idx="25">
                  <c:v>201.53887333414332</c:v>
                </c:pt>
                <c:pt idx="26">
                  <c:v>209.39591077927696</c:v>
                </c:pt>
                <c:pt idx="27">
                  <c:v>217.2461458769034</c:v>
                </c:pt>
                <c:pt idx="28">
                  <c:v>225.08985941671213</c:v>
                </c:pt>
                <c:pt idx="29">
                  <c:v>232.92731099502291</c:v>
                </c:pt>
                <c:pt idx="30">
                  <c:v>240.7587412895509</c:v>
                </c:pt>
                <c:pt idx="31">
                  <c:v>248.58437402234924</c:v>
                </c:pt>
                <c:pt idx="32">
                  <c:v>256.40441766235483</c:v>
                </c:pt>
                <c:pt idx="33">
                  <c:v>264.21906690913573</c:v>
                </c:pt>
                <c:pt idx="34">
                  <c:v>272.02850399173889</c:v>
                </c:pt>
                <c:pt idx="35">
                  <c:v>279.83289981043765</c:v>
                </c:pt>
                <c:pt idx="36">
                  <c:v>287.63241494432572</c:v>
                </c:pt>
                <c:pt idx="37">
                  <c:v>295.42720054381022</c:v>
                </c:pt>
                <c:pt idx="38">
                  <c:v>303.21739912390404</c:v>
                </c:pt>
                <c:pt idx="39">
                  <c:v>311.00314527166626</c:v>
                </c:pt>
                <c:pt idx="40">
                  <c:v>318.78456627904137</c:v>
                </c:pt>
                <c:pt idx="41">
                  <c:v>326.56178271063499</c:v>
                </c:pt>
                <c:pt idx="42">
                  <c:v>334.33490891453494</c:v>
                </c:pt>
                <c:pt idx="43">
                  <c:v>342.10405348311491</c:v>
                </c:pt>
                <c:pt idx="44">
                  <c:v>349.86931966976226</c:v>
                </c:pt>
                <c:pt idx="45">
                  <c:v>357.63080576665556</c:v>
                </c:pt>
                <c:pt idx="46">
                  <c:v>365.388605448014</c:v>
                </c:pt>
                <c:pt idx="47">
                  <c:v>373.14280808265738</c:v>
                </c:pt>
                <c:pt idx="48">
                  <c:v>380.89349901921491</c:v>
                </c:pt>
                <c:pt idx="49">
                  <c:v>388.64075984689515</c:v>
                </c:pt>
                <c:pt idx="50">
                  <c:v>396.38466863436787</c:v>
                </c:pt>
                <c:pt idx="51">
                  <c:v>404.12530014899545</c:v>
                </c:pt>
                <c:pt idx="52">
                  <c:v>243.00679329612822</c:v>
                </c:pt>
                <c:pt idx="53">
                  <c:v>256.09037952376985</c:v>
                </c:pt>
                <c:pt idx="54">
                  <c:v>269.15884737867697</c:v>
                </c:pt>
                <c:pt idx="55">
                  <c:v>282.21303454018255</c:v>
                </c:pt>
                <c:pt idx="56">
                  <c:v>295.25369482966408</c:v>
                </c:pt>
                <c:pt idx="57">
                  <c:v>308.28151001738462</c:v>
                </c:pt>
                <c:pt idx="58">
                  <c:v>321.29709952785942</c:v>
                </c:pt>
                <c:pt idx="59">
                  <c:v>334.30102848950258</c:v>
                </c:pt>
                <c:pt idx="60">
                  <c:v>347.2938144657457</c:v>
                </c:pt>
                <c:pt idx="61">
                  <c:v>360.27593312585913</c:v>
                </c:pt>
                <c:pt idx="62">
                  <c:v>270.79703667962025</c:v>
                </c:pt>
                <c:pt idx="63">
                  <c:v>282.84435609647596</c:v>
                </c:pt>
                <c:pt idx="64">
                  <c:v>294.88018287968566</c:v>
                </c:pt>
                <c:pt idx="65">
                  <c:v>306.90505238979614</c:v>
                </c:pt>
                <c:pt idx="66">
                  <c:v>318.91945459246426</c:v>
                </c:pt>
                <c:pt idx="67">
                  <c:v>330.92383950930258</c:v>
                </c:pt>
                <c:pt idx="68">
                  <c:v>342.91862183607765</c:v>
                </c:pt>
                <c:pt idx="69">
                  <c:v>354.90418488072902</c:v>
                </c:pt>
                <c:pt idx="70">
                  <c:v>366.88088394144347</c:v>
                </c:pt>
                <c:pt idx="71">
                  <c:v>378.84904922045786</c:v>
                </c:pt>
                <c:pt idx="72">
                  <c:v>390.80898835034759</c:v>
                </c:pt>
                <c:pt idx="73">
                  <c:v>402.76098859486609</c:v>
                </c:pt>
                <c:pt idx="74">
                  <c:v>310.77912179652327</c:v>
                </c:pt>
                <c:pt idx="75">
                  <c:v>321.90958893090192</c:v>
                </c:pt>
                <c:pt idx="76">
                  <c:v>333.03154610648761</c:v>
                </c:pt>
                <c:pt idx="77">
                  <c:v>344.14531769432386</c:v>
                </c:pt>
                <c:pt idx="78">
                  <c:v>355.25120539665227</c:v>
                </c:pt>
                <c:pt idx="79">
                  <c:v>366.34949050546987</c:v>
                </c:pt>
                <c:pt idx="80">
                  <c:v>377.44043587301621</c:v>
                </c:pt>
                <c:pt idx="81">
                  <c:v>388.52428763849611</c:v>
                </c:pt>
                <c:pt idx="82">
                  <c:v>399.60127674742472</c:v>
                </c:pt>
                <c:pt idx="83">
                  <c:v>410.67162029368404</c:v>
                </c:pt>
                <c:pt idx="84">
                  <c:v>421.73552270929196</c:v>
                </c:pt>
                <c:pt idx="85">
                  <c:v>432.79317682279242</c:v>
                </c:pt>
                <c:pt idx="86">
                  <c:v>347.55507847487706</c:v>
                </c:pt>
                <c:pt idx="87">
                  <c:v>357.73505677049843</c:v>
                </c:pt>
                <c:pt idx="88">
                  <c:v>367.90869587276711</c:v>
                </c:pt>
                <c:pt idx="89">
                  <c:v>378.07619586602806</c:v>
                </c:pt>
                <c:pt idx="90">
                  <c:v>388.23774519032082</c:v>
                </c:pt>
                <c:pt idx="91">
                  <c:v>398.39352161264304</c:v>
                </c:pt>
                <c:pt idx="92">
                  <c:v>408.54369309398299</c:v>
                </c:pt>
                <c:pt idx="93">
                  <c:v>418.68841856567104</c:v>
                </c:pt>
                <c:pt idx="94">
                  <c:v>428.82784862654739</c:v>
                </c:pt>
                <c:pt idx="95">
                  <c:v>438.96212617074298</c:v>
                </c:pt>
                <c:pt idx="96">
                  <c:v>449.09138695445449</c:v>
                </c:pt>
                <c:pt idx="97">
                  <c:v>459.21576010891323</c:v>
                </c:pt>
                <c:pt idx="98">
                  <c:v>378.209162331713</c:v>
                </c:pt>
                <c:pt idx="99">
                  <c:v>387.36480059909928</c:v>
                </c:pt>
                <c:pt idx="100">
                  <c:v>396.51574057777526</c:v>
                </c:pt>
                <c:pt idx="101">
                  <c:v>405.6621060387227</c:v>
                </c:pt>
                <c:pt idx="102">
                  <c:v>414.80401471367298</c:v>
                </c:pt>
                <c:pt idx="103">
                  <c:v>423.94157871927513</c:v>
                </c:pt>
                <c:pt idx="104">
                  <c:v>433.0749049427771</c:v>
                </c:pt>
                <c:pt idx="105">
                  <c:v>442.20409539346821</c:v>
                </c:pt>
                <c:pt idx="106">
                  <c:v>451.32924752357991</c:v>
                </c:pt>
                <c:pt idx="107">
                  <c:v>460.45045452187622</c:v>
                </c:pt>
                <c:pt idx="108">
                  <c:v>469.567805582765</c:v>
                </c:pt>
                <c:pt idx="109">
                  <c:v>478.6813861534161</c:v>
                </c:pt>
                <c:pt idx="110">
                  <c:v>395.20068110200162</c:v>
                </c:pt>
                <c:pt idx="111">
                  <c:v>403.39834364064762</c:v>
                </c:pt>
                <c:pt idx="112">
                  <c:v>411.59240379298285</c:v>
                </c:pt>
                <c:pt idx="113">
                  <c:v>419.78294343103568</c:v>
                </c:pt>
                <c:pt idx="114">
                  <c:v>427.97004096956312</c:v>
                </c:pt>
                <c:pt idx="115">
                  <c:v>436.15377157683184</c:v>
                </c:pt>
                <c:pt idx="116">
                  <c:v>444.33420736875161</c:v>
                </c:pt>
                <c:pt idx="117">
                  <c:v>452.51141758795944</c:v>
                </c:pt>
                <c:pt idx="118">
                  <c:v>460.68546876928417</c:v>
                </c:pt>
                <c:pt idx="119">
                  <c:v>468.85642489285124</c:v>
                </c:pt>
                <c:pt idx="120">
                  <c:v>477.02434752595531</c:v>
                </c:pt>
                <c:pt idx="121">
                  <c:v>485.18929595470814</c:v>
                </c:pt>
                <c:pt idx="122">
                  <c:v>254.46571105530847</c:v>
                </c:pt>
                <c:pt idx="123">
                  <c:v>260.23198096229737</c:v>
                </c:pt>
                <c:pt idx="124">
                  <c:v>265.99536493740356</c:v>
                </c:pt>
                <c:pt idx="125">
                  <c:v>271.75593442925316</c:v>
                </c:pt>
                <c:pt idx="126">
                  <c:v>277.5137576056257</c:v>
                </c:pt>
                <c:pt idx="127">
                  <c:v>283.26889957059507</c:v>
                </c:pt>
                <c:pt idx="128">
                  <c:v>289.02142256308201</c:v>
                </c:pt>
                <c:pt idx="129">
                  <c:v>294.77138613875337</c:v>
                </c:pt>
                <c:pt idx="130">
                  <c:v>300.51884733697273</c:v>
                </c:pt>
                <c:pt idx="131">
                  <c:v>306.26386083429691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80" zoomScaleNormal="80" workbookViewId="0">
      <selection activeCell="D9" sqref="D9:D10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2.86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44</v>
      </c>
      <c r="C9" s="32">
        <v>0.97415217180060243</v>
      </c>
      <c r="D9" s="33">
        <f t="shared" ref="D9:D18" si="0">C9*$C$5</f>
        <v>2.7860752113497229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164</v>
      </c>
      <c r="C10" s="32">
        <v>2.584782819939753E-2</v>
      </c>
      <c r="D10" s="33">
        <f t="shared" si="0"/>
        <v>7.3924788650276935E-2</v>
      </c>
      <c r="E10" s="34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2.86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Robinier faux-acacia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5</v>
      </c>
      <c r="B36" s="60">
        <v>13.461538461538462</v>
      </c>
      <c r="C36" s="60">
        <v>1</v>
      </c>
      <c r="D36" s="60">
        <v>1.2820512820512819</v>
      </c>
      <c r="E36" s="51">
        <v>0.1</v>
      </c>
      <c r="F36" s="51">
        <v>0.4</v>
      </c>
      <c r="G36" s="51">
        <v>0</v>
      </c>
      <c r="H36" s="51">
        <v>0.5</v>
      </c>
      <c r="I36" s="49">
        <f>IFERROR(B36/A36,"")</f>
        <v>2.6923076923076925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10</v>
      </c>
      <c r="B37" s="60">
        <v>39.743589743589745</v>
      </c>
      <c r="C37" s="60">
        <v>2</v>
      </c>
      <c r="D37" s="60">
        <v>9.615384615384615</v>
      </c>
      <c r="E37" s="51">
        <v>0.1</v>
      </c>
      <c r="F37" s="51">
        <v>0.4</v>
      </c>
      <c r="G37" s="51">
        <v>0</v>
      </c>
      <c r="H37" s="51">
        <v>0.5</v>
      </c>
      <c r="I37" s="53">
        <f t="shared" ref="I37:I55" si="1">IF(A37&lt;&gt;0,(B37-(B36-D36))/(A37-A36),"")</f>
        <v>5.5128205128205128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15</v>
      </c>
      <c r="B38" s="60">
        <v>57.051282051282051</v>
      </c>
      <c r="C38" s="60">
        <v>3</v>
      </c>
      <c r="D38" s="60">
        <v>8.3333333333333339</v>
      </c>
      <c r="E38" s="51">
        <v>0.1</v>
      </c>
      <c r="F38" s="51">
        <v>0.4</v>
      </c>
      <c r="G38" s="51">
        <v>0</v>
      </c>
      <c r="H38" s="51">
        <v>0.5</v>
      </c>
      <c r="I38" s="53">
        <f t="shared" si="1"/>
        <v>5.3846153846153841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20</v>
      </c>
      <c r="B39" s="60">
        <v>73.07692307692308</v>
      </c>
      <c r="C39" s="60">
        <v>4</v>
      </c>
      <c r="D39" s="60">
        <v>6.4102564102564097</v>
      </c>
      <c r="E39" s="51">
        <v>0.1</v>
      </c>
      <c r="F39" s="51">
        <v>0.4</v>
      </c>
      <c r="G39" s="51">
        <v>0</v>
      </c>
      <c r="H39" s="51">
        <v>0.5</v>
      </c>
      <c r="I39" s="49">
        <f t="shared" si="1"/>
        <v>4.8717948717948731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25</v>
      </c>
      <c r="B40" s="60">
        <v>87.179487179487182</v>
      </c>
      <c r="C40" s="60">
        <v>5</v>
      </c>
      <c r="D40" s="60">
        <v>5.1282051282051277</v>
      </c>
      <c r="E40" s="51">
        <v>0.1</v>
      </c>
      <c r="F40" s="51">
        <v>0.4</v>
      </c>
      <c r="G40" s="51">
        <v>0</v>
      </c>
      <c r="H40" s="51">
        <v>0.5</v>
      </c>
      <c r="I40" s="49">
        <f t="shared" si="1"/>
        <v>4.1025641025641022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30</v>
      </c>
      <c r="B41" s="60">
        <v>98.717948717948715</v>
      </c>
      <c r="C41" s="60">
        <v>6</v>
      </c>
      <c r="D41" s="60">
        <v>3.8461538461538458</v>
      </c>
      <c r="E41" s="51">
        <v>0.1</v>
      </c>
      <c r="F41" s="51">
        <v>0.4</v>
      </c>
      <c r="G41" s="51">
        <v>0</v>
      </c>
      <c r="H41" s="51">
        <v>0.5</v>
      </c>
      <c r="I41" s="53">
        <f t="shared" si="1"/>
        <v>3.3333333333333313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35</v>
      </c>
      <c r="B42" s="60">
        <v>108.33333333333333</v>
      </c>
      <c r="C42" s="60">
        <v>7</v>
      </c>
      <c r="D42" s="60">
        <v>3.2051282051282048</v>
      </c>
      <c r="E42" s="51">
        <v>0.1</v>
      </c>
      <c r="F42" s="51">
        <v>0.4</v>
      </c>
      <c r="G42" s="51">
        <v>0</v>
      </c>
      <c r="H42" s="51">
        <v>0.5</v>
      </c>
      <c r="I42" s="53">
        <f t="shared" si="1"/>
        <v>2.6923076923076907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40</v>
      </c>
      <c r="B43" s="60">
        <v>117.30769230769231</v>
      </c>
      <c r="C43" s="60">
        <v>8</v>
      </c>
      <c r="D43" s="60">
        <v>2.5641025641025639</v>
      </c>
      <c r="E43" s="51">
        <v>0.1</v>
      </c>
      <c r="F43" s="51">
        <v>0.4</v>
      </c>
      <c r="G43" s="51">
        <v>0</v>
      </c>
      <c r="H43" s="51">
        <v>0.5</v>
      </c>
      <c r="I43" s="49">
        <f t="shared" si="1"/>
        <v>2.4358974358974366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45</v>
      </c>
      <c r="B44" s="60">
        <v>126.92307692307692</v>
      </c>
      <c r="C44" s="60">
        <v>9</v>
      </c>
      <c r="D44" s="60">
        <v>126.92307692307692</v>
      </c>
      <c r="E44" s="51">
        <v>0.1</v>
      </c>
      <c r="F44" s="51">
        <v>0.4</v>
      </c>
      <c r="G44" s="51">
        <v>0</v>
      </c>
      <c r="H44" s="51">
        <v>0.5</v>
      </c>
      <c r="I44" s="49">
        <f t="shared" si="1"/>
        <v>2.4358974358974366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Cèdre de l'Atlas</v>
      </c>
      <c r="C58" s="23" t="s">
        <v>325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51</v>
      </c>
      <c r="B62" s="60">
        <v>396.35</v>
      </c>
      <c r="C62" s="60">
        <v>1</v>
      </c>
      <c r="D62" s="60">
        <v>173.97000000000003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7.7715686274509812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61</v>
      </c>
      <c r="B63" s="60">
        <v>352.37</v>
      </c>
      <c r="C63" s="60">
        <v>2</v>
      </c>
      <c r="D63" s="60">
        <v>101.36000000000001</v>
      </c>
      <c r="E63" s="51">
        <v>0.6</v>
      </c>
      <c r="F63" s="51">
        <v>0.2</v>
      </c>
      <c r="G63" s="51">
        <v>0.2</v>
      </c>
      <c r="H63" s="51">
        <v>0</v>
      </c>
      <c r="I63" s="49">
        <f>IF(A63&lt;&gt;0,(B63-(B62-D62))/(A63-A62),"")</f>
        <v>12.999000000000001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73</v>
      </c>
      <c r="B64" s="60">
        <v>394.98</v>
      </c>
      <c r="C64" s="60">
        <v>3</v>
      </c>
      <c r="D64" s="60">
        <v>103.23000000000002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11.997500000000002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85</v>
      </c>
      <c r="B65" s="60">
        <v>425.16</v>
      </c>
      <c r="C65" s="60">
        <v>4</v>
      </c>
      <c r="D65" s="60">
        <v>95.720000000000027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11.117500000000001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97</v>
      </c>
      <c r="B66" s="60">
        <v>451.75</v>
      </c>
      <c r="C66" s="60">
        <v>5</v>
      </c>
      <c r="D66" s="60">
        <v>90.589999999999975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10.192500000000001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109</v>
      </c>
      <c r="B67" s="60">
        <v>471.36</v>
      </c>
      <c r="C67" s="60">
        <v>6</v>
      </c>
      <c r="D67" s="60">
        <v>92.199999999999989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9.1833333333333318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121</v>
      </c>
      <c r="B68" s="60">
        <v>477.92</v>
      </c>
      <c r="C68" s="60">
        <v>7</v>
      </c>
      <c r="D68" s="60">
        <v>236.89000000000001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8.2299999999999986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131</v>
      </c>
      <c r="B69" s="50">
        <v>298.36</v>
      </c>
      <c r="C69" s="50">
        <v>8</v>
      </c>
      <c r="D69" s="50">
        <v>298.36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5.7330000000000014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B8" sqref="B8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Robinier faux-acacia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167.24886661350195</v>
      </c>
      <c r="T3" s="59">
        <f>IF('Données projet'!E9&gt;30,$R$33-$H$33,LOOKUP('Données projet'!$E$9,$A$3:$A$203,R3:R203)-LOOKUP('Données projet'!$E$9,$A$3:$A$203,$H$3:$H$203))</f>
        <v>234.73100822629613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337.10499990421835</v>
      </c>
      <c r="AO3" s="59">
        <f>IF('Données projet'!E10&gt;30,$AM$33-$H$33,LOOKUP('Données projet'!$E$10,$A$3:$A$203,AM3:AM203)-LOOKUP('Données projet'!$E$10,$A$3:$A$203,$H$3:$H$203))</f>
        <v>277.4254079562175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2.6923076923076925</v>
      </c>
      <c r="N4" s="13">
        <f>IF('Données projet'!$A$36&gt;35,N3+M4-V3,IF(A4&lt;'Données projet'!$A$36,$K$205^A4,IF(A4='Données projet'!$A$36,'Données projet'!$B$36,N3+M4-V3)))</f>
        <v>1.6819726874711916</v>
      </c>
      <c r="O4" s="13">
        <f>N4*VLOOKUP('Données projet'!$B$9,Paramètres!$A$1:$I$89,3,0)*VLOOKUP('Données projet'!$B$9,Paramètres!$A$1:$I$89,5,0)</f>
        <v>1.521848887623934</v>
      </c>
      <c r="P4" s="13">
        <f>EXP(-1.0587+0.8836*LN(O4)+0.284)</f>
        <v>0.66787555768368145</v>
      </c>
      <c r="Q4" s="20">
        <f t="shared" ref="Q4:Q34" si="2">(O4+P4)*0.475*44/12</f>
        <v>3.8137700755774304</v>
      </c>
      <c r="R4" s="59">
        <f t="shared" si="0"/>
        <v>261.70265896446631</v>
      </c>
      <c r="S4" s="59">
        <f ca="1">AVERAGE(OFFSET($R$3,0,0,'Données projet'!$E$9+1,1))-AVERAGE(OFFSET($H$3,0,0,'Données projet'!$E$9+1,1))</f>
        <v>167.24886661350195</v>
      </c>
      <c r="T4" s="59">
        <f>$T$3</f>
        <v>234.73100822629613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7.7715686274509812</v>
      </c>
      <c r="AI4" s="13">
        <f>IF('Données projet'!$A$62&gt;35,AI3+AH4-AQ3,IF(A4&lt;'Données projet'!$A$62,$AF$205^A4,IF(A4='Données projet'!$A$62,'Données projet'!$B$62,AI3+AH4-AQ3)))</f>
        <v>7.7715686274509812</v>
      </c>
      <c r="AJ4" s="13">
        <f>AI4*VLOOKUP('Données projet'!$B$10,Paramètres!$A$1:$I$89,3,0)*VLOOKUP('Données projet'!$B$10,Paramètres!$A$1:$I$89,5,0)</f>
        <v>3.637094117647059</v>
      </c>
      <c r="AK4" s="13">
        <f>EXP(-1.0587+0.8836*LN(AJ4)+0.284)</f>
        <v>1.4422308330239975</v>
      </c>
      <c r="AL4" s="20">
        <f t="shared" ref="AL4:AL67" si="4">(AJ4+AK4)*0.475*44/12</f>
        <v>8.8464909557520901</v>
      </c>
      <c r="AM4" s="59">
        <f t="shared" ref="AM4:AM67" si="5">AL4+(AD4+AE4)*44/12</f>
        <v>266.73537984464093</v>
      </c>
      <c r="AN4" s="59">
        <f ca="1">AVERAGE(OFFSET($AM$3,0,0,'Données projet'!$E$10+1,1))-AVERAGE(OFFSET($H$3,0,0,'Données projet'!$E$10+1,1))</f>
        <v>337.10499990421835</v>
      </c>
      <c r="AO4" s="59">
        <f>$AO$3</f>
        <v>277.4254079562175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2.6923076923076925</v>
      </c>
      <c r="N5" s="13">
        <f>IF('Données projet'!$A$36&gt;35,N4+M5-V4,IF(A5&lt;'Données projet'!$A$36,$K$205^A5,IF(A5='Données projet'!$A$36,'Données projet'!$B$36,N4+M5-V4)))</f>
        <v>2.8290321213990626</v>
      </c>
      <c r="O5" s="13">
        <f>N5*VLOOKUP('Données projet'!$B$9,Paramètres!$A$1:$I$89,3,0)*VLOOKUP('Données projet'!$B$9,Paramètres!$A$1:$I$89,5,0)</f>
        <v>2.5597082634418715</v>
      </c>
      <c r="P5" s="13">
        <f t="shared" ref="P5:P68" si="33">EXP(-1.0587+0.8836*LN(O5)+0.284)</f>
        <v>1.0573753082530171</v>
      </c>
      <c r="Q5" s="20">
        <f t="shared" si="2"/>
        <v>6.2997538873685981</v>
      </c>
      <c r="R5" s="59">
        <f t="shared" si="0"/>
        <v>265.41086499847972</v>
      </c>
      <c r="S5" s="59">
        <f ca="1">AVERAGE(OFFSET($R$3,0,0,'Données projet'!$E$9+1,1))-AVERAGE(OFFSET($H$3,0,0,'Données projet'!$E$9+1,1))</f>
        <v>167.24886661350195</v>
      </c>
      <c r="T5" s="59">
        <f t="shared" ref="T5:T68" si="34">$T$3</f>
        <v>234.73100822629613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7.7715686274509812</v>
      </c>
      <c r="AI5" s="13">
        <f>IF('Données projet'!$A$62&gt;35,AI4+AH5-AQ4,IF(A5&lt;'Données projet'!$A$62,$AF$205^A5,IF(A5='Données projet'!$A$62,'Données projet'!$B$62,AI4+AH5-AQ4)))</f>
        <v>15.543137254901962</v>
      </c>
      <c r="AJ5" s="13">
        <f>AI5*VLOOKUP('Données projet'!$B$10,Paramètres!$A$1:$I$89,3,0)*VLOOKUP('Données projet'!$B$10,Paramètres!$A$1:$I$89,5,0)</f>
        <v>7.2741882352941181</v>
      </c>
      <c r="AK5" s="13">
        <f t="shared" ref="AK5:AK68" si="35">EXP(-1.0587+0.8836*LN(AJ5)+0.284)</f>
        <v>2.6608774935168951</v>
      </c>
      <c r="AL5" s="20">
        <f t="shared" si="4"/>
        <v>17.303572811012511</v>
      </c>
      <c r="AM5" s="59">
        <f t="shared" si="5"/>
        <v>276.41468392212363</v>
      </c>
      <c r="AN5" s="59">
        <f ca="1">AVERAGE(OFFSET($AM$3,0,0,'Données projet'!$E$10+1,1))-AVERAGE(OFFSET($H$3,0,0,'Données projet'!$E$10+1,1))</f>
        <v>337.10499990421835</v>
      </c>
      <c r="AO5" s="59">
        <f t="shared" ref="AO5:AO68" si="36">$AO$3</f>
        <v>277.4254079562175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2.6923076923076925</v>
      </c>
      <c r="N6" s="13">
        <f>IF('Données projet'!$A$36&gt;35,N5+M6-V5,IF(A6&lt;'Données projet'!$A$36,$K$205^A6,IF(A6='Données projet'!$A$36,'Données projet'!$B$36,N5+M6-V5)))</f>
        <v>4.7583547601719074</v>
      </c>
      <c r="O6" s="13">
        <f>N6*VLOOKUP('Données projet'!$B$9,Paramètres!$A$1:$I$89,3,0)*VLOOKUP('Données projet'!$B$9,Paramètres!$A$1:$I$89,5,0)</f>
        <v>4.3053593870035423</v>
      </c>
      <c r="P6" s="13">
        <f t="shared" si="33"/>
        <v>1.6740282372074609</v>
      </c>
      <c r="Q6" s="20">
        <f t="shared" si="2"/>
        <v>10.414100112167496</v>
      </c>
      <c r="R6" s="59">
        <f t="shared" si="0"/>
        <v>270.7474334455008</v>
      </c>
      <c r="S6" s="59">
        <f ca="1">AVERAGE(OFFSET($R$3,0,0,'Données projet'!$E$9+1,1))-AVERAGE(OFFSET($H$3,0,0,'Données projet'!$E$9+1,1))</f>
        <v>167.24886661350195</v>
      </c>
      <c r="T6" s="59">
        <f t="shared" si="34"/>
        <v>234.73100822629613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7.7715686274509812</v>
      </c>
      <c r="AI6" s="13">
        <f>IF('Données projet'!$A$62&gt;35,AI5+AH6-AQ5,IF(A6&lt;'Données projet'!$A$62,$AF$205^A6,IF(A6='Données projet'!$A$62,'Données projet'!$B$62,AI5+AH6-AQ5)))</f>
        <v>23.314705882352943</v>
      </c>
      <c r="AJ6" s="13">
        <f>AI6*VLOOKUP('Données projet'!$B$10,Paramètres!$A$1:$I$89,3,0)*VLOOKUP('Données projet'!$B$10,Paramètres!$A$1:$I$89,5,0)</f>
        <v>10.911282352941177</v>
      </c>
      <c r="AK6" s="13">
        <f t="shared" si="35"/>
        <v>3.8073176895056275</v>
      </c>
      <c r="AL6" s="20">
        <f t="shared" si="4"/>
        <v>25.634895073928181</v>
      </c>
      <c r="AM6" s="59">
        <f t="shared" si="5"/>
        <v>285.96822840726151</v>
      </c>
      <c r="AN6" s="59">
        <f ca="1">AVERAGE(OFFSET($AM$3,0,0,'Données projet'!$E$10+1,1))-AVERAGE(OFFSET($H$3,0,0,'Données projet'!$E$10+1,1))</f>
        <v>337.10499990421835</v>
      </c>
      <c r="AO6" s="59">
        <f t="shared" si="36"/>
        <v>277.4254079562175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2.6923076923076925</v>
      </c>
      <c r="N7" s="13">
        <f>IF('Données projet'!$A$36&gt;35,N6+M7-V6,IF(A7&lt;'Données projet'!$A$36,$K$205^A7,IF(A7='Données projet'!$A$36,'Données projet'!$B$36,N6+M7-V6)))</f>
        <v>8.0034227439076808</v>
      </c>
      <c r="O7" s="13">
        <f>N7*VLOOKUP('Données projet'!$B$9,Paramètres!$A$1:$I$89,3,0)*VLOOKUP('Données projet'!$B$9,Paramètres!$A$1:$I$89,5,0)</f>
        <v>7.2414968986876689</v>
      </c>
      <c r="P7" s="13">
        <f t="shared" si="33"/>
        <v>2.6503082841966124</v>
      </c>
      <c r="Q7" s="20">
        <f t="shared" si="2"/>
        <v>17.228227360190122</v>
      </c>
      <c r="R7" s="59">
        <f t="shared" si="0"/>
        <v>278.78378291574569</v>
      </c>
      <c r="S7" s="59">
        <f ca="1">AVERAGE(OFFSET($R$3,0,0,'Données projet'!$E$9+1,1))-AVERAGE(OFFSET($H$3,0,0,'Données projet'!$E$9+1,1))</f>
        <v>167.24886661350195</v>
      </c>
      <c r="T7" s="59">
        <f t="shared" si="34"/>
        <v>234.73100822629613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7.7715686274509812</v>
      </c>
      <c r="AI7" s="13">
        <f>IF('Données projet'!$A$62&gt;35,AI6+AH7-AQ6,IF(A7&lt;'Données projet'!$A$62,$AF$205^A7,IF(A7='Données projet'!$A$62,'Données projet'!$B$62,AI6+AH7-AQ6)))</f>
        <v>31.086274509803925</v>
      </c>
      <c r="AJ7" s="13">
        <f>AI7*VLOOKUP('Données projet'!$B$10,Paramètres!$A$1:$I$89,3,0)*VLOOKUP('Données projet'!$B$10,Paramètres!$A$1:$I$89,5,0)</f>
        <v>14.548376470588236</v>
      </c>
      <c r="AK7" s="13">
        <f t="shared" si="35"/>
        <v>4.9092481407148947</v>
      </c>
      <c r="AL7" s="20">
        <f t="shared" si="4"/>
        <v>33.888696198019623</v>
      </c>
      <c r="AM7" s="59">
        <f t="shared" si="5"/>
        <v>295.44425175357514</v>
      </c>
      <c r="AN7" s="59">
        <f ca="1">AVERAGE(OFFSET($AM$3,0,0,'Données projet'!$E$10+1,1))-AVERAGE(OFFSET($H$3,0,0,'Données projet'!$E$10+1,1))</f>
        <v>337.10499990421835</v>
      </c>
      <c r="AO7" s="59">
        <f t="shared" si="36"/>
        <v>277.4254079562175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13.461538461538462</v>
      </c>
      <c r="L8" s="12">
        <f>VLOOKUP(A8,'Données projet'!$A$35:$I$55,9,0)</f>
        <v>2.6923076923076925</v>
      </c>
      <c r="M8" s="12">
        <f t="array" ref="M8">INDEX(L:L,MIN(IF(ISNUMBER(L8:L204),ROW(L8:L204),"")))</f>
        <v>2.6923076923076925</v>
      </c>
      <c r="N8" s="13">
        <f>IF('Données projet'!$A$36&gt;35,N7+M8-V7,IF(A8&lt;'Données projet'!$A$36,$K$205^A8,IF(A8='Données projet'!$A$36,'Données projet'!$B$36,N7+M8-V7)))</f>
        <v>13.461538461538462</v>
      </c>
      <c r="O8" s="13">
        <f>N8*VLOOKUP('Données projet'!$B$9,Paramètres!$A$1:$I$89,3,0)*VLOOKUP('Données projet'!$B$9,Paramètres!$A$1:$I$89,5,0)</f>
        <v>12.18</v>
      </c>
      <c r="P8" s="13">
        <f t="shared" si="33"/>
        <v>4.1959471442360723</v>
      </c>
      <c r="Q8" s="20">
        <f t="shared" si="2"/>
        <v>28.521441276211153</v>
      </c>
      <c r="R8" s="59">
        <f t="shared" si="0"/>
        <v>291.29921905398891</v>
      </c>
      <c r="S8" s="59">
        <f ca="1">AVERAGE(OFFSET($R$3,0,0,'Données projet'!$E$9+1,1))-AVERAGE(OFFSET($H$3,0,0,'Données projet'!$E$9+1,1))</f>
        <v>167.24886661350195</v>
      </c>
      <c r="T8" s="59">
        <f t="shared" si="34"/>
        <v>234.73100822629613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1.2820512820512819</v>
      </c>
      <c r="W8" s="16">
        <f>IF(ISNA(VLOOKUP(A8,'Données projet'!$A$35:$I$55,5,0)),0%,VLOOKUP(A8,'Données projet'!$A$35:$I$55,5,0)*VLOOKUP('Données projet'!$B$9,Paramètres!$A$1:$I$89,7,0))</f>
        <v>0.03</v>
      </c>
      <c r="X8" s="16">
        <f>IF(ISNA(VLOOKUP(A8,'Données projet'!$A$35:$I$55,6,0)),0%,VLOOKUP(A8,'Données projet'!$A$35:$I$55,6,0)*VLOOKUP('Données projet'!$B$9,Paramètres!$A$1:$I$89,7,0))</f>
        <v>0.12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3.8470369207746651E-2</v>
      </c>
      <c r="AA8" s="21">
        <f>EXP(-LN(2)/25)*AA7+(1-EXP(-LN(2)/25))/(LN(2)/25)*Calculateur!V8*Calculateur!X8*VLOOKUP('Données projet'!$B$9,Paramètres!$A$1:$I$89,3,0)*0.475*44/12</f>
        <v>0.15327558682326362</v>
      </c>
      <c r="AB8" s="21">
        <f>EXP(-LN(2)/2)*AB7+(1-EXP(-LN(2)/2))/(LN(2)/2)*V8*Y8*VLOOKUP('Données projet'!$B$9,Paramètres!$A$1:$I$89,3,0)*0.475*44/12</f>
        <v>0</v>
      </c>
      <c r="AC8" s="22">
        <f t="shared" si="3"/>
        <v>0.19174595603101027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7.7715686274509812</v>
      </c>
      <c r="AI8" s="13">
        <f>IF('Données projet'!$A$62&gt;35,AI7+AH8-AQ7,IF(A8&lt;'Données projet'!$A$62,$AF$205^A8,IF(A8='Données projet'!$A$62,'Données projet'!$B$62,AI7+AH8-AQ7)))</f>
        <v>38.857843137254903</v>
      </c>
      <c r="AJ8" s="13">
        <f>AI8*VLOOKUP('Données projet'!$B$10,Paramètres!$A$1:$I$89,3,0)*VLOOKUP('Données projet'!$B$10,Paramètres!$A$1:$I$89,5,0)</f>
        <v>18.185470588235294</v>
      </c>
      <c r="AK8" s="13">
        <f t="shared" si="35"/>
        <v>5.9792219084824367</v>
      </c>
      <c r="AL8" s="20">
        <f t="shared" si="4"/>
        <v>42.086839431783375</v>
      </c>
      <c r="AM8" s="59">
        <f t="shared" si="5"/>
        <v>304.86461720956117</v>
      </c>
      <c r="AN8" s="59">
        <f ca="1">AVERAGE(OFFSET($AM$3,0,0,'Données projet'!$E$10+1,1))-AVERAGE(OFFSET($H$3,0,0,'Données projet'!$E$10+1,1))</f>
        <v>337.10499990421835</v>
      </c>
      <c r="AO8" s="59">
        <f t="shared" si="36"/>
        <v>277.4254079562175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5.5128205128205128</v>
      </c>
      <c r="N9" s="13">
        <f>IF('Données projet'!$A$36&gt;35,N8+M9-V8,IF(A9&lt;'Données projet'!$A$36,$K$205^A9,IF(A9='Données projet'!$A$36,'Données projet'!$B$36,N8+M9-V8)))</f>
        <v>17.692307692307693</v>
      </c>
      <c r="O9" s="13">
        <f>N9*VLOOKUP('Données projet'!$B$9,Paramètres!$A$1:$I$89,3,0)*VLOOKUP('Données projet'!$B$9,Paramètres!$A$1:$I$89,5,0)</f>
        <v>16.007999999999999</v>
      </c>
      <c r="P9" s="13">
        <f t="shared" si="33"/>
        <v>5.3420051810486111</v>
      </c>
      <c r="Q9" s="20">
        <f t="shared" si="2"/>
        <v>37.184592356992994</v>
      </c>
      <c r="R9" s="59">
        <f t="shared" si="0"/>
        <v>301.18459235699299</v>
      </c>
      <c r="S9" s="59">
        <f ca="1">AVERAGE(OFFSET($R$3,0,0,'Données projet'!$E$9+1,1))-AVERAGE(OFFSET($H$3,0,0,'Données projet'!$E$9+1,1))</f>
        <v>167.24886661350195</v>
      </c>
      <c r="T9" s="59">
        <f t="shared" si="34"/>
        <v>234.73100822629613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3.7715988732191015E-2</v>
      </c>
      <c r="AA9" s="21">
        <f>EXP(-LN(2)/25)*AA8+(1-EXP(-LN(2)/25))/(LN(2)/25)*Calculateur!V9*Calculateur!X9*VLOOKUP('Données projet'!$B$9,Paramètres!$A$1:$I$89,3,0)*0.475*44/12</f>
        <v>0.14908425784116869</v>
      </c>
      <c r="AB9" s="21">
        <f>EXP(-LN(2)/2)*AB8+(1-EXP(-LN(2)/2))/(LN(2)/2)*V9*Y9*VLOOKUP('Données projet'!$B$9,Paramètres!$A$1:$I$89,3,0)*0.475*44/12</f>
        <v>0</v>
      </c>
      <c r="AC9" s="22">
        <f t="shared" si="3"/>
        <v>0.1868002465733597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7.7715686274509812</v>
      </c>
      <c r="AI9" s="13">
        <f>IF('Données projet'!$A$62&gt;35,AI8+AH9-AQ8,IF(A9&lt;'Données projet'!$A$62,$AF$205^A9,IF(A9='Données projet'!$A$62,'Données projet'!$B$62,AI8+AH9-AQ8)))</f>
        <v>46.629411764705885</v>
      </c>
      <c r="AJ9" s="13">
        <f>AI9*VLOOKUP('Données projet'!$B$10,Paramètres!$A$1:$I$89,3,0)*VLOOKUP('Données projet'!$B$10,Paramètres!$A$1:$I$89,5,0)</f>
        <v>21.822564705882353</v>
      </c>
      <c r="AK9" s="13">
        <f t="shared" si="35"/>
        <v>7.0243997831002556</v>
      </c>
      <c r="AL9" s="20">
        <f t="shared" si="4"/>
        <v>50.241796484978039</v>
      </c>
      <c r="AM9" s="59">
        <f t="shared" si="5"/>
        <v>314.24179648497807</v>
      </c>
      <c r="AN9" s="59">
        <f ca="1">AVERAGE(OFFSET($AM$3,0,0,'Données projet'!$E$10+1,1))-AVERAGE(OFFSET($H$3,0,0,'Données projet'!$E$10+1,1))</f>
        <v>337.10499990421835</v>
      </c>
      <c r="AO9" s="59">
        <f t="shared" si="36"/>
        <v>277.4254079562175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5.5128205128205128</v>
      </c>
      <c r="N10" s="13">
        <f>IF('Données projet'!$A$36&gt;35,N9+M10-V9,IF(A10&lt;'Données projet'!$A$36,$K$205^A10,IF(A10='Données projet'!$A$36,'Données projet'!$B$36,N9+M10-V9)))</f>
        <v>23.205128205128204</v>
      </c>
      <c r="O10" s="13">
        <f>N10*VLOOKUP('Données projet'!$B$9,Paramètres!$A$1:$I$89,3,0)*VLOOKUP('Données projet'!$B$9,Paramètres!$A$1:$I$89,5,0)</f>
        <v>20.995999999999999</v>
      </c>
      <c r="P10" s="13">
        <f t="shared" si="33"/>
        <v>6.7887830939642484</v>
      </c>
      <c r="Q10" s="20">
        <f t="shared" si="2"/>
        <v>48.391830555321064</v>
      </c>
      <c r="R10" s="59">
        <f t="shared" si="0"/>
        <v>313.61405277754329</v>
      </c>
      <c r="S10" s="59">
        <f ca="1">AVERAGE(OFFSET($R$3,0,0,'Données projet'!$E$9+1,1))-AVERAGE(OFFSET($H$3,0,0,'Données projet'!$E$9+1,1))</f>
        <v>167.24886661350195</v>
      </c>
      <c r="T10" s="59">
        <f t="shared" si="34"/>
        <v>234.73100822629613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3.6976401197634373E-2</v>
      </c>
      <c r="AA10" s="21">
        <f>EXP(-LN(2)/25)*AA9+(1-EXP(-LN(2)/25))/(LN(2)/25)*Calculateur!V10*Calculateur!X10*VLOOKUP('Données projet'!$B$9,Paramètres!$A$1:$I$89,3,0)*0.475*44/12</f>
        <v>0.14500754097050156</v>
      </c>
      <c r="AB10" s="21">
        <f>EXP(-LN(2)/2)*AB9+(1-EXP(-LN(2)/2))/(LN(2)/2)*V10*Y10*VLOOKUP('Données projet'!$B$9,Paramètres!$A$1:$I$89,3,0)*0.475*44/12</f>
        <v>0</v>
      </c>
      <c r="AC10" s="22">
        <f t="shared" si="3"/>
        <v>0.18198394216813593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7.7715686274509812</v>
      </c>
      <c r="AI10" s="13">
        <f>IF('Données projet'!$A$62&gt;35,AI9+AH10-AQ9,IF(A10&lt;'Données projet'!$A$62,$AF$205^A10,IF(A10='Données projet'!$A$62,'Données projet'!$B$62,AI9+AH10-AQ9)))</f>
        <v>54.400980392156868</v>
      </c>
      <c r="AJ10" s="13">
        <f>AI10*VLOOKUP('Données projet'!$B$10,Paramètres!$A$1:$I$89,3,0)*VLOOKUP('Données projet'!$B$10,Paramètres!$A$1:$I$89,5,0)</f>
        <v>25.459658823529416</v>
      </c>
      <c r="AK10" s="13">
        <f t="shared" si="35"/>
        <v>8.0493980491936057</v>
      </c>
      <c r="AL10" s="20">
        <f t="shared" si="4"/>
        <v>58.361607386659266</v>
      </c>
      <c r="AM10" s="59">
        <f t="shared" si="5"/>
        <v>323.5838296088815</v>
      </c>
      <c r="AN10" s="59">
        <f ca="1">AVERAGE(OFFSET($AM$3,0,0,'Données projet'!$E$10+1,1))-AVERAGE(OFFSET($H$3,0,0,'Données projet'!$E$10+1,1))</f>
        <v>337.10499990421835</v>
      </c>
      <c r="AO10" s="59">
        <f t="shared" si="36"/>
        <v>277.4254079562175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5.5128205128205128</v>
      </c>
      <c r="N11" s="13">
        <f>IF('Données projet'!$A$36&gt;35,N10+M11-V10,IF(A11&lt;'Données projet'!$A$36,$K$205^A11,IF(A11='Données projet'!$A$36,'Données projet'!$B$36,N10+M11-V10)))</f>
        <v>28.717948717948715</v>
      </c>
      <c r="O11" s="13">
        <f>N11*VLOOKUP('Données projet'!$B$9,Paramètres!$A$1:$I$89,3,0)*VLOOKUP('Données projet'!$B$9,Paramètres!$A$1:$I$89,5,0)</f>
        <v>25.983999999999998</v>
      </c>
      <c r="P11" s="13">
        <f t="shared" si="33"/>
        <v>8.1957045345708064</v>
      </c>
      <c r="Q11" s="20">
        <f t="shared" si="2"/>
        <v>59.529652064377473</v>
      </c>
      <c r="R11" s="59">
        <f t="shared" si="0"/>
        <v>325.97409650882196</v>
      </c>
      <c r="S11" s="59">
        <f ca="1">AVERAGE(OFFSET($R$3,0,0,'Données projet'!$E$9+1,1))-AVERAGE(OFFSET($H$3,0,0,'Données projet'!$E$9+1,1))</f>
        <v>167.24886661350195</v>
      </c>
      <c r="T11" s="59">
        <f t="shared" si="34"/>
        <v>234.73100822629613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3.6251316523526533E-2</v>
      </c>
      <c r="AA11" s="21">
        <f>EXP(-LN(2)/25)*AA10+(1-EXP(-LN(2)/25))/(LN(2)/25)*Calculateur!V11*Calculateur!X11*VLOOKUP('Données projet'!$B$9,Paramètres!$A$1:$I$89,3,0)*0.475*44/12</f>
        <v>0.14104230213704802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0.17729361866057455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7.7715686274509812</v>
      </c>
      <c r="AI11" s="13">
        <f>IF('Données projet'!$A$62&gt;35,AI10+AH11-AQ10,IF(A11&lt;'Données projet'!$A$62,$AF$205^A11,IF(A11='Données projet'!$A$62,'Données projet'!$B$62,AI10+AH11-AQ10)))</f>
        <v>62.17254901960785</v>
      </c>
      <c r="AJ11" s="13">
        <f>AI11*VLOOKUP('Données projet'!$B$10,Paramètres!$A$1:$I$89,3,0)*VLOOKUP('Données projet'!$B$10,Paramètres!$A$1:$I$89,5,0)</f>
        <v>29.096752941176472</v>
      </c>
      <c r="AK11" s="13">
        <f t="shared" si="35"/>
        <v>9.0574321312547941</v>
      </c>
      <c r="AL11" s="20">
        <f t="shared" si="4"/>
        <v>66.451872334484463</v>
      </c>
      <c r="AM11" s="59">
        <f t="shared" si="5"/>
        <v>332.89631677892891</v>
      </c>
      <c r="AN11" s="59">
        <f ca="1">AVERAGE(OFFSET($AM$3,0,0,'Données projet'!$E$10+1,1))-AVERAGE(OFFSET($H$3,0,0,'Données projet'!$E$10+1,1))</f>
        <v>337.10499990421835</v>
      </c>
      <c r="AO11" s="59">
        <f t="shared" si="36"/>
        <v>277.4254079562175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5.5128205128205128</v>
      </c>
      <c r="N12" s="13">
        <f>IF('Données projet'!$A$36&gt;35,N11+M12-V11,IF(A12&lt;'Données projet'!$A$36,$K$205^A12,IF(A12='Données projet'!$A$36,'Données projet'!$B$36,N11+M12-V11)))</f>
        <v>34.230769230769226</v>
      </c>
      <c r="O12" s="13">
        <f>N12*VLOOKUP('Données projet'!$B$9,Paramètres!$A$1:$I$89,3,0)*VLOOKUP('Données projet'!$B$9,Paramètres!$A$1:$I$89,5,0)</f>
        <v>30.971999999999994</v>
      </c>
      <c r="P12" s="13">
        <f t="shared" si="33"/>
        <v>9.5713345094400388</v>
      </c>
      <c r="Q12" s="20">
        <f t="shared" si="2"/>
        <v>70.612974270608049</v>
      </c>
      <c r="R12" s="59">
        <f t="shared" si="0"/>
        <v>338.27964093727473</v>
      </c>
      <c r="S12" s="59">
        <f ca="1">AVERAGE(OFFSET($R$3,0,0,'Données projet'!$E$9+1,1))-AVERAGE(OFFSET($H$3,0,0,'Données projet'!$E$9+1,1))</f>
        <v>167.24886661350195</v>
      </c>
      <c r="T12" s="59">
        <f t="shared" si="34"/>
        <v>234.73100822629613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3.5540450317619966E-2</v>
      </c>
      <c r="AA12" s="21">
        <f>EXP(-LN(2)/25)*AA11+(1-EXP(-LN(2)/25))/(LN(2)/25)*Calculateur!V12*Calculateur!X12*VLOOKUP('Données projet'!$B$9,Paramètres!$A$1:$I$89,3,0)*0.475*44/12</f>
        <v>0.13718549296801813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0.17272594328563809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7.7715686274509812</v>
      </c>
      <c r="AI12" s="13">
        <f>IF('Données projet'!$A$62&gt;35,AI11+AH12-AQ11,IF(A12&lt;'Données projet'!$A$62,$AF$205^A12,IF(A12='Données projet'!$A$62,'Données projet'!$B$62,AI11+AH12-AQ11)))</f>
        <v>69.944117647058832</v>
      </c>
      <c r="AJ12" s="13">
        <f>AI12*VLOOKUP('Données projet'!$B$10,Paramètres!$A$1:$I$89,3,0)*VLOOKUP('Données projet'!$B$10,Paramètres!$A$1:$I$89,5,0)</f>
        <v>32.733847058823535</v>
      </c>
      <c r="AK12" s="13">
        <f t="shared" si="35"/>
        <v>10.050865407189132</v>
      </c>
      <c r="AL12" s="20">
        <f t="shared" si="4"/>
        <v>74.51670754497205</v>
      </c>
      <c r="AM12" s="59">
        <f t="shared" si="5"/>
        <v>342.18337421163875</v>
      </c>
      <c r="AN12" s="59">
        <f ca="1">AVERAGE(OFFSET($AM$3,0,0,'Données projet'!$E$10+1,1))-AVERAGE(OFFSET($H$3,0,0,'Données projet'!$E$10+1,1))</f>
        <v>337.10499990421835</v>
      </c>
      <c r="AO12" s="59">
        <f t="shared" si="36"/>
        <v>277.4254079562175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39.743589743589745</v>
      </c>
      <c r="L13" s="12">
        <f>VLOOKUP(A13,'Données projet'!$A$35:$I$55,9,0)</f>
        <v>5.5128205128205128</v>
      </c>
      <c r="M13" s="12">
        <f t="array" ref="M13">INDEX(L:L,MIN(IF(ISNUMBER(L13:L209),ROW(L13:L209),"")))</f>
        <v>5.5128205128205128</v>
      </c>
      <c r="N13" s="13">
        <f>IF('Données projet'!$A$36&gt;35,N12+M13-V12,IF(A13&lt;'Données projet'!$A$36,$K$205^A13,IF(A13='Données projet'!$A$36,'Données projet'!$B$36,N12+M13-V12)))</f>
        <v>39.743589743589737</v>
      </c>
      <c r="O13" s="13">
        <f>N13*VLOOKUP('Données projet'!$B$9,Paramètres!$A$1:$I$89,3,0)*VLOOKUP('Données projet'!$B$9,Paramètres!$A$1:$I$89,5,0)</f>
        <v>35.959999999999994</v>
      </c>
      <c r="P13" s="13">
        <f t="shared" si="33"/>
        <v>10.921299995144174</v>
      </c>
      <c r="Q13" s="20">
        <f t="shared" si="2"/>
        <v>81.651597491542759</v>
      </c>
      <c r="R13" s="59">
        <f t="shared" si="0"/>
        <v>350.54048638043162</v>
      </c>
      <c r="S13" s="59">
        <f ca="1">AVERAGE(OFFSET($R$3,0,0,'Données projet'!$E$9+1,1))-AVERAGE(OFFSET($H$3,0,0,'Données projet'!$E$9+1,1))</f>
        <v>167.24886661350195</v>
      </c>
      <c r="T13" s="59">
        <f t="shared" si="34"/>
        <v>234.73100822629613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9.615384615384615</v>
      </c>
      <c r="W13" s="16">
        <f>IF(ISNA(VLOOKUP(A13,'Données projet'!$A$35:$I$55,5,0)),0%,VLOOKUP(A13,'Données projet'!$A$35:$I$55,5,0)*VLOOKUP('Données projet'!$B$9,Paramètres!$A$1:$I$89,7,0))</f>
        <v>0.03</v>
      </c>
      <c r="X13" s="16">
        <f>IF(ISNA(VLOOKUP(A13,'Données projet'!$A$35:$I$55,6,0)),0%,VLOOKUP(A13,'Données projet'!$A$35:$I$55,6,0)*VLOOKUP('Données projet'!$B$9,Paramètres!$A$1:$I$89,7,0))</f>
        <v>0.12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0.32337129282252564</v>
      </c>
      <c r="AA13" s="21">
        <f>EXP(-LN(2)/25)*AA12+(1-EXP(-LN(2)/25))/(LN(2)/25)*Calculateur!V13*Calculateur!X13*VLOOKUP('Données projet'!$B$9,Paramètres!$A$1:$I$89,3,0)*0.475*44/12</f>
        <v>1.2830010496230133</v>
      </c>
      <c r="AB13" s="21">
        <f>EXP(-LN(2)/2)*AB12+(1-EXP(-LN(2)/2))/(LN(2)/2)*V13*Y13*VLOOKUP('Données projet'!$B$9,Paramètres!$A$1:$I$89,3,0)*0.475*44/12</f>
        <v>0</v>
      </c>
      <c r="AC13" s="22">
        <f t="shared" si="3"/>
        <v>1.6063723424455389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7.7715686274509812</v>
      </c>
      <c r="AI13" s="13">
        <f>IF('Données projet'!$A$62&gt;35,AI12+AH13-AQ12,IF(A13&lt;'Données projet'!$A$62,$AF$205^A13,IF(A13='Données projet'!$A$62,'Données projet'!$B$62,AI12+AH13-AQ12)))</f>
        <v>77.715686274509807</v>
      </c>
      <c r="AJ13" s="13">
        <f>AI13*VLOOKUP('Données projet'!$B$10,Paramètres!$A$1:$I$89,3,0)*VLOOKUP('Données projet'!$B$10,Paramètres!$A$1:$I$89,5,0)</f>
        <v>36.370941176470588</v>
      </c>
      <c r="AK13" s="13">
        <f t="shared" si="35"/>
        <v>11.031505249173463</v>
      </c>
      <c r="AL13" s="20">
        <f t="shared" si="4"/>
        <v>82.559260857996719</v>
      </c>
      <c r="AM13" s="59">
        <f t="shared" si="5"/>
        <v>351.44814974688558</v>
      </c>
      <c r="AN13" s="59">
        <f ca="1">AVERAGE(OFFSET($AM$3,0,0,'Données projet'!$E$10+1,1))-AVERAGE(OFFSET($H$3,0,0,'Données projet'!$E$10+1,1))</f>
        <v>337.10499990421835</v>
      </c>
      <c r="AO13" s="59">
        <f t="shared" si="36"/>
        <v>277.4254079562175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5.3846153846153841</v>
      </c>
      <c r="N14" s="13">
        <f>IF('Données projet'!$A$36&gt;35,N13+M14-V13,IF(A14&lt;'Données projet'!$A$36,$K$205^A14,IF(A14='Données projet'!$A$36,'Données projet'!$B$36,N13+M14-V13)))</f>
        <v>35.512820512820511</v>
      </c>
      <c r="O14" s="13">
        <f>N14*VLOOKUP('Données projet'!$B$9,Paramètres!$A$1:$I$89,3,0)*VLOOKUP('Données projet'!$B$9,Paramètres!$A$1:$I$89,5,0)</f>
        <v>32.131999999999998</v>
      </c>
      <c r="P14" s="13">
        <f t="shared" si="33"/>
        <v>9.8874037330627065</v>
      </c>
      <c r="Q14" s="20">
        <f t="shared" si="2"/>
        <v>73.183794835084214</v>
      </c>
      <c r="R14" s="59">
        <f t="shared" si="0"/>
        <v>343.29490594619534</v>
      </c>
      <c r="S14" s="59">
        <f ca="1">AVERAGE(OFFSET($R$3,0,0,'Données projet'!$E$9+1,1))-AVERAGE(OFFSET($H$3,0,0,'Données projet'!$E$9+1,1))</f>
        <v>167.24886661350195</v>
      </c>
      <c r="T14" s="59">
        <f t="shared" si="34"/>
        <v>234.73100822629613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0.31703017900728897</v>
      </c>
      <c r="AA14" s="21">
        <f>EXP(-LN(2)/25)*AA13+(1-EXP(-LN(2)/25))/(LN(2)/25)*Calculateur!V14*Calculateur!X14*VLOOKUP('Données projet'!$B$9,Paramètres!$A$1:$I$89,3,0)*0.475*44/12</f>
        <v>1.2479173184509791</v>
      </c>
      <c r="AB14" s="21">
        <f>EXP(-LN(2)/2)*AB13+(1-EXP(-LN(2)/2))/(LN(2)/2)*V14*Y14*VLOOKUP('Données projet'!$B$9,Paramètres!$A$1:$I$89,3,0)*0.475*44/12</f>
        <v>0</v>
      </c>
      <c r="AC14" s="22">
        <f t="shared" si="3"/>
        <v>1.564947497458268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7.7715686274509812</v>
      </c>
      <c r="AI14" s="13">
        <f>IF('Données projet'!$A$62&gt;35,AI13+AH14-AQ13,IF(A14&lt;'Données projet'!$A$62,$AF$205^A14,IF(A14='Données projet'!$A$62,'Données projet'!$B$62,AI13+AH14-AQ13)))</f>
        <v>85.487254901960782</v>
      </c>
      <c r="AJ14" s="13">
        <f>AI14*VLOOKUP('Données projet'!$B$10,Paramètres!$A$1:$I$89,3,0)*VLOOKUP('Données projet'!$B$10,Paramètres!$A$1:$I$89,5,0)</f>
        <v>40.008035294117647</v>
      </c>
      <c r="AK14" s="13">
        <f t="shared" si="35"/>
        <v>12.000776637389773</v>
      </c>
      <c r="AL14" s="20">
        <f t="shared" si="4"/>
        <v>90.582014114042082</v>
      </c>
      <c r="AM14" s="59">
        <f t="shared" si="5"/>
        <v>360.69312522515321</v>
      </c>
      <c r="AN14" s="59">
        <f ca="1">AVERAGE(OFFSET($AM$3,0,0,'Données projet'!$E$10+1,1))-AVERAGE(OFFSET($H$3,0,0,'Données projet'!$E$10+1,1))</f>
        <v>337.10499990421835</v>
      </c>
      <c r="AO14" s="59">
        <f t="shared" si="36"/>
        <v>277.4254079562175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5.3846153846153841</v>
      </c>
      <c r="N15" s="13">
        <f>IF('Données projet'!$A$36&gt;35,N14+M15-V14,IF(A15&lt;'Données projet'!$A$36,$K$205^A15,IF(A15='Données projet'!$A$36,'Données projet'!$B$36,N14+M15-V14)))</f>
        <v>40.897435897435898</v>
      </c>
      <c r="O15" s="13">
        <f>N15*VLOOKUP('Données projet'!$B$9,Paramètres!$A$1:$I$89,3,0)*VLOOKUP('Données projet'!$B$9,Paramètres!$A$1:$I$89,5,0)</f>
        <v>37.003999999999998</v>
      </c>
      <c r="P15" s="13">
        <f t="shared" si="33"/>
        <v>11.200994699061399</v>
      </c>
      <c r="Q15" s="20">
        <f t="shared" si="2"/>
        <v>83.957032434198595</v>
      </c>
      <c r="R15" s="59">
        <f t="shared" si="0"/>
        <v>355.29036576753191</v>
      </c>
      <c r="S15" s="59">
        <f ca="1">AVERAGE(OFFSET($R$3,0,0,'Données projet'!$E$9+1,1))-AVERAGE(OFFSET($H$3,0,0,'Données projet'!$E$9+1,1))</f>
        <v>167.24886661350195</v>
      </c>
      <c r="T15" s="59">
        <f t="shared" si="34"/>
        <v>234.73100822629613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0.3108134105662716</v>
      </c>
      <c r="AA15" s="21">
        <f>EXP(-LN(2)/25)*AA14+(1-EXP(-LN(2)/25))/(LN(2)/25)*Calculateur!V15*Calculateur!X15*VLOOKUP('Données projet'!$B$9,Paramètres!$A$1:$I$89,3,0)*0.475*44/12</f>
        <v>1.2137929537528174</v>
      </c>
      <c r="AB15" s="21">
        <f>EXP(-LN(2)/2)*AB14+(1-EXP(-LN(2)/2))/(LN(2)/2)*V15*Y15*VLOOKUP('Données projet'!$B$9,Paramètres!$A$1:$I$89,3,0)*0.475*44/12</f>
        <v>0</v>
      </c>
      <c r="AC15" s="22">
        <f t="shared" si="3"/>
        <v>1.524606364319089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7.7715686274509812</v>
      </c>
      <c r="AI15" s="13">
        <f>IF('Données projet'!$A$62&gt;35,AI14+AH15-AQ14,IF(A15&lt;'Données projet'!$A$62,$AF$205^A15,IF(A15='Données projet'!$A$62,'Données projet'!$B$62,AI14+AH15-AQ14)))</f>
        <v>93.258823529411757</v>
      </c>
      <c r="AJ15" s="13">
        <f>AI15*VLOOKUP('Données projet'!$B$10,Paramètres!$A$1:$I$89,3,0)*VLOOKUP('Données projet'!$B$10,Paramètres!$A$1:$I$89,5,0)</f>
        <v>43.6451294117647</v>
      </c>
      <c r="AK15" s="13">
        <f t="shared" si="35"/>
        <v>12.959830604318677</v>
      </c>
      <c r="AL15" s="20">
        <f t="shared" si="4"/>
        <v>98.586972028011871</v>
      </c>
      <c r="AM15" s="59">
        <f t="shared" si="5"/>
        <v>369.92030536134519</v>
      </c>
      <c r="AN15" s="59">
        <f ca="1">AVERAGE(OFFSET($AM$3,0,0,'Données projet'!$E$10+1,1))-AVERAGE(OFFSET($H$3,0,0,'Données projet'!$E$10+1,1))</f>
        <v>337.10499990421835</v>
      </c>
      <c r="AO15" s="59">
        <f t="shared" si="36"/>
        <v>277.4254079562175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5.3846153846153841</v>
      </c>
      <c r="N16" s="13">
        <f>IF('Données projet'!$A$36&gt;35,N15+M16-V15,IF(A16&lt;'Données projet'!$A$36,$K$205^A16,IF(A16='Données projet'!$A$36,'Données projet'!$B$36,N15+M16-V15)))</f>
        <v>46.282051282051285</v>
      </c>
      <c r="O16" s="13">
        <f>N16*VLOOKUP('Données projet'!$B$9,Paramètres!$A$1:$I$89,3,0)*VLOOKUP('Données projet'!$B$9,Paramètres!$A$1:$I$89,5,0)</f>
        <v>41.875999999999998</v>
      </c>
      <c r="P16" s="13">
        <f t="shared" si="33"/>
        <v>12.494546790191524</v>
      </c>
      <c r="Q16" s="20">
        <f t="shared" si="2"/>
        <v>94.695368992916897</v>
      </c>
      <c r="R16" s="59">
        <f t="shared" si="0"/>
        <v>367.25092454847243</v>
      </c>
      <c r="S16" s="59">
        <f ca="1">AVERAGE(OFFSET($R$3,0,0,'Données projet'!$E$9+1,1))-AVERAGE(OFFSET($H$3,0,0,'Données projet'!$E$9+1,1))</f>
        <v>167.24886661350195</v>
      </c>
      <c r="T16" s="59">
        <f t="shared" si="34"/>
        <v>234.73100822629613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0.30471854916252822</v>
      </c>
      <c r="AA16" s="21">
        <f>EXP(-LN(2)/25)*AA15+(1-EXP(-LN(2)/25))/(LN(2)/25)*Calculateur!V16*Calculateur!X16*VLOOKUP('Données projet'!$B$9,Paramètres!$A$1:$I$89,3,0)*0.475*44/12</f>
        <v>1.1806017216018494</v>
      </c>
      <c r="AB16" s="21">
        <f>EXP(-LN(2)/2)*AB15+(1-EXP(-LN(2)/2))/(LN(2)/2)*V16*Y16*VLOOKUP('Données projet'!$B$9,Paramètres!$A$1:$I$89,3,0)*0.475*44/12</f>
        <v>0</v>
      </c>
      <c r="AC16" s="22">
        <f t="shared" si="3"/>
        <v>1.4853202707643776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7.7715686274509812</v>
      </c>
      <c r="AI16" s="13">
        <f>IF('Données projet'!$A$62&gt;35,AI15+AH16-AQ15,IF(A16&lt;'Données projet'!$A$62,$AF$205^A16,IF(A16='Données projet'!$A$62,'Données projet'!$B$62,AI15+AH16-AQ15)))</f>
        <v>101.03039215686273</v>
      </c>
      <c r="AJ16" s="13">
        <f>AI16*VLOOKUP('Données projet'!$B$10,Paramètres!$A$1:$I$89,3,0)*VLOOKUP('Données projet'!$B$10,Paramètres!$A$1:$I$89,5,0)</f>
        <v>47.282223529411759</v>
      </c>
      <c r="AK16" s="13">
        <f t="shared" si="35"/>
        <v>13.909615404239247</v>
      </c>
      <c r="AL16" s="20">
        <f t="shared" si="4"/>
        <v>106.5757861427755</v>
      </c>
      <c r="AM16" s="59">
        <f t="shared" si="5"/>
        <v>379.13134169833103</v>
      </c>
      <c r="AN16" s="59">
        <f ca="1">AVERAGE(OFFSET($AM$3,0,0,'Données projet'!$E$10+1,1))-AVERAGE(OFFSET($H$3,0,0,'Données projet'!$E$10+1,1))</f>
        <v>337.10499990421835</v>
      </c>
      <c r="AO16" s="59">
        <f t="shared" si="36"/>
        <v>277.4254079562175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5.3846153846153841</v>
      </c>
      <c r="N17" s="13">
        <f>IF('Données projet'!$A$36&gt;35,N16+M17-V16,IF(A17&lt;'Données projet'!$A$36,$K$205^A17,IF(A17='Données projet'!$A$36,'Données projet'!$B$36,N16+M17-V16)))</f>
        <v>51.666666666666671</v>
      </c>
      <c r="O17" s="13">
        <f>N17*VLOOKUP('Données projet'!$B$9,Paramètres!$A$1:$I$89,3,0)*VLOOKUP('Données projet'!$B$9,Paramètres!$A$1:$I$89,5,0)</f>
        <v>46.748000000000005</v>
      </c>
      <c r="P17" s="13">
        <f t="shared" si="33"/>
        <v>13.770657694982956</v>
      </c>
      <c r="Q17" s="20">
        <f t="shared" si="2"/>
        <v>105.40332881876198</v>
      </c>
      <c r="R17" s="59">
        <f t="shared" si="0"/>
        <v>379.18110659653973</v>
      </c>
      <c r="S17" s="59">
        <f ca="1">AVERAGE(OFFSET($R$3,0,0,'Données projet'!$E$9+1,1))-AVERAGE(OFFSET($H$3,0,0,'Données projet'!$E$9+1,1))</f>
        <v>167.24886661350195</v>
      </c>
      <c r="T17" s="59">
        <f t="shared" si="34"/>
        <v>234.73100822629613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0.29874320427341389</v>
      </c>
      <c r="AA17" s="21">
        <f>EXP(-LN(2)/25)*AA16+(1-EXP(-LN(2)/25))/(LN(2)/25)*Calculateur!V17*Calculateur!X17*VLOOKUP('Données projet'!$B$9,Paramètres!$A$1:$I$89,3,0)*0.475*44/12</f>
        <v>1.1483181054395006</v>
      </c>
      <c r="AB17" s="21">
        <f>EXP(-LN(2)/2)*AB16+(1-EXP(-LN(2)/2))/(LN(2)/2)*V17*Y17*VLOOKUP('Données projet'!$B$9,Paramètres!$A$1:$I$89,3,0)*0.475*44/12</f>
        <v>0</v>
      </c>
      <c r="AC17" s="22">
        <f t="shared" si="3"/>
        <v>1.4470613097129146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7.7715686274509812</v>
      </c>
      <c r="AI17" s="13">
        <f>IF('Données projet'!$A$62&gt;35,AI16+AH17-AQ16,IF(A17&lt;'Données projet'!$A$62,$AF$205^A17,IF(A17='Données projet'!$A$62,'Données projet'!$B$62,AI16+AH17-AQ16)))</f>
        <v>108.80196078431371</v>
      </c>
      <c r="AJ17" s="13">
        <f>AI17*VLOOKUP('Données projet'!$B$10,Paramètres!$A$1:$I$89,3,0)*VLOOKUP('Données projet'!$B$10,Paramètres!$A$1:$I$89,5,0)</f>
        <v>50.919317647058811</v>
      </c>
      <c r="AK17" s="13">
        <f t="shared" si="35"/>
        <v>14.850925118934597</v>
      </c>
      <c r="AL17" s="20">
        <f t="shared" si="4"/>
        <v>114.54983948410518</v>
      </c>
      <c r="AM17" s="59">
        <f t="shared" si="5"/>
        <v>388.32761726188295</v>
      </c>
      <c r="AN17" s="59">
        <f ca="1">AVERAGE(OFFSET($AM$3,0,0,'Données projet'!$E$10+1,1))-AVERAGE(OFFSET($H$3,0,0,'Données projet'!$E$10+1,1))</f>
        <v>337.10499990421835</v>
      </c>
      <c r="AO17" s="59">
        <f t="shared" si="36"/>
        <v>277.4254079562175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57.051282051282051</v>
      </c>
      <c r="L18" s="12">
        <f>VLOOKUP(A18,'Données projet'!$A$35:$I$55,9,0)</f>
        <v>5.3846153846153841</v>
      </c>
      <c r="M18" s="12">
        <f t="array" ref="M18">INDEX(L:L,MIN(IF(ISNUMBER(L18:L214),ROW(L18:L214),"")))</f>
        <v>5.3846153846153841</v>
      </c>
      <c r="N18" s="13">
        <f>IF('Données projet'!$A$36&gt;35,N17+M18-V17,IF(A18&lt;'Données projet'!$A$36,$K$205^A18,IF(A18='Données projet'!$A$36,'Données projet'!$B$36,N17+M18-V17)))</f>
        <v>57.051282051282058</v>
      </c>
      <c r="O18" s="13">
        <f>N18*VLOOKUP('Données projet'!$B$9,Paramètres!$A$1:$I$89,3,0)*VLOOKUP('Données projet'!$B$9,Paramètres!$A$1:$I$89,5,0)</f>
        <v>51.620000000000005</v>
      </c>
      <c r="P18" s="13">
        <f t="shared" si="33"/>
        <v>15.031352164281564</v>
      </c>
      <c r="Q18" s="20">
        <f t="shared" si="2"/>
        <v>116.0844383527904</v>
      </c>
      <c r="R18" s="59">
        <f t="shared" si="0"/>
        <v>391.08443835279041</v>
      </c>
      <c r="S18" s="59">
        <f ca="1">AVERAGE(OFFSET($R$3,0,0,'Données projet'!$E$9+1,1))-AVERAGE(OFFSET($H$3,0,0,'Données projet'!$E$9+1,1))</f>
        <v>167.24886661350195</v>
      </c>
      <c r="T18" s="59">
        <f t="shared" si="34"/>
        <v>234.73100822629613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8.3333333333333339</v>
      </c>
      <c r="W18" s="16">
        <f>IF(ISNA(VLOOKUP(A18,'Données projet'!$A$35:$I$55,5,0)),0%,VLOOKUP(A18,'Données projet'!$A$35:$I$55,5,0)*VLOOKUP('Données projet'!$B$9,Paramètres!$A$1:$I$89,7,0))</f>
        <v>0.03</v>
      </c>
      <c r="X18" s="16">
        <f>IF(ISNA(VLOOKUP(A18,'Données projet'!$A$35:$I$55,6,0)),0%,VLOOKUP(A18,'Données projet'!$A$35:$I$55,6,0)*VLOOKUP('Données projet'!$B$9,Paramètres!$A$1:$I$89,7,0))</f>
        <v>0.12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0.54294243210332782</v>
      </c>
      <c r="AA18" s="21">
        <f>EXP(-LN(2)/25)*AA17+(1-EXP(-LN(2)/25))/(LN(2)/25)*Calculateur!V18*Calculateur!X18*VLOOKUP('Données projet'!$B$9,Paramètres!$A$1:$I$89,3,0)*0.475*44/12</f>
        <v>2.1132086008100464</v>
      </c>
      <c r="AB18" s="21">
        <f>EXP(-LN(2)/2)*AB17+(1-EXP(-LN(2)/2))/(LN(2)/2)*V18*Y18*VLOOKUP('Données projet'!$B$9,Paramètres!$A$1:$I$89,3,0)*0.475*44/12</f>
        <v>0</v>
      </c>
      <c r="AC18" s="22">
        <f t="shared" si="3"/>
        <v>2.6561510329133742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7.7715686274509812</v>
      </c>
      <c r="AI18" s="13">
        <f>IF('Données projet'!$A$62&gt;35,AI17+AH18-AQ17,IF(A18&lt;'Données projet'!$A$62,$AF$205^A18,IF(A18='Données projet'!$A$62,'Données projet'!$B$62,AI17+AH18-AQ17)))</f>
        <v>116.57352941176468</v>
      </c>
      <c r="AJ18" s="13">
        <f>AI18*VLOOKUP('Données projet'!$B$10,Paramètres!$A$1:$I$89,3,0)*VLOOKUP('Données projet'!$B$10,Paramètres!$A$1:$I$89,5,0)</f>
        <v>54.556411764705871</v>
      </c>
      <c r="AK18" s="13">
        <f t="shared" si="35"/>
        <v>15.784433961873273</v>
      </c>
      <c r="AL18" s="20">
        <f t="shared" si="4"/>
        <v>122.51030630712535</v>
      </c>
      <c r="AM18" s="59">
        <f t="shared" si="5"/>
        <v>397.51030630712535</v>
      </c>
      <c r="AN18" s="59">
        <f ca="1">AVERAGE(OFFSET($AM$3,0,0,'Données projet'!$E$10+1,1))-AVERAGE(OFFSET($H$3,0,0,'Données projet'!$E$10+1,1))</f>
        <v>337.10499990421835</v>
      </c>
      <c r="AO18" s="59">
        <f t="shared" si="36"/>
        <v>277.4254079562175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4.8717948717948731</v>
      </c>
      <c r="N19" s="13">
        <f>IF('Données projet'!$A$36&gt;35,N18+M19-V18,IF(A19&lt;'Données projet'!$A$36,$K$205^A19,IF(A19='Données projet'!$A$36,'Données projet'!$B$36,N18+M19-V18)))</f>
        <v>53.589743589743598</v>
      </c>
      <c r="O19" s="13">
        <f>N19*VLOOKUP('Données projet'!$B$9,Paramètres!$A$1:$I$89,3,0)*VLOOKUP('Données projet'!$B$9,Paramètres!$A$1:$I$89,5,0)</f>
        <v>48.488000000000007</v>
      </c>
      <c r="P19" s="13">
        <f t="shared" si="33"/>
        <v>14.222583976845236</v>
      </c>
      <c r="Q19" s="20">
        <f t="shared" si="2"/>
        <v>109.22093375967212</v>
      </c>
      <c r="R19" s="59">
        <f t="shared" si="0"/>
        <v>385.44315598189434</v>
      </c>
      <c r="S19" s="59">
        <f ca="1">AVERAGE(OFFSET($R$3,0,0,'Données projet'!$E$9+1,1))-AVERAGE(OFFSET($H$3,0,0,'Données projet'!$E$9+1,1))</f>
        <v>167.24886661350195</v>
      </c>
      <c r="T19" s="59">
        <f t="shared" si="34"/>
        <v>234.73100822629613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0.53229566217196556</v>
      </c>
      <c r="AA19" s="21">
        <f>EXP(-LN(2)/25)*AA18+(1-EXP(-LN(2)/25))/(LN(2)/25)*Calculateur!V19*Calculateur!X19*VLOOKUP('Données projet'!$B$9,Paramètres!$A$1:$I$89,3,0)*0.475*44/12</f>
        <v>2.0554228004920851</v>
      </c>
      <c r="AB19" s="21">
        <f>EXP(-LN(2)/2)*AB18+(1-EXP(-LN(2)/2))/(LN(2)/2)*V19*Y19*VLOOKUP('Données projet'!$B$9,Paramètres!$A$1:$I$89,3,0)*0.475*44/12</f>
        <v>0</v>
      </c>
      <c r="AC19" s="22">
        <f t="shared" si="3"/>
        <v>2.5877184626640508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7.7715686274509812</v>
      </c>
      <c r="AI19" s="13">
        <f>IF('Données projet'!$A$62&gt;35,AI18+AH19-AQ18,IF(A19&lt;'Données projet'!$A$62,$AF$205^A19,IF(A19='Données projet'!$A$62,'Données projet'!$B$62,AI18+AH19-AQ18)))</f>
        <v>124.34509803921566</v>
      </c>
      <c r="AJ19" s="13">
        <f>AI19*VLOOKUP('Données projet'!$B$10,Paramètres!$A$1:$I$89,3,0)*VLOOKUP('Données projet'!$B$10,Paramètres!$A$1:$I$89,5,0)</f>
        <v>58.193505882352923</v>
      </c>
      <c r="AK19" s="13">
        <f t="shared" si="35"/>
        <v>16.710721165612199</v>
      </c>
      <c r="AL19" s="20">
        <f t="shared" si="4"/>
        <v>130.45819544187259</v>
      </c>
      <c r="AM19" s="59">
        <f t="shared" si="5"/>
        <v>406.68041766409482</v>
      </c>
      <c r="AN19" s="59">
        <f ca="1">AVERAGE(OFFSET($AM$3,0,0,'Données projet'!$E$10+1,1))-AVERAGE(OFFSET($H$3,0,0,'Données projet'!$E$10+1,1))</f>
        <v>337.10499990421835</v>
      </c>
      <c r="AO19" s="59">
        <f t="shared" si="36"/>
        <v>277.4254079562175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4.8717948717948731</v>
      </c>
      <c r="N20" s="13">
        <f>IF('Données projet'!$A$36&gt;35,N19+M20-V19,IF(A20&lt;'Données projet'!$A$36,$K$205^A20,IF(A20='Données projet'!$A$36,'Données projet'!$B$36,N19+M20-V19)))</f>
        <v>58.461538461538474</v>
      </c>
      <c r="O20" s="13">
        <f>N20*VLOOKUP('Données projet'!$B$9,Paramètres!$A$1:$I$89,3,0)*VLOOKUP('Données projet'!$B$9,Paramètres!$A$1:$I$89,5,0)</f>
        <v>52.896000000000015</v>
      </c>
      <c r="P20" s="13">
        <f t="shared" si="33"/>
        <v>15.359195880817786</v>
      </c>
      <c r="Q20" s="20">
        <f t="shared" si="2"/>
        <v>118.87779949242434</v>
      </c>
      <c r="R20" s="59">
        <f t="shared" si="0"/>
        <v>396.3222439368688</v>
      </c>
      <c r="S20" s="59">
        <f ca="1">AVERAGE(OFFSET($R$3,0,0,'Données projet'!$E$9+1,1))-AVERAGE(OFFSET($H$3,0,0,'Données projet'!$E$9+1,1))</f>
        <v>167.24886661350195</v>
      </c>
      <c r="T20" s="59">
        <f t="shared" si="34"/>
        <v>234.73100822629613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0.52185766890506891</v>
      </c>
      <c r="AA20" s="21">
        <f>EXP(-LN(2)/25)*AA19+(1-EXP(-LN(2)/25))/(LN(2)/25)*Calculateur!V20*Calculateur!X20*VLOOKUP('Données projet'!$B$9,Paramètres!$A$1:$I$89,3,0)*0.475*44/12</f>
        <v>1.9992171559226417</v>
      </c>
      <c r="AB20" s="21">
        <f>EXP(-LN(2)/2)*AB19+(1-EXP(-LN(2)/2))/(LN(2)/2)*V20*Y20*VLOOKUP('Données projet'!$B$9,Paramètres!$A$1:$I$89,3,0)*0.475*44/12</f>
        <v>0</v>
      </c>
      <c r="AC20" s="22">
        <f t="shared" si="3"/>
        <v>2.5210748248277106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7.7715686274509812</v>
      </c>
      <c r="AI20" s="13">
        <f>IF('Données projet'!$A$62&gt;35,AI19+AH20-AQ19,IF(A20&lt;'Données projet'!$A$62,$AF$205^A20,IF(A20='Données projet'!$A$62,'Données projet'!$B$62,AI19+AH20-AQ19)))</f>
        <v>132.11666666666665</v>
      </c>
      <c r="AJ20" s="13">
        <f>AI20*VLOOKUP('Données projet'!$B$10,Paramètres!$A$1:$I$89,3,0)*VLOOKUP('Données projet'!$B$10,Paramètres!$A$1:$I$89,5,0)</f>
        <v>61.83059999999999</v>
      </c>
      <c r="AK20" s="13">
        <f t="shared" si="35"/>
        <v>17.630289466347477</v>
      </c>
      <c r="AL20" s="20">
        <f t="shared" si="4"/>
        <v>138.39438248722183</v>
      </c>
      <c r="AM20" s="59">
        <f t="shared" si="5"/>
        <v>415.83882693166629</v>
      </c>
      <c r="AN20" s="59">
        <f ca="1">AVERAGE(OFFSET($AM$3,0,0,'Données projet'!$E$10+1,1))-AVERAGE(OFFSET($H$3,0,0,'Données projet'!$E$10+1,1))</f>
        <v>337.10499990421835</v>
      </c>
      <c r="AO20" s="59">
        <f t="shared" si="36"/>
        <v>277.4254079562175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4.8717948717948731</v>
      </c>
      <c r="N21" s="13">
        <f>IF('Données projet'!$A$36&gt;35,N20+M21-V20,IF(A21&lt;'Données projet'!$A$36,$K$205^A21,IF(A21='Données projet'!$A$36,'Données projet'!$B$36,N20+M21-V20)))</f>
        <v>63.33333333333335</v>
      </c>
      <c r="O21" s="13">
        <f>N21*VLOOKUP('Données projet'!$B$9,Paramètres!$A$1:$I$89,3,0)*VLOOKUP('Données projet'!$B$9,Paramètres!$A$1:$I$89,5,0)</f>
        <v>57.304000000000016</v>
      </c>
      <c r="P21" s="13">
        <f t="shared" si="33"/>
        <v>16.484822536905579</v>
      </c>
      <c r="Q21" s="20">
        <f t="shared" si="2"/>
        <v>128.51553258511058</v>
      </c>
      <c r="R21" s="59">
        <f t="shared" si="0"/>
        <v>407.18219925177726</v>
      </c>
      <c r="S21" s="59">
        <f ca="1">AVERAGE(OFFSET($R$3,0,0,'Données projet'!$E$9+1,1))-AVERAGE(OFFSET($H$3,0,0,'Données projet'!$E$9+1,1))</f>
        <v>167.24886661350195</v>
      </c>
      <c r="T21" s="59">
        <f t="shared" si="34"/>
        <v>234.73100822629613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0.51162435831958886</v>
      </c>
      <c r="AA21" s="21">
        <f>EXP(-LN(2)/25)*AA20+(1-EXP(-LN(2)/25))/(LN(2)/25)*Calculateur!V21*Calculateur!X21*VLOOKUP('Données projet'!$B$9,Paramètres!$A$1:$I$89,3,0)*0.475*44/12</f>
        <v>1.9445484576596761</v>
      </c>
      <c r="AB21" s="21">
        <f>EXP(-LN(2)/2)*AB20+(1-EXP(-LN(2)/2))/(LN(2)/2)*V21*Y21*VLOOKUP('Données projet'!$B$9,Paramètres!$A$1:$I$89,3,0)*0.475*44/12</f>
        <v>0</v>
      </c>
      <c r="AC21" s="22">
        <f t="shared" si="3"/>
        <v>2.4561728159792651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7.7715686274509812</v>
      </c>
      <c r="AI21" s="13">
        <f>IF('Données projet'!$A$62&gt;35,AI20+AH21-AQ20,IF(A21&lt;'Données projet'!$A$62,$AF$205^A21,IF(A21='Données projet'!$A$62,'Données projet'!$B$62,AI20+AH21-AQ20)))</f>
        <v>139.88823529411764</v>
      </c>
      <c r="AJ21" s="13">
        <f>AI21*VLOOKUP('Données projet'!$B$10,Paramètres!$A$1:$I$89,3,0)*VLOOKUP('Données projet'!$B$10,Paramètres!$A$1:$I$89,5,0)</f>
        <v>65.467694117647056</v>
      </c>
      <c r="AK21" s="13">
        <f t="shared" si="35"/>
        <v>18.543579113671662</v>
      </c>
      <c r="AL21" s="20">
        <f t="shared" si="4"/>
        <v>146.31963421121341</v>
      </c>
      <c r="AM21" s="59">
        <f t="shared" si="5"/>
        <v>424.98630087788013</v>
      </c>
      <c r="AN21" s="59">
        <f ca="1">AVERAGE(OFFSET($AM$3,0,0,'Données projet'!$E$10+1,1))-AVERAGE(OFFSET($H$3,0,0,'Données projet'!$E$10+1,1))</f>
        <v>337.10499990421835</v>
      </c>
      <c r="AO21" s="59">
        <f t="shared" si="36"/>
        <v>277.4254079562175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4.8717948717948731</v>
      </c>
      <c r="N22" s="13">
        <f>IF('Données projet'!$A$36&gt;35,N21+M22-V21,IF(A22&lt;'Données projet'!$A$36,$K$205^A22,IF(A22='Données projet'!$A$36,'Données projet'!$B$36,N21+M22-V21)))</f>
        <v>68.205128205128219</v>
      </c>
      <c r="O22" s="13">
        <f>N22*VLOOKUP('Données projet'!$B$9,Paramètres!$A$1:$I$89,3,0)*VLOOKUP('Données projet'!$B$9,Paramètres!$A$1:$I$89,5,0)</f>
        <v>61.712000000000003</v>
      </c>
      <c r="P22" s="13">
        <f t="shared" si="33"/>
        <v>17.600405042104743</v>
      </c>
      <c r="Q22" s="20">
        <f t="shared" si="2"/>
        <v>138.1357721149991</v>
      </c>
      <c r="R22" s="59">
        <f t="shared" si="0"/>
        <v>418.02466100388796</v>
      </c>
      <c r="S22" s="59">
        <f ca="1">AVERAGE(OFFSET($R$3,0,0,'Données projet'!$E$9+1,1))-AVERAGE(OFFSET($H$3,0,0,'Données projet'!$E$9+1,1))</f>
        <v>167.24886661350195</v>
      </c>
      <c r="T22" s="59">
        <f t="shared" si="34"/>
        <v>234.73100822629613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0.50159171671298697</v>
      </c>
      <c r="AA22" s="21">
        <f>EXP(-LN(2)/25)*AA21+(1-EXP(-LN(2)/25))/(LN(2)/25)*Calculateur!V22*Calculateur!X22*VLOOKUP('Données projet'!$B$9,Paramètres!$A$1:$I$89,3,0)*0.475*44/12</f>
        <v>1.8913746778256133</v>
      </c>
      <c r="AB22" s="21">
        <f>EXP(-LN(2)/2)*AB21+(1-EXP(-LN(2)/2))/(LN(2)/2)*V22*Y22*VLOOKUP('Données projet'!$B$9,Paramètres!$A$1:$I$89,3,0)*0.475*44/12</f>
        <v>0</v>
      </c>
      <c r="AC22" s="22">
        <f t="shared" si="3"/>
        <v>2.3929663945386004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7.7715686274509812</v>
      </c>
      <c r="AI22" s="13">
        <f>IF('Données projet'!$A$62&gt;35,AI21+AH22-AQ21,IF(A22&lt;'Données projet'!$A$62,$AF$205^A22,IF(A22='Données projet'!$A$62,'Données projet'!$B$62,AI21+AH22-AQ21)))</f>
        <v>147.65980392156862</v>
      </c>
      <c r="AJ22" s="13">
        <f>AI22*VLOOKUP('Données projet'!$B$10,Paramètres!$A$1:$I$89,3,0)*VLOOKUP('Données projet'!$B$10,Paramètres!$A$1:$I$89,5,0)</f>
        <v>69.104788235294123</v>
      </c>
      <c r="AK22" s="13">
        <f t="shared" si="35"/>
        <v>19.450978677796666</v>
      </c>
      <c r="AL22" s="20">
        <f t="shared" si="4"/>
        <v>154.23462737363312</v>
      </c>
      <c r="AM22" s="59">
        <f t="shared" si="5"/>
        <v>434.123516262522</v>
      </c>
      <c r="AN22" s="59">
        <f ca="1">AVERAGE(OFFSET($AM$3,0,0,'Données projet'!$E$10+1,1))-AVERAGE(OFFSET($H$3,0,0,'Données projet'!$E$10+1,1))</f>
        <v>337.10499990421835</v>
      </c>
      <c r="AO22" s="59">
        <f t="shared" si="36"/>
        <v>277.4254079562175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73.07692307692308</v>
      </c>
      <c r="L23" s="12">
        <f>VLOOKUP(A23,'Données projet'!$A$35:$I$55,9,0)</f>
        <v>4.8717948717948731</v>
      </c>
      <c r="M23" s="12">
        <f t="array" ref="M23">INDEX(L:L,MIN(IF(ISNUMBER(L23:L219),ROW(L23:L219),"")))</f>
        <v>4.8717948717948731</v>
      </c>
      <c r="N23" s="13">
        <f>IF('Données projet'!$A$36&gt;35,N22+M23-V22,IF(A23&lt;'Données projet'!$A$36,$K$205^A23,IF(A23='Données projet'!$A$36,'Données projet'!$B$36,N22+M23-V22)))</f>
        <v>73.076923076923094</v>
      </c>
      <c r="O23" s="13">
        <f>N23*VLOOKUP('Données projet'!$B$9,Paramètres!$A$1:$I$89,3,0)*VLOOKUP('Données projet'!$B$9,Paramètres!$A$1:$I$89,5,0)</f>
        <v>66.120000000000019</v>
      </c>
      <c r="P23" s="13">
        <f t="shared" si="33"/>
        <v>18.706742432841374</v>
      </c>
      <c r="Q23" s="20">
        <f t="shared" si="2"/>
        <v>147.73990973719876</v>
      </c>
      <c r="R23" s="59">
        <f t="shared" si="0"/>
        <v>428.85102084830987</v>
      </c>
      <c r="S23" s="59">
        <f ca="1">AVERAGE(OFFSET($R$3,0,0,'Données projet'!$E$9+1,1))-AVERAGE(OFFSET($H$3,0,0,'Données projet'!$E$9+1,1))</f>
        <v>167.24886661350195</v>
      </c>
      <c r="T23" s="59">
        <f t="shared" si="34"/>
        <v>234.73100822629613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6.4102564102564097</v>
      </c>
      <c r="W23" s="16">
        <f>IF(ISNA(VLOOKUP(A23,'Données projet'!$A$35:$I$55,5,0)),0%,VLOOKUP(A23,'Données projet'!$A$35:$I$55,5,0)*VLOOKUP('Données projet'!$B$9,Paramètres!$A$1:$I$89,7,0))</f>
        <v>0.03</v>
      </c>
      <c r="X23" s="16">
        <f>IF(ISNA(VLOOKUP(A23,'Données projet'!$A$35:$I$55,6,0)),0%,VLOOKUP(A23,'Données projet'!$A$35:$I$55,6,0)*VLOOKUP('Données projet'!$B$9,Paramètres!$A$1:$I$89,7,0))</f>
        <v>0.12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0.68410765512771665</v>
      </c>
      <c r="AA23" s="21">
        <f>EXP(-LN(2)/25)*AA22+(1-EXP(-LN(2)/25))/(LN(2)/25)*Calculateur!V23*Calculateur!X23*VLOOKUP('Données projet'!$B$9,Paramètres!$A$1:$I$89,3,0)*0.475*44/12</f>
        <v>2.606032871913718</v>
      </c>
      <c r="AB23" s="21">
        <f>EXP(-LN(2)/2)*AB22+(1-EXP(-LN(2)/2))/(LN(2)/2)*V23*Y23*VLOOKUP('Données projet'!$B$9,Paramètres!$A$1:$I$89,3,0)*0.475*44/12</f>
        <v>0</v>
      </c>
      <c r="AC23" s="22">
        <f t="shared" si="3"/>
        <v>3.2901405270414346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7.7715686274509812</v>
      </c>
      <c r="AI23" s="13">
        <f>IF('Données projet'!$A$62&gt;35,AI22+AH23-AQ22,IF(A23&lt;'Données projet'!$A$62,$AF$205^A23,IF(A23='Données projet'!$A$62,'Données projet'!$B$62,AI22+AH23-AQ22)))</f>
        <v>155.43137254901961</v>
      </c>
      <c r="AJ23" s="13">
        <f>AI23*VLOOKUP('Données projet'!$B$10,Paramètres!$A$1:$I$89,3,0)*VLOOKUP('Données projet'!$B$10,Paramètres!$A$1:$I$89,5,0)</f>
        <v>72.741882352941175</v>
      </c>
      <c r="AK23" s="13">
        <f t="shared" si="35"/>
        <v>20.352833516665445</v>
      </c>
      <c r="AL23" s="20">
        <f t="shared" si="4"/>
        <v>162.13996347289819</v>
      </c>
      <c r="AM23" s="59">
        <f t="shared" si="5"/>
        <v>443.2510745840093</v>
      </c>
      <c r="AN23" s="59">
        <f ca="1">AVERAGE(OFFSET($AM$3,0,0,'Données projet'!$E$10+1,1))-AVERAGE(OFFSET($H$3,0,0,'Données projet'!$E$10+1,1))</f>
        <v>337.10499990421835</v>
      </c>
      <c r="AO23" s="59">
        <f t="shared" si="36"/>
        <v>277.4254079562175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4.1025641025641022</v>
      </c>
      <c r="N24" s="13">
        <f>IF('Données projet'!$A$36&gt;35,N23+M24-V23,IF(A24&lt;'Données projet'!$A$36,$K$205^A24,IF(A24='Données projet'!$A$36,'Données projet'!$B$36,N23+M24-V23)))</f>
        <v>70.769230769230788</v>
      </c>
      <c r="O24" s="13">
        <f>N24*VLOOKUP('Données projet'!$B$9,Paramètres!$A$1:$I$89,3,0)*VLOOKUP('Données projet'!$B$9,Paramètres!$A$1:$I$89,5,0)</f>
        <v>64.032000000000025</v>
      </c>
      <c r="P24" s="13">
        <f t="shared" si="33"/>
        <v>18.183794440009635</v>
      </c>
      <c r="Q24" s="20">
        <f t="shared" si="2"/>
        <v>143.19250864968348</v>
      </c>
      <c r="R24" s="59">
        <f t="shared" si="0"/>
        <v>425.52584198301679</v>
      </c>
      <c r="S24" s="59">
        <f ca="1">AVERAGE(OFFSET($R$3,0,0,'Données projet'!$E$9+1,1))-AVERAGE(OFFSET($H$3,0,0,'Données projet'!$E$9+1,1))</f>
        <v>167.24886661350195</v>
      </c>
      <c r="T24" s="59">
        <f t="shared" si="34"/>
        <v>234.73100822629613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0.67069272127513035</v>
      </c>
      <c r="AA24" s="21">
        <f>EXP(-LN(2)/25)*AA23+(1-EXP(-LN(2)/25))/(LN(2)/25)*Calculateur!V24*Calculateur!X24*VLOOKUP('Données projet'!$B$9,Paramètres!$A$1:$I$89,3,0)*0.475*44/12</f>
        <v>2.5347707659859249</v>
      </c>
      <c r="AB24" s="21">
        <f>EXP(-LN(2)/2)*AB23+(1-EXP(-LN(2)/2))/(LN(2)/2)*V24*Y24*VLOOKUP('Données projet'!$B$9,Paramètres!$A$1:$I$89,3,0)*0.475*44/12</f>
        <v>0</v>
      </c>
      <c r="AC24" s="22">
        <f t="shared" si="3"/>
        <v>3.2054634872610555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7.7715686274509812</v>
      </c>
      <c r="AI24" s="13">
        <f>IF('Données projet'!$A$62&gt;35,AI23+AH24-AQ23,IF(A24&lt;'Données projet'!$A$62,$AF$205^A24,IF(A24='Données projet'!$A$62,'Données projet'!$B$62,AI23+AH24-AQ23)))</f>
        <v>163.2029411764706</v>
      </c>
      <c r="AJ24" s="13">
        <f>AI24*VLOOKUP('Données projet'!$B$10,Paramètres!$A$1:$I$89,3,0)*VLOOKUP('Données projet'!$B$10,Paramètres!$A$1:$I$89,5,0)</f>
        <v>76.378976470588242</v>
      </c>
      <c r="AK24" s="13">
        <f t="shared" si="35"/>
        <v>21.249452501517116</v>
      </c>
      <c r="AL24" s="20">
        <f t="shared" si="4"/>
        <v>170.03618045975017</v>
      </c>
      <c r="AM24" s="59">
        <f t="shared" si="5"/>
        <v>452.36951379308346</v>
      </c>
      <c r="AN24" s="59">
        <f ca="1">AVERAGE(OFFSET($AM$3,0,0,'Données projet'!$E$10+1,1))-AVERAGE(OFFSET($H$3,0,0,'Données projet'!$E$10+1,1))</f>
        <v>337.10499990421835</v>
      </c>
      <c r="AO24" s="59">
        <f t="shared" si="36"/>
        <v>277.4254079562175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4.1025641025641022</v>
      </c>
      <c r="N25" s="13">
        <f>IF('Données projet'!$A$36&gt;35,N24+M25-V24,IF(A25&lt;'Données projet'!$A$36,$K$205^A25,IF(A25='Données projet'!$A$36,'Données projet'!$B$36,N24+M25-V24)))</f>
        <v>74.87179487179489</v>
      </c>
      <c r="O25" s="13">
        <f>N25*VLOOKUP('Données projet'!$B$9,Paramètres!$A$1:$I$89,3,0)*VLOOKUP('Données projet'!$B$9,Paramètres!$A$1:$I$89,5,0)</f>
        <v>67.744000000000014</v>
      </c>
      <c r="P25" s="13">
        <f t="shared" si="33"/>
        <v>19.112149585555244</v>
      </c>
      <c r="Q25" s="20">
        <f t="shared" si="2"/>
        <v>151.27446052817541</v>
      </c>
      <c r="R25" s="59">
        <f t="shared" si="0"/>
        <v>434.83001608373092</v>
      </c>
      <c r="S25" s="59">
        <f ca="1">AVERAGE(OFFSET($R$3,0,0,'Données projet'!$E$9+1,1))-AVERAGE(OFFSET($H$3,0,0,'Données projet'!$E$9+1,1))</f>
        <v>167.24886661350195</v>
      </c>
      <c r="T25" s="59">
        <f t="shared" si="34"/>
        <v>234.73100822629613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0.65754084609309149</v>
      </c>
      <c r="AA25" s="21">
        <f>EXP(-LN(2)/25)*AA24+(1-EXP(-LN(2)/25))/(LN(2)/25)*Calculateur!V25*Calculateur!X25*VLOOKUP('Données projet'!$B$9,Paramètres!$A$1:$I$89,3,0)*0.475*44/12</f>
        <v>2.4654573260922383</v>
      </c>
      <c r="AB25" s="21">
        <f>EXP(-LN(2)/2)*AB24+(1-EXP(-LN(2)/2))/(LN(2)/2)*V25*Y25*VLOOKUP('Données projet'!$B$9,Paramètres!$A$1:$I$89,3,0)*0.475*44/12</f>
        <v>0</v>
      </c>
      <c r="AC25" s="22">
        <f t="shared" si="3"/>
        <v>3.1229981721853299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7.7715686274509812</v>
      </c>
      <c r="AI25" s="13">
        <f>IF('Données projet'!$A$62&gt;35,AI24+AH25-AQ24,IF(A25&lt;'Données projet'!$A$62,$AF$205^A25,IF(A25='Données projet'!$A$62,'Données projet'!$B$62,AI24+AH25-AQ24)))</f>
        <v>170.97450980392159</v>
      </c>
      <c r="AJ25" s="13">
        <f>AI25*VLOOKUP('Données projet'!$B$10,Paramètres!$A$1:$I$89,3,0)*VLOOKUP('Données projet'!$B$10,Paramètres!$A$1:$I$89,5,0)</f>
        <v>80.016070588235308</v>
      </c>
      <c r="AK25" s="13">
        <f t="shared" si="35"/>
        <v>22.14111342509517</v>
      </c>
      <c r="AL25" s="20">
        <f t="shared" si="4"/>
        <v>177.92376215655057</v>
      </c>
      <c r="AM25" s="59">
        <f t="shared" si="5"/>
        <v>461.47931771210608</v>
      </c>
      <c r="AN25" s="59">
        <f ca="1">AVERAGE(OFFSET($AM$3,0,0,'Données projet'!$E$10+1,1))-AVERAGE(OFFSET($H$3,0,0,'Données projet'!$E$10+1,1))</f>
        <v>337.10499990421835</v>
      </c>
      <c r="AO25" s="59">
        <f t="shared" si="36"/>
        <v>277.4254079562175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4.1025641025641022</v>
      </c>
      <c r="N26" s="13">
        <f>IF('Données projet'!$A$36&gt;35,N25+M26-V25,IF(A26&lt;'Données projet'!$A$36,$K$205^A26,IF(A26='Données projet'!$A$36,'Données projet'!$B$36,N25+M26-V25)))</f>
        <v>78.974358974358992</v>
      </c>
      <c r="O26" s="13">
        <f>N26*VLOOKUP('Données projet'!$B$9,Paramètres!$A$1:$I$89,3,0)*VLOOKUP('Données projet'!$B$9,Paramètres!$A$1:$I$89,5,0)</f>
        <v>71.456000000000017</v>
      </c>
      <c r="P26" s="13">
        <f t="shared" si="33"/>
        <v>20.03459932891155</v>
      </c>
      <c r="Q26" s="20">
        <f t="shared" si="2"/>
        <v>159.34612716452099</v>
      </c>
      <c r="R26" s="59">
        <f t="shared" si="0"/>
        <v>444.12390494229874</v>
      </c>
      <c r="S26" s="59">
        <f ca="1">AVERAGE(OFFSET($R$3,0,0,'Données projet'!$E$9+1,1))-AVERAGE(OFFSET($H$3,0,0,'Données projet'!$E$9+1,1))</f>
        <v>167.24886661350195</v>
      </c>
      <c r="T26" s="59">
        <f t="shared" si="34"/>
        <v>234.73100822629613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0.64464687116152064</v>
      </c>
      <c r="AA26" s="21">
        <f>EXP(-LN(2)/25)*AA25+(1-EXP(-LN(2)/25))/(LN(2)/25)*Calculateur!V26*Calculateur!X26*VLOOKUP('Données projet'!$B$9,Paramètres!$A$1:$I$89,3,0)*0.475*44/12</f>
        <v>2.3980392658574803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3.0426861370190008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7.7715686274509812</v>
      </c>
      <c r="AI26" s="13">
        <f>IF('Données projet'!$A$62&gt;35,AI25+AH26-AQ25,IF(A26&lt;'Données projet'!$A$62,$AF$205^A26,IF(A26='Données projet'!$A$62,'Données projet'!$B$62,AI25+AH26-AQ25)))</f>
        <v>178.74607843137258</v>
      </c>
      <c r="AJ26" s="13">
        <f>AI26*VLOOKUP('Données projet'!$B$10,Paramètres!$A$1:$I$89,3,0)*VLOOKUP('Données projet'!$B$10,Paramètres!$A$1:$I$89,5,0)</f>
        <v>83.653164705882375</v>
      </c>
      <c r="AK26" s="13">
        <f t="shared" si="35"/>
        <v>23.028067398749322</v>
      </c>
      <c r="AL26" s="20">
        <f t="shared" si="4"/>
        <v>185.80314591556689</v>
      </c>
      <c r="AM26" s="59">
        <f t="shared" si="5"/>
        <v>470.58092369334463</v>
      </c>
      <c r="AN26" s="59">
        <f ca="1">AVERAGE(OFFSET($AM$3,0,0,'Données projet'!$E$10+1,1))-AVERAGE(OFFSET($H$3,0,0,'Données projet'!$E$10+1,1))</f>
        <v>337.10499990421835</v>
      </c>
      <c r="AO26" s="59">
        <f t="shared" si="36"/>
        <v>277.4254079562175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4.1025641025641022</v>
      </c>
      <c r="N27" s="13">
        <f>IF('Données projet'!$A$36&gt;35,N26+M27-V26,IF(A27&lt;'Données projet'!$A$36,$K$205^A27,IF(A27='Données projet'!$A$36,'Données projet'!$B$36,N26+M27-V26)))</f>
        <v>83.076923076923094</v>
      </c>
      <c r="O27" s="13">
        <f>N27*VLOOKUP('Données projet'!$B$9,Paramètres!$A$1:$I$89,3,0)*VLOOKUP('Données projet'!$B$9,Paramètres!$A$1:$I$89,5,0)</f>
        <v>75.168000000000006</v>
      </c>
      <c r="P27" s="13">
        <f t="shared" si="33"/>
        <v>20.951485434510399</v>
      </c>
      <c r="Q27" s="20">
        <f t="shared" si="2"/>
        <v>167.40810379843893</v>
      </c>
      <c r="R27" s="59">
        <f t="shared" si="0"/>
        <v>453.4081037984389</v>
      </c>
      <c r="S27" s="59">
        <f ca="1">AVERAGE(OFFSET($R$3,0,0,'Données projet'!$E$9+1,1))-AVERAGE(OFFSET($H$3,0,0,'Données projet'!$E$9+1,1))</f>
        <v>167.24886661350195</v>
      </c>
      <c r="T27" s="59">
        <f t="shared" si="34"/>
        <v>234.73100822629613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0.63200573921380976</v>
      </c>
      <c r="AA27" s="21">
        <f>EXP(-LN(2)/25)*AA26+(1-EXP(-LN(2)/25))/(LN(2)/25)*Calculateur!V27*Calculateur!X27*VLOOKUP('Données projet'!$B$9,Paramètres!$A$1:$I$89,3,0)*0.475*44/12</f>
        <v>2.3324647560252032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2.9644704952390128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7.7715686274509812</v>
      </c>
      <c r="AI27" s="13">
        <f>IF('Données projet'!$A$62&gt;35,AI26+AH27-AQ26,IF(A27&lt;'Données projet'!$A$62,$AF$205^A27,IF(A27='Données projet'!$A$62,'Données projet'!$B$62,AI26+AH27-AQ26)))</f>
        <v>186.51764705882357</v>
      </c>
      <c r="AJ27" s="13">
        <f>AI27*VLOOKUP('Données projet'!$B$10,Paramètres!$A$1:$I$89,3,0)*VLOOKUP('Données projet'!$B$10,Paramètres!$A$1:$I$89,5,0)</f>
        <v>87.290258823529442</v>
      </c>
      <c r="AK27" s="13">
        <f t="shared" si="35"/>
        <v>23.910542463246056</v>
      </c>
      <c r="AL27" s="20">
        <f t="shared" si="4"/>
        <v>193.67472890780064</v>
      </c>
      <c r="AM27" s="59">
        <f t="shared" si="5"/>
        <v>479.67472890780061</v>
      </c>
      <c r="AN27" s="59">
        <f ca="1">AVERAGE(OFFSET($AM$3,0,0,'Données projet'!$E$10+1,1))-AVERAGE(OFFSET($H$3,0,0,'Données projet'!$E$10+1,1))</f>
        <v>337.10499990421835</v>
      </c>
      <c r="AO27" s="59">
        <f t="shared" si="36"/>
        <v>277.4254079562175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87.179487179487182</v>
      </c>
      <c r="L28" s="12">
        <f>VLOOKUP(A28,'Données projet'!$A$35:$I$55,9,0)</f>
        <v>4.1025641025641022</v>
      </c>
      <c r="M28" s="12">
        <f t="array" ref="M28">INDEX(L:L,MIN(IF(ISNUMBER(L28:L224),ROW(L28:L224),"")))</f>
        <v>4.1025641025641022</v>
      </c>
      <c r="N28" s="13">
        <f>IF('Données projet'!$A$36&gt;35,N27+M28-V27,IF(A28&lt;'Données projet'!$A$36,$K$205^A28,IF(A28='Données projet'!$A$36,'Données projet'!$B$36,N27+M28-V27)))</f>
        <v>87.179487179487197</v>
      </c>
      <c r="O28" s="13">
        <f>N28*VLOOKUP('Données projet'!$B$9,Paramètres!$A$1:$I$89,3,0)*VLOOKUP('Données projet'!$B$9,Paramètres!$A$1:$I$89,5,0)</f>
        <v>78.88000000000001</v>
      </c>
      <c r="P28" s="13">
        <f t="shared" si="33"/>
        <v>21.863114005377827</v>
      </c>
      <c r="Q28" s="20">
        <f t="shared" si="2"/>
        <v>175.46092355936639</v>
      </c>
      <c r="R28" s="59">
        <f t="shared" si="0"/>
        <v>462.68314578158862</v>
      </c>
      <c r="S28" s="59">
        <f ca="1">AVERAGE(OFFSET($R$3,0,0,'Données projet'!$E$9+1,1))-AVERAGE(OFFSET($H$3,0,0,'Données projet'!$E$9+1,1))</f>
        <v>167.24886661350195</v>
      </c>
      <c r="T28" s="59">
        <f t="shared" si="34"/>
        <v>234.73100822629613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5.1282051282051277</v>
      </c>
      <c r="W28" s="16">
        <f>IF(ISNA(VLOOKUP(A28,'Données projet'!$A$35:$I$55,5,0)),0%,VLOOKUP(A28,'Données projet'!$A$35:$I$55,5,0)*VLOOKUP('Données projet'!$B$9,Paramètres!$A$1:$I$89,7,0))</f>
        <v>0.03</v>
      </c>
      <c r="X28" s="16">
        <f>IF(ISNA(VLOOKUP(A28,'Données projet'!$A$35:$I$55,6,0)),0%,VLOOKUP(A28,'Données projet'!$A$35:$I$55,6,0)*VLOOKUP('Données projet'!$B$9,Paramètres!$A$1:$I$89,7,0))</f>
        <v>0.12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0.77349396898425093</v>
      </c>
      <c r="AA28" s="21">
        <f>EXP(-LN(2)/25)*AA27+(1-EXP(-LN(2)/25))/(LN(2)/25)*Calculateur!V28*Calculateur!X28*VLOOKUP('Données projet'!$B$9,Paramètres!$A$1:$I$89,3,0)*0.475*44/12</f>
        <v>2.8817857319057576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3.6552797008900084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7.7715686274509812</v>
      </c>
      <c r="AI28" s="13">
        <f>IF('Données projet'!$A$62&gt;35,AI27+AH28-AQ27,IF(A28&lt;'Données projet'!$A$62,$AF$205^A28,IF(A28='Données projet'!$A$62,'Données projet'!$B$62,AI27+AH28-AQ27)))</f>
        <v>194.28921568627456</v>
      </c>
      <c r="AJ28" s="13">
        <f>AI28*VLOOKUP('Données projet'!$B$10,Paramètres!$A$1:$I$89,3,0)*VLOOKUP('Données projet'!$B$10,Paramètres!$A$1:$I$89,5,0)</f>
        <v>90.92735294117648</v>
      </c>
      <c r="AK28" s="13">
        <f t="shared" si="35"/>
        <v>24.788746580819698</v>
      </c>
      <c r="AL28" s="20">
        <f t="shared" si="4"/>
        <v>201.53887333414332</v>
      </c>
      <c r="AM28" s="59">
        <f t="shared" si="5"/>
        <v>488.76109555636555</v>
      </c>
      <c r="AN28" s="59">
        <f ca="1">AVERAGE(OFFSET($AM$3,0,0,'Données projet'!$E$10+1,1))-AVERAGE(OFFSET($H$3,0,0,'Données projet'!$E$10+1,1))</f>
        <v>337.10499990421835</v>
      </c>
      <c r="AO28" s="59">
        <f t="shared" si="36"/>
        <v>277.4254079562175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3.3333333333333313</v>
      </c>
      <c r="N29" s="13">
        <f>IF('Données projet'!$A$36&gt;35,N28+M29-V28,IF(A29&lt;'Données projet'!$A$36,$K$205^A29,IF(A29='Données projet'!$A$36,'Données projet'!$B$36,N28+M29-V28)))</f>
        <v>85.384615384615401</v>
      </c>
      <c r="O29" s="13">
        <f>N29*VLOOKUP('Données projet'!$B$9,Paramètres!$A$1:$I$89,3,0)*VLOOKUP('Données projet'!$B$9,Paramètres!$A$1:$I$89,5,0)</f>
        <v>77.256000000000014</v>
      </c>
      <c r="P29" s="13">
        <f t="shared" si="33"/>
        <v>21.464905115592444</v>
      </c>
      <c r="Q29" s="20">
        <f t="shared" si="2"/>
        <v>171.93890974299018</v>
      </c>
      <c r="R29" s="59">
        <f t="shared" si="0"/>
        <v>460.38335418743463</v>
      </c>
      <c r="S29" s="59">
        <f ca="1">AVERAGE(OFFSET($R$3,0,0,'Données projet'!$E$9+1,1))-AVERAGE(OFFSET($H$3,0,0,'Données projet'!$E$9+1,1))</f>
        <v>167.24886661350195</v>
      </c>
      <c r="T29" s="59">
        <f t="shared" si="34"/>
        <v>234.73100822629613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0.75832622403720595</v>
      </c>
      <c r="AA29" s="21">
        <f>EXP(-LN(2)/25)*AA28+(1-EXP(-LN(2)/25))/(LN(2)/25)*Calculateur!V29*Calculateur!X29*VLOOKUP('Données projet'!$B$9,Paramètres!$A$1:$I$89,3,0)*0.475*44/12</f>
        <v>2.8029831495202693</v>
      </c>
      <c r="AB29" s="21">
        <f>EXP(-LN(2)/2)*AB28+(1-EXP(-LN(2)/2))/(LN(2)/2)*V29*Y29*VLOOKUP('Données projet'!$B$9,Paramètres!$A$1:$I$89,3,0)*0.475*44/12</f>
        <v>0</v>
      </c>
      <c r="AC29" s="22">
        <f t="shared" si="3"/>
        <v>3.5613093735574752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7.7715686274509812</v>
      </c>
      <c r="AI29" s="13">
        <f>IF('Données projet'!$A$62&gt;35,AI28+AH29-AQ28,IF(A29&lt;'Données projet'!$A$62,$AF$205^A29,IF(A29='Données projet'!$A$62,'Données projet'!$B$62,AI28+AH29-AQ28)))</f>
        <v>202.06078431372555</v>
      </c>
      <c r="AJ29" s="13">
        <f>AI29*VLOOKUP('Données projet'!$B$10,Paramètres!$A$1:$I$89,3,0)*VLOOKUP('Données projet'!$B$10,Paramètres!$A$1:$I$89,5,0)</f>
        <v>94.564447058823546</v>
      </c>
      <c r="AK29" s="13">
        <f t="shared" si="35"/>
        <v>25.662870135019691</v>
      </c>
      <c r="AL29" s="20">
        <f t="shared" si="4"/>
        <v>209.39591077927696</v>
      </c>
      <c r="AM29" s="59">
        <f t="shared" si="5"/>
        <v>497.84035522372142</v>
      </c>
      <c r="AN29" s="59">
        <f ca="1">AVERAGE(OFFSET($AM$3,0,0,'Données projet'!$E$10+1,1))-AVERAGE(OFFSET($H$3,0,0,'Données projet'!$E$10+1,1))</f>
        <v>337.10499990421835</v>
      </c>
      <c r="AO29" s="59">
        <f t="shared" si="36"/>
        <v>277.4254079562175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3.3333333333333313</v>
      </c>
      <c r="N30" s="13">
        <f>IF('Données projet'!$A$36&gt;35,N29+M30-V29,IF(A30&lt;'Données projet'!$A$36,$K$205^A30,IF(A30='Données projet'!$A$36,'Données projet'!$B$36,N29+M30-V29)))</f>
        <v>88.71794871794873</v>
      </c>
      <c r="O30" s="13">
        <f>N30*VLOOKUP('Données projet'!$B$9,Paramètres!$A$1:$I$89,3,0)*VLOOKUP('Données projet'!$B$9,Paramètres!$A$1:$I$89,5,0)</f>
        <v>80.272000000000006</v>
      </c>
      <c r="P30" s="13">
        <f t="shared" si="33"/>
        <v>22.203676399237658</v>
      </c>
      <c r="Q30" s="20">
        <f t="shared" si="2"/>
        <v>178.47846972867228</v>
      </c>
      <c r="R30" s="59">
        <f t="shared" si="0"/>
        <v>468.14513639533897</v>
      </c>
      <c r="S30" s="59">
        <f ca="1">AVERAGE(OFFSET($R$3,0,0,'Données projet'!$E$9+1,1))-AVERAGE(OFFSET($H$3,0,0,'Données projet'!$E$9+1,1))</f>
        <v>167.24886661350195</v>
      </c>
      <c r="T30" s="59">
        <f t="shared" si="34"/>
        <v>234.73100822629613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0.74345590931716166</v>
      </c>
      <c r="AA30" s="21">
        <f>EXP(-LN(2)/25)*AA29+(1-EXP(-LN(2)/25))/(LN(2)/25)*Calculateur!V30*Calculateur!X30*VLOOKUP('Données projet'!$B$9,Paramètres!$A$1:$I$89,3,0)*0.475*44/12</f>
        <v>2.7263354278941598</v>
      </c>
      <c r="AB30" s="21">
        <f>EXP(-LN(2)/2)*AB29+(1-EXP(-LN(2)/2))/(LN(2)/2)*V30*Y30*VLOOKUP('Données projet'!$B$9,Paramètres!$A$1:$I$89,3,0)*0.475*44/12</f>
        <v>0</v>
      </c>
      <c r="AC30" s="22">
        <f t="shared" si="3"/>
        <v>3.4697913372113214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7.7715686274509812</v>
      </c>
      <c r="AI30" s="13">
        <f>IF('Données projet'!$A$62&gt;35,AI29+AH30-AQ29,IF(A30&lt;'Données projet'!$A$62,$AF$205^A30,IF(A30='Données projet'!$A$62,'Données projet'!$B$62,AI29+AH30-AQ29)))</f>
        <v>209.83235294117654</v>
      </c>
      <c r="AJ30" s="13">
        <f>AI30*VLOOKUP('Données projet'!$B$10,Paramètres!$A$1:$I$89,3,0)*VLOOKUP('Données projet'!$B$10,Paramètres!$A$1:$I$89,5,0)</f>
        <v>98.201541176470613</v>
      </c>
      <c r="AK30" s="13">
        <f t="shared" si="35"/>
        <v>26.533088035148577</v>
      </c>
      <c r="AL30" s="20">
        <f t="shared" si="4"/>
        <v>217.2461458769034</v>
      </c>
      <c r="AM30" s="59">
        <f t="shared" si="5"/>
        <v>506.91281254357011</v>
      </c>
      <c r="AN30" s="59">
        <f ca="1">AVERAGE(OFFSET($AM$3,0,0,'Données projet'!$E$10+1,1))-AVERAGE(OFFSET($H$3,0,0,'Données projet'!$E$10+1,1))</f>
        <v>337.10499990421835</v>
      </c>
      <c r="AO30" s="59">
        <f t="shared" si="36"/>
        <v>277.4254079562175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3.3333333333333313</v>
      </c>
      <c r="N31" s="13">
        <f>IF('Données projet'!$A$36&gt;35,N30+M31-V30,IF(A31&lt;'Données projet'!$A$36,$K$205^A31,IF(A31='Données projet'!$A$36,'Données projet'!$B$36,N30+M31-V30)))</f>
        <v>92.051282051282058</v>
      </c>
      <c r="O31" s="13">
        <f>N31*VLOOKUP('Données projet'!$B$9,Paramètres!$A$1:$I$89,3,0)*VLOOKUP('Données projet'!$B$9,Paramètres!$A$1:$I$89,5,0)</f>
        <v>83.287999999999997</v>
      </c>
      <c r="P31" s="13">
        <f t="shared" si="33"/>
        <v>22.939222986331206</v>
      </c>
      <c r="Q31" s="20">
        <f t="shared" si="2"/>
        <v>185.01241336786015</v>
      </c>
      <c r="R31" s="59">
        <f t="shared" si="0"/>
        <v>475.90130225674898</v>
      </c>
      <c r="S31" s="59">
        <f ca="1">AVERAGE(OFFSET($R$3,0,0,'Données projet'!$E$9+1,1))-AVERAGE(OFFSET($H$3,0,0,'Données projet'!$E$9+1,1))</f>
        <v>167.24886661350195</v>
      </c>
      <c r="T31" s="59">
        <f t="shared" si="34"/>
        <v>234.73100822629613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0.72887719239878102</v>
      </c>
      <c r="AA31" s="21">
        <f>EXP(-LN(2)/25)*AA30+(1-EXP(-LN(2)/25))/(LN(2)/25)*Calculateur!V31*Calculateur!X31*VLOOKUP('Données projet'!$B$9,Paramètres!$A$1:$I$89,3,0)*0.475*44/12</f>
        <v>2.6517836422466452</v>
      </c>
      <c r="AB31" s="21">
        <f>EXP(-LN(2)/2)*AB30+(1-EXP(-LN(2)/2))/(LN(2)/2)*V31*Y31*VLOOKUP('Données projet'!$B$9,Paramètres!$A$1:$I$89,3,0)*0.475*44/12</f>
        <v>0</v>
      </c>
      <c r="AC31" s="22">
        <f t="shared" si="3"/>
        <v>3.3806608346454263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7.7715686274509812</v>
      </c>
      <c r="AI31" s="13">
        <f>IF('Données projet'!$A$62&gt;35,AI30+AH31-AQ30,IF(A31&lt;'Données projet'!$A$62,$AF$205^A31,IF(A31='Données projet'!$A$62,'Données projet'!$B$62,AI30+AH31-AQ30)))</f>
        <v>217.60392156862753</v>
      </c>
      <c r="AJ31" s="13">
        <f>AI31*VLOOKUP('Données projet'!$B$10,Paramètres!$A$1:$I$89,3,0)*VLOOKUP('Données projet'!$B$10,Paramètres!$A$1:$I$89,5,0)</f>
        <v>101.83863529411768</v>
      </c>
      <c r="AK31" s="13">
        <f t="shared" si="35"/>
        <v>27.39956150016679</v>
      </c>
      <c r="AL31" s="20">
        <f t="shared" si="4"/>
        <v>225.08985941671213</v>
      </c>
      <c r="AM31" s="59">
        <f t="shared" si="5"/>
        <v>515.97874830560102</v>
      </c>
      <c r="AN31" s="59">
        <f ca="1">AVERAGE(OFFSET($AM$3,0,0,'Données projet'!$E$10+1,1))-AVERAGE(OFFSET($H$3,0,0,'Données projet'!$E$10+1,1))</f>
        <v>337.10499990421835</v>
      </c>
      <c r="AO31" s="59">
        <f t="shared" si="36"/>
        <v>277.4254079562175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3.3333333333333313</v>
      </c>
      <c r="N32" s="13">
        <f>IF('Données projet'!$A$36&gt;35,N31+M32-V31,IF(A32&lt;'Données projet'!$A$36,$K$205^A32,IF(A32='Données projet'!$A$36,'Données projet'!$B$36,N31+M32-V31)))</f>
        <v>95.384615384615387</v>
      </c>
      <c r="O32" s="13">
        <f>N32*VLOOKUP('Données projet'!$B$9,Paramètres!$A$1:$I$89,3,0)*VLOOKUP('Données projet'!$B$9,Paramètres!$A$1:$I$89,5,0)</f>
        <v>86.304000000000002</v>
      </c>
      <c r="P32" s="13">
        <f t="shared" si="33"/>
        <v>23.671675024340772</v>
      </c>
      <c r="Q32" s="20">
        <f t="shared" si="2"/>
        <v>191.54096733406016</v>
      </c>
      <c r="R32" s="59">
        <f t="shared" si="0"/>
        <v>483.6520784451713</v>
      </c>
      <c r="S32" s="59">
        <f ca="1">AVERAGE(OFFSET($R$3,0,0,'Données projet'!$E$9+1,1))-AVERAGE(OFFSET($H$3,0,0,'Données projet'!$E$9+1,1))</f>
        <v>167.24886661350195</v>
      </c>
      <c r="T32" s="59">
        <f t="shared" si="34"/>
        <v>234.73100822629613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0.71458435522703057</v>
      </c>
      <c r="AA32" s="21">
        <f>EXP(-LN(2)/25)*AA31+(1-EXP(-LN(2)/25))/(LN(2)/25)*Calculateur!V32*Calculateur!X32*VLOOKUP('Données projet'!$B$9,Paramètres!$A$1:$I$89,3,0)*0.475*44/12</f>
        <v>2.5792704790981698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3.2938548343252005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7.7715686274509812</v>
      </c>
      <c r="AI32" s="13">
        <f>IF('Données projet'!$A$62&gt;35,AI31+AH32-AQ31,IF(A32&lt;'Données projet'!$A$62,$AF$205^A32,IF(A32='Données projet'!$A$62,'Données projet'!$B$62,AI31+AH32-AQ31)))</f>
        <v>225.37549019607852</v>
      </c>
      <c r="AJ32" s="13">
        <f>AI32*VLOOKUP('Données projet'!$B$10,Paramètres!$A$1:$I$89,3,0)*VLOOKUP('Données projet'!$B$10,Paramètres!$A$1:$I$89,5,0)</f>
        <v>105.47572941176475</v>
      </c>
      <c r="AK32" s="13">
        <f t="shared" si="35"/>
        <v>28.262439580592901</v>
      </c>
      <c r="AL32" s="20">
        <f t="shared" si="4"/>
        <v>232.92731099502291</v>
      </c>
      <c r="AM32" s="59">
        <f t="shared" si="5"/>
        <v>525.03842210613402</v>
      </c>
      <c r="AN32" s="59">
        <f ca="1">AVERAGE(OFFSET($AM$3,0,0,'Données projet'!$E$10+1,1))-AVERAGE(OFFSET($H$3,0,0,'Données projet'!$E$10+1,1))</f>
        <v>337.10499990421835</v>
      </c>
      <c r="AO32" s="59">
        <f t="shared" si="36"/>
        <v>277.4254079562175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98.717948717948715</v>
      </c>
      <c r="L33" s="12">
        <f>VLOOKUP(A33,'Données projet'!$A$35:$I$55,9,0)</f>
        <v>3.3333333333333313</v>
      </c>
      <c r="M33" s="12">
        <f t="array" ref="M33">INDEX(L:L,MIN(IF(ISNUMBER(L33:L229),ROW(L33:L229),"")))</f>
        <v>3.3333333333333313</v>
      </c>
      <c r="N33" s="13">
        <f>IF('Données projet'!$A$36&gt;35,N32+M33-V32,IF(A33&lt;'Données projet'!$A$36,$K$205^A33,IF(A33='Données projet'!$A$36,'Données projet'!$B$36,N32+M33-V32)))</f>
        <v>98.717948717948715</v>
      </c>
      <c r="O33" s="13">
        <f>N33*VLOOKUP('Données projet'!$B$9,Paramètres!$A$1:$I$89,3,0)*VLOOKUP('Données projet'!$B$9,Paramètres!$A$1:$I$89,5,0)</f>
        <v>89.32</v>
      </c>
      <c r="P33" s="13">
        <f t="shared" si="33"/>
        <v>24.401153048591095</v>
      </c>
      <c r="Q33" s="20">
        <f t="shared" si="2"/>
        <v>198.0643415596295</v>
      </c>
      <c r="R33" s="59">
        <f t="shared" si="0"/>
        <v>491.39767489296281</v>
      </c>
      <c r="S33" s="59">
        <f ca="1">AVERAGE(OFFSET($R$3,0,0,'Données projet'!$E$9+1,1))-AVERAGE(OFFSET($H$3,0,0,'Données projet'!$E$9+1,1))</f>
        <v>167.24886661350195</v>
      </c>
      <c r="T33" s="59">
        <f t="shared" si="34"/>
        <v>234.73100822629613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3.8461538461538458</v>
      </c>
      <c r="W33" s="16">
        <f>IF(ISNA(VLOOKUP(A33,'Données projet'!$A$35:$I$55,5,0)),0%,VLOOKUP(A33,'Données projet'!$A$35:$I$55,5,0)*VLOOKUP('Données projet'!$B$9,Paramètres!$A$1:$I$89,7,0))</f>
        <v>0.03</v>
      </c>
      <c r="X33" s="16">
        <f>IF(ISNA(VLOOKUP(A33,'Données projet'!$A$35:$I$55,6,0)),0%,VLOOKUP(A33,'Données projet'!$A$35:$I$55,6,0)*VLOOKUP('Données projet'!$B$9,Paramètres!$A$1:$I$89,7,0))</f>
        <v>0.12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0.8159828994976881</v>
      </c>
      <c r="AA33" s="21">
        <f>EXP(-LN(2)/25)*AA32+(1-EXP(-LN(2)/25))/(LN(2)/25)*Calculateur!V33*Calculateur!X33*VLOOKUP('Données projet'!$B$9,Paramètres!$A$1:$I$89,3,0)*0.475*44/12</f>
        <v>2.9685669526790814</v>
      </c>
      <c r="AB33" s="21">
        <f>EXP(-LN(2)/2)*AB32+(1-EXP(-LN(2)/2))/(LN(2)/2)*V33*Y33*VLOOKUP('Données projet'!$B$9,Paramètres!$A$1:$I$89,3,0)*0.475*44/12</f>
        <v>0</v>
      </c>
      <c r="AC33" s="22">
        <f t="shared" si="3"/>
        <v>3.7845498521767693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7.7715686274509812</v>
      </c>
      <c r="AI33" s="13">
        <f>IF('Données projet'!$A$62&gt;35,AI32+AH33-AQ32,IF(A33&lt;'Données projet'!$A$62,$AF$205^A33,IF(A33='Données projet'!$A$62,'Données projet'!$B$62,AI32+AH33-AQ32)))</f>
        <v>233.14705882352951</v>
      </c>
      <c r="AJ33" s="13">
        <f>AI33*VLOOKUP('Données projet'!$B$10,Paramètres!$A$1:$I$89,3,0)*VLOOKUP('Données projet'!$B$10,Paramètres!$A$1:$I$89,5,0)</f>
        <v>109.11282352941181</v>
      </c>
      <c r="AK33" s="13">
        <f t="shared" si="35"/>
        <v>29.121860464588686</v>
      </c>
      <c r="AL33" s="20">
        <f t="shared" si="4"/>
        <v>240.7587412895509</v>
      </c>
      <c r="AM33" s="59">
        <f t="shared" si="5"/>
        <v>534.09207462288418</v>
      </c>
      <c r="AN33" s="59">
        <f ca="1">AVERAGE(OFFSET($AM$3,0,0,'Données projet'!$E$10+1,1))-AVERAGE(OFFSET($H$3,0,0,'Données projet'!$E$10+1,1))</f>
        <v>337.10499990421835</v>
      </c>
      <c r="AO33" s="59">
        <f t="shared" si="36"/>
        <v>277.4254079562175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2.6923076923076907</v>
      </c>
      <c r="N34" s="13">
        <f>IF('Données projet'!$A$36&gt;35,N33+M34-V33,IF(A34&lt;'Données projet'!$A$36,$K$205^A34,IF(A34='Données projet'!$A$36,'Données projet'!$B$36,N33+M34-V33)))</f>
        <v>97.564102564102569</v>
      </c>
      <c r="O34" s="13">
        <f>N34*VLOOKUP('Données projet'!$B$9,Paramètres!$A$1:$I$89,3,0)*VLOOKUP('Données projet'!$B$9,Paramètres!$A$1:$I$89,5,0)</f>
        <v>88.275999999999996</v>
      </c>
      <c r="P34" s="13">
        <f t="shared" si="33"/>
        <v>24.148970827682607</v>
      </c>
      <c r="Q34" s="20">
        <f t="shared" si="2"/>
        <v>195.80682419154718</v>
      </c>
      <c r="R34" s="59">
        <f t="shared" si="0"/>
        <v>489.14015752488046</v>
      </c>
      <c r="S34" s="59">
        <f ca="1">AVERAGE(OFFSET($R$3,0,0,'Données projet'!$E$9+1,1))-AVERAGE(OFFSET($H$3,0,0,'Données projet'!$E$9+1,1))</f>
        <v>167.24886661350195</v>
      </c>
      <c r="T34" s="59">
        <f t="shared" si="34"/>
        <v>234.73100822629613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0.7999819725389633</v>
      </c>
      <c r="AA34" s="21">
        <f>EXP(-LN(2)/25)*AA33+(1-EXP(-LN(2)/25))/(LN(2)/25)*Calculateur!V34*Calculateur!X34*VLOOKUP('Données projet'!$B$9,Paramètres!$A$1:$I$89,3,0)*0.475*44/12</f>
        <v>2.8873913332479209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3.6873733057868843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7.7715686274509812</v>
      </c>
      <c r="AI34" s="13">
        <f>IF('Données projet'!$A$62&gt;35,AI33+AH34-AQ33,IF(A34&lt;'Données projet'!$A$62,$AF$205^A34,IF(A34='Données projet'!$A$62,'Données projet'!$B$62,AI33+AH34-AQ33)))</f>
        <v>240.91862745098049</v>
      </c>
      <c r="AJ34" s="13">
        <f>AI34*VLOOKUP('Données projet'!$B$10,Paramètres!$A$1:$I$89,3,0)*VLOOKUP('Données projet'!$B$10,Paramètres!$A$1:$I$89,5,0)</f>
        <v>112.74991764705888</v>
      </c>
      <c r="AK34" s="13">
        <f t="shared" si="35"/>
        <v>29.977952605007669</v>
      </c>
      <c r="AL34" s="20">
        <f t="shared" si="4"/>
        <v>248.58437402234924</v>
      </c>
      <c r="AM34" s="59">
        <f t="shared" si="5"/>
        <v>541.91770735568252</v>
      </c>
      <c r="AN34" s="59">
        <f ca="1">AVERAGE(OFFSET($AM$3,0,0,'Données projet'!$E$10+1,1))-AVERAGE(OFFSET($H$3,0,0,'Données projet'!$E$10+1,1))</f>
        <v>337.10499990421835</v>
      </c>
      <c r="AO34" s="59">
        <f t="shared" si="36"/>
        <v>277.4254079562175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2.6923076923076907</v>
      </c>
      <c r="N35" s="13">
        <f>IF('Données projet'!$A$36&gt;35,N34+M35-V34,IF(A35&lt;'Données projet'!$A$36,$K$205^A35,IF(A35='Données projet'!$A$36,'Données projet'!$B$36,N34+M35-V34)))</f>
        <v>100.25641025641026</v>
      </c>
      <c r="O35" s="13">
        <f>N35*VLOOKUP('Données projet'!$B$9,Paramètres!$A$1:$I$89,3,0)*VLOOKUP('Données projet'!$B$9,Paramètres!$A$1:$I$89,5,0)</f>
        <v>90.712000000000003</v>
      </c>
      <c r="P35" s="13">
        <f t="shared" si="33"/>
        <v>24.736863417574245</v>
      </c>
      <c r="Q35" s="20">
        <f t="shared" ref="Q35:Q66" si="53">(O35+P35)*0.475*44/12</f>
        <v>201.0734371189418</v>
      </c>
      <c r="R35" s="59">
        <f t="shared" si="0"/>
        <v>494.40677045227511</v>
      </c>
      <c r="S35" s="59">
        <f ca="1">AVERAGE(OFFSET($R$3,0,0,'Données projet'!$E$9+1,1))-AVERAGE(OFFSET($H$3,0,0,'Données projet'!$E$9+1,1))</f>
        <v>167.24886661350195</v>
      </c>
      <c r="T35" s="59">
        <f t="shared" si="34"/>
        <v>234.73100822629613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0.78429481399829737</v>
      </c>
      <c r="AA35" s="21">
        <f>EXP(-LN(2)/25)*AA34+(1-EXP(-LN(2)/25))/(LN(2)/25)*Calculateur!V35*Calculateur!X35*VLOOKUP('Données projet'!$B$9,Paramètres!$A$1:$I$89,3,0)*0.475*44/12</f>
        <v>2.8084354653989454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3.5927302793972427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7.7715686274509812</v>
      </c>
      <c r="AI35" s="13">
        <f>IF('Données projet'!$A$62&gt;35,AI34+AH35-AQ34,IF(A35&lt;'Données projet'!$A$62,$AF$205^A35,IF(A35='Données projet'!$A$62,'Données projet'!$B$62,AI34+AH35-AQ34)))</f>
        <v>248.69019607843148</v>
      </c>
      <c r="AJ35" s="13">
        <f>AI35*VLOOKUP('Données projet'!$B$10,Paramètres!$A$1:$I$89,3,0)*VLOOKUP('Données projet'!$B$10,Paramètres!$A$1:$I$89,5,0)</f>
        <v>116.38701176470595</v>
      </c>
      <c r="AK35" s="13">
        <f t="shared" si="35"/>
        <v>30.830835696933189</v>
      </c>
      <c r="AL35" s="20">
        <f t="shared" si="4"/>
        <v>256.40441766235483</v>
      </c>
      <c r="AM35" s="59">
        <f t="shared" si="5"/>
        <v>549.7377509956882</v>
      </c>
      <c r="AN35" s="59">
        <f ca="1">AVERAGE(OFFSET($AM$3,0,0,'Données projet'!$E$10+1,1))-AVERAGE(OFFSET($H$3,0,0,'Données projet'!$E$10+1,1))</f>
        <v>337.10499990421835</v>
      </c>
      <c r="AO35" s="59">
        <f t="shared" si="36"/>
        <v>277.4254079562175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2.6923076923076907</v>
      </c>
      <c r="N36" s="13">
        <f>IF('Données projet'!$A$36&gt;35,N35+M36-V35,IF(A36&lt;'Données projet'!$A$36,$K$205^A36,IF(A36='Données projet'!$A$36,'Données projet'!$B$36,N35+M36-V35)))</f>
        <v>102.94871794871796</v>
      </c>
      <c r="O36" s="13">
        <f>N36*VLOOKUP('Données projet'!$B$9,Paramètres!$A$1:$I$89,3,0)*VLOOKUP('Données projet'!$B$9,Paramètres!$A$1:$I$89,5,0)</f>
        <v>93.14800000000001</v>
      </c>
      <c r="P36" s="13">
        <f t="shared" si="33"/>
        <v>25.322920990505391</v>
      </c>
      <c r="Q36" s="20">
        <f t="shared" si="53"/>
        <v>206.33685405846359</v>
      </c>
      <c r="R36" s="59">
        <f t="shared" si="0"/>
        <v>499.6701873917969</v>
      </c>
      <c r="S36" s="59">
        <f ca="1">AVERAGE(OFFSET($R$3,0,0,'Données projet'!$E$9+1,1))-AVERAGE(OFFSET($H$3,0,0,'Données projet'!$E$9+1,1))</f>
        <v>167.24886661350195</v>
      </c>
      <c r="T36" s="59">
        <f t="shared" si="34"/>
        <v>234.73100822629613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0.76891527106839197</v>
      </c>
      <c r="AA36" s="21">
        <f>EXP(-LN(2)/25)*AA35+(1-EXP(-LN(2)/25))/(LN(2)/25)*Calculateur!V36*Calculateur!X36*VLOOKUP('Données projet'!$B$9,Paramètres!$A$1:$I$89,3,0)*0.475*44/12</f>
        <v>2.7316386499084087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3.5005539209768006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7.7715686274509812</v>
      </c>
      <c r="AI36" s="13">
        <f>IF('Données projet'!$A$62&gt;35,AI35+AH36-AQ35,IF(A36&lt;'Données projet'!$A$62,$AF$205^A36,IF(A36='Données projet'!$A$62,'Données projet'!$B$62,AI35+AH36-AQ35)))</f>
        <v>256.46176470588244</v>
      </c>
      <c r="AJ36" s="13">
        <f>AI36*VLOOKUP('Données projet'!$B$10,Paramètres!$A$1:$I$89,3,0)*VLOOKUP('Données projet'!$B$10,Paramètres!$A$1:$I$89,5,0)</f>
        <v>120.02410588235298</v>
      </c>
      <c r="AK36" s="13">
        <f t="shared" si="35"/>
        <v>31.680621529590983</v>
      </c>
      <c r="AL36" s="20">
        <f t="shared" si="4"/>
        <v>264.21906690913573</v>
      </c>
      <c r="AM36" s="59">
        <f t="shared" si="5"/>
        <v>557.55240024246905</v>
      </c>
      <c r="AN36" s="59">
        <f ca="1">AVERAGE(OFFSET($AM$3,0,0,'Données projet'!$E$10+1,1))-AVERAGE(OFFSET($H$3,0,0,'Données projet'!$E$10+1,1))</f>
        <v>337.10499990421835</v>
      </c>
      <c r="AO36" s="59">
        <f t="shared" si="36"/>
        <v>277.4254079562175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2.6923076923076907</v>
      </c>
      <c r="N37" s="13">
        <f>IF('Données projet'!$A$36&gt;35,N36+M37-V36,IF(A37&lt;'Données projet'!$A$36,$K$205^A37,IF(A37='Données projet'!$A$36,'Données projet'!$B$36,N36+M37-V36)))</f>
        <v>105.64102564102565</v>
      </c>
      <c r="O37" s="13">
        <f>N37*VLOOKUP('Données projet'!$B$9,Paramètres!$A$1:$I$89,3,0)*VLOOKUP('Données projet'!$B$9,Paramètres!$A$1:$I$89,5,0)</f>
        <v>95.584000000000003</v>
      </c>
      <c r="P37" s="13">
        <f t="shared" si="33"/>
        <v>25.90719705254287</v>
      </c>
      <c r="Q37" s="20">
        <f t="shared" si="53"/>
        <v>211.59716819984547</v>
      </c>
      <c r="R37" s="59">
        <f t="shared" si="0"/>
        <v>504.93050153317881</v>
      </c>
      <c r="S37" s="59">
        <f ca="1">AVERAGE(OFFSET($R$3,0,0,'Données projet'!$E$9+1,1))-AVERAGE(OFFSET($H$3,0,0,'Données projet'!$E$9+1,1))</f>
        <v>167.24886661350195</v>
      </c>
      <c r="T37" s="59">
        <f t="shared" si="34"/>
        <v>234.73100822629613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0.75383731159474709</v>
      </c>
      <c r="AA37" s="21">
        <f>EXP(-LN(2)/25)*AA36+(1-EXP(-LN(2)/25))/(LN(2)/25)*Calculateur!V37*Calculateur!X37*VLOOKUP('Données projet'!$B$9,Paramètres!$A$1:$I$89,3,0)*0.475*44/12</f>
        <v>2.65694184737603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3.4107791589707772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7.7715686274509812</v>
      </c>
      <c r="AI37" s="13">
        <f>IF('Données projet'!$A$62&gt;35,AI36+AH37-AQ36,IF(A37&lt;'Données projet'!$A$62,$AF$205^A37,IF(A37='Données projet'!$A$62,'Données projet'!$B$62,AI36+AH37-AQ36)))</f>
        <v>264.23333333333341</v>
      </c>
      <c r="AJ37" s="13">
        <f>AI37*VLOOKUP('Données projet'!$B$10,Paramètres!$A$1:$I$89,3,0)*VLOOKUP('Données projet'!$B$10,Paramètres!$A$1:$I$89,5,0)</f>
        <v>123.66120000000004</v>
      </c>
      <c r="AK37" s="13">
        <f t="shared" si="35"/>
        <v>32.527414732098869</v>
      </c>
      <c r="AL37" s="20">
        <f t="shared" si="4"/>
        <v>272.02850399173889</v>
      </c>
      <c r="AM37" s="59">
        <f t="shared" si="5"/>
        <v>565.3618373250722</v>
      </c>
      <c r="AN37" s="59">
        <f ca="1">AVERAGE(OFFSET($AM$3,0,0,'Données projet'!$E$10+1,1))-AVERAGE(OFFSET($H$3,0,0,'Données projet'!$E$10+1,1))</f>
        <v>337.10499990421835</v>
      </c>
      <c r="AO37" s="59">
        <f t="shared" si="36"/>
        <v>277.4254079562175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108.33333333333333</v>
      </c>
      <c r="L38" s="12">
        <f>VLOOKUP(A38,'Données projet'!$A$35:$I$55,9,0)</f>
        <v>2.6923076923076907</v>
      </c>
      <c r="M38" s="12">
        <f t="array" ref="M38">INDEX(L:L,MIN(IF(ISNUMBER(L38:L234),ROW(L38:L234),"")))</f>
        <v>2.6923076923076907</v>
      </c>
      <c r="N38" s="13">
        <f>IF('Données projet'!$A$36&gt;35,N37+M38-V37,IF(A38&lt;'Données projet'!$A$36,$K$205^A38,IF(A38='Données projet'!$A$36,'Données projet'!$B$36,N37+M38-V37)))</f>
        <v>108.33333333333334</v>
      </c>
      <c r="O38" s="13">
        <f>N38*VLOOKUP('Données projet'!$B$9,Paramètres!$A$1:$I$89,3,0)*VLOOKUP('Données projet'!$B$9,Paramètres!$A$1:$I$89,5,0)</f>
        <v>98.02000000000001</v>
      </c>
      <c r="P38" s="13">
        <f t="shared" si="33"/>
        <v>26.489742227111556</v>
      </c>
      <c r="Q38" s="20">
        <f t="shared" si="53"/>
        <v>216.8544677122193</v>
      </c>
      <c r="R38" s="59">
        <f t="shared" si="0"/>
        <v>510.18780104555265</v>
      </c>
      <c r="S38" s="59">
        <f ca="1">AVERAGE(OFFSET($R$3,0,0,'Données projet'!$E$9+1,1))-AVERAGE(OFFSET($H$3,0,0,'Données projet'!$E$9+1,1))</f>
        <v>167.24886661350195</v>
      </c>
      <c r="T38" s="59">
        <f t="shared" si="34"/>
        <v>234.73100822629613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3.2051282051282048</v>
      </c>
      <c r="W38" s="16">
        <f>IF(ISNA(VLOOKUP(A38,'Données projet'!$A$35:$I$55,5,0)),0%,VLOOKUP(A38,'Données projet'!$A$35:$I$55,5,0)*VLOOKUP('Données projet'!$B$9,Paramètres!$A$1:$I$89,7,0))</f>
        <v>0.03</v>
      </c>
      <c r="X38" s="16">
        <f>IF(ISNA(VLOOKUP(A38,'Données projet'!$A$35:$I$55,6,0)),0%,VLOOKUP(A38,'Données projet'!$A$35:$I$55,6,0)*VLOOKUP('Données projet'!$B$9,Paramètres!$A$1:$I$89,7,0))</f>
        <v>0.12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0.83523094472909976</v>
      </c>
      <c r="AA38" s="21">
        <f>EXP(-LN(2)/25)*AA37+(1-EXP(-LN(2)/25))/(LN(2)/25)*Calculateur!V38*Calculateur!X38*VLOOKUP('Données projet'!$B$9,Paramètres!$A$1:$I$89,3,0)*0.475*44/12</f>
        <v>2.9674765998951922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3.8027075446242922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7.7715686274509812</v>
      </c>
      <c r="AI38" s="13">
        <f>IF('Données projet'!$A$62&gt;35,AI37+AH38-AQ37,IF(A38&lt;'Données projet'!$A$62,$AF$205^A38,IF(A38='Données projet'!$A$62,'Données projet'!$B$62,AI37+AH38-AQ37)))</f>
        <v>272.00490196078437</v>
      </c>
      <c r="AJ38" s="13">
        <f>AI38*VLOOKUP('Données projet'!$B$10,Paramètres!$A$1:$I$89,3,0)*VLOOKUP('Données projet'!$B$10,Paramètres!$A$1:$I$89,5,0)</f>
        <v>127.29829411764709</v>
      </c>
      <c r="AK38" s="13">
        <f t="shared" si="35"/>
        <v>33.371313429015686</v>
      </c>
      <c r="AL38" s="20">
        <f t="shared" si="4"/>
        <v>279.83289981043765</v>
      </c>
      <c r="AM38" s="59">
        <f t="shared" si="5"/>
        <v>573.16623314377102</v>
      </c>
      <c r="AN38" s="59">
        <f ca="1">AVERAGE(OFFSET($AM$3,0,0,'Données projet'!$E$10+1,1))-AVERAGE(OFFSET($H$3,0,0,'Données projet'!$E$10+1,1))</f>
        <v>337.10499990421835</v>
      </c>
      <c r="AO38" s="59">
        <f t="shared" si="36"/>
        <v>277.4254079562175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2.4358974358974366</v>
      </c>
      <c r="N39" s="13">
        <f>IF('Données projet'!$A$36&gt;35,N38+M39-V38,IF(A39&lt;'Données projet'!$A$36,$K$205^A39,IF(A39='Données projet'!$A$36,'Données projet'!$B$36,N38+M39-V38)))</f>
        <v>107.56410256410257</v>
      </c>
      <c r="O39" s="13">
        <f>N39*VLOOKUP('Données projet'!$B$9,Paramètres!$A$1:$I$89,3,0)*VLOOKUP('Données projet'!$B$9,Paramètres!$A$1:$I$89,5,0)</f>
        <v>97.323999999999998</v>
      </c>
      <c r="P39" s="13">
        <f t="shared" si="33"/>
        <v>26.32347452538615</v>
      </c>
      <c r="Q39" s="20">
        <f t="shared" si="53"/>
        <v>215.35268479838086</v>
      </c>
      <c r="R39" s="59">
        <f t="shared" si="0"/>
        <v>508.68601813171415</v>
      </c>
      <c r="S39" s="59">
        <f ca="1">AVERAGE(OFFSET($R$3,0,0,'Données projet'!$E$9+1,1))-AVERAGE(OFFSET($H$3,0,0,'Données projet'!$E$9+1,1))</f>
        <v>167.24886661350195</v>
      </c>
      <c r="T39" s="59">
        <f t="shared" si="34"/>
        <v>234.73100822629613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0.81885257534353528</v>
      </c>
      <c r="AA39" s="21">
        <f>EXP(-LN(2)/25)*AA38+(1-EXP(-LN(2)/25))/(LN(2)/25)*Calculateur!V39*Calculateur!X39*VLOOKUP('Données projet'!$B$9,Paramètres!$A$1:$I$89,3,0)*0.475*44/12</f>
        <v>2.8863307962182461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3.7051833715617812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7.7715686274509812</v>
      </c>
      <c r="AI39" s="13">
        <f>IF('Données projet'!$A$62&gt;35,AI38+AH39-AQ38,IF(A39&lt;'Données projet'!$A$62,$AF$205^A39,IF(A39='Données projet'!$A$62,'Données projet'!$B$62,AI38+AH39-AQ38)))</f>
        <v>279.77647058823533</v>
      </c>
      <c r="AJ39" s="13">
        <f>AI39*VLOOKUP('Données projet'!$B$10,Paramètres!$A$1:$I$89,3,0)*VLOOKUP('Données projet'!$B$10,Paramètres!$A$1:$I$89,5,0)</f>
        <v>130.93538823529414</v>
      </c>
      <c r="AK39" s="13">
        <f t="shared" si="35"/>
        <v>34.212409818864202</v>
      </c>
      <c r="AL39" s="20">
        <f t="shared" si="4"/>
        <v>287.63241494432572</v>
      </c>
      <c r="AM39" s="59">
        <f t="shared" si="5"/>
        <v>580.96574827765903</v>
      </c>
      <c r="AN39" s="59">
        <f ca="1">AVERAGE(OFFSET($AM$3,0,0,'Données projet'!$E$10+1,1))-AVERAGE(OFFSET($H$3,0,0,'Données projet'!$E$10+1,1))</f>
        <v>337.10499990421835</v>
      </c>
      <c r="AO39" s="59">
        <f t="shared" si="36"/>
        <v>277.4254079562175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2.4358974358974366</v>
      </c>
      <c r="N40" s="13">
        <f>IF('Données projet'!$A$36&gt;35,N39+M40-V39,IF(A40&lt;'Données projet'!$A$36,$K$205^A40,IF(A40='Données projet'!$A$36,'Données projet'!$B$36,N39+M40-V39)))</f>
        <v>110</v>
      </c>
      <c r="O40" s="13">
        <f>N40*VLOOKUP('Données projet'!$B$9,Paramètres!$A$1:$I$89,3,0)*VLOOKUP('Données projet'!$B$9,Paramètres!$A$1:$I$89,5,0)</f>
        <v>99.528000000000006</v>
      </c>
      <c r="P40" s="13">
        <f t="shared" si="33"/>
        <v>26.849519112903323</v>
      </c>
      <c r="Q40" s="20">
        <f t="shared" si="53"/>
        <v>220.10751245497329</v>
      </c>
      <c r="R40" s="59">
        <f t="shared" si="0"/>
        <v>513.44084578830666</v>
      </c>
      <c r="S40" s="59">
        <f ca="1">AVERAGE(OFFSET($R$3,0,0,'Données projet'!$E$9+1,1))-AVERAGE(OFFSET($H$3,0,0,'Données projet'!$E$9+1,1))</f>
        <v>167.24886661350195</v>
      </c>
      <c r="T40" s="59">
        <f t="shared" si="34"/>
        <v>234.73100822629613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0.80279537579180282</v>
      </c>
      <c r="AA40" s="21">
        <f>EXP(-LN(2)/25)*AA39+(1-EXP(-LN(2)/25))/(LN(2)/25)*Calculateur!V40*Calculateur!X40*VLOOKUP('Données projet'!$B$9,Paramètres!$A$1:$I$89,3,0)*0.475*44/12</f>
        <v>2.8074039288101185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3.6101993046019212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7.7715686274509812</v>
      </c>
      <c r="AI40" s="13">
        <f>IF('Données projet'!$A$62&gt;35,AI39+AH40-AQ39,IF(A40&lt;'Données projet'!$A$62,$AF$205^A40,IF(A40='Données projet'!$A$62,'Données projet'!$B$62,AI39+AH40-AQ39)))</f>
        <v>287.54803921568629</v>
      </c>
      <c r="AJ40" s="13">
        <f>AI40*VLOOKUP('Données projet'!$B$10,Paramètres!$A$1:$I$89,3,0)*VLOOKUP('Données projet'!$B$10,Paramètres!$A$1:$I$89,5,0)</f>
        <v>134.57248235294117</v>
      </c>
      <c r="AK40" s="13">
        <f t="shared" si="35"/>
        <v>35.050790686567069</v>
      </c>
      <c r="AL40" s="20">
        <f t="shared" si="4"/>
        <v>295.42720054381022</v>
      </c>
      <c r="AM40" s="59">
        <f t="shared" si="5"/>
        <v>588.76053387714353</v>
      </c>
      <c r="AN40" s="59">
        <f ca="1">AVERAGE(OFFSET($AM$3,0,0,'Données projet'!$E$10+1,1))-AVERAGE(OFFSET($H$3,0,0,'Données projet'!$E$10+1,1))</f>
        <v>337.10499990421835</v>
      </c>
      <c r="AO40" s="59">
        <f t="shared" si="36"/>
        <v>277.4254079562175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2.4358974358974366</v>
      </c>
      <c r="N41" s="13">
        <f>IF('Données projet'!$A$36&gt;35,N40+M41-V40,IF(A41&lt;'Données projet'!$A$36,$K$205^A41,IF(A41='Données projet'!$A$36,'Données projet'!$B$36,N40+M41-V40)))</f>
        <v>112.43589743589743</v>
      </c>
      <c r="O41" s="13">
        <f>N41*VLOOKUP('Données projet'!$B$9,Paramètres!$A$1:$I$89,3,0)*VLOOKUP('Données projet'!$B$9,Paramètres!$A$1:$I$89,5,0)</f>
        <v>101.73199999999999</v>
      </c>
      <c r="P41" s="13">
        <f t="shared" si="33"/>
        <v>27.374209385182525</v>
      </c>
      <c r="Q41" s="20">
        <f t="shared" si="53"/>
        <v>224.85998134585955</v>
      </c>
      <c r="R41" s="59">
        <f t="shared" si="0"/>
        <v>518.19331467919289</v>
      </c>
      <c r="S41" s="59">
        <f ca="1">AVERAGE(OFFSET($R$3,0,0,'Données projet'!$E$9+1,1))-AVERAGE(OFFSET($H$3,0,0,'Données projet'!$E$9+1,1))</f>
        <v>167.24886661350195</v>
      </c>
      <c r="T41" s="59">
        <f t="shared" si="34"/>
        <v>234.73100822629613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0.78705304812935517</v>
      </c>
      <c r="AA41" s="21">
        <f>EXP(-LN(2)/25)*AA40+(1-EXP(-LN(2)/25))/(LN(2)/25)*Calculateur!V41*Calculateur!X41*VLOOKUP('Données projet'!$B$9,Paramètres!$A$1:$I$89,3,0)*0.475*44/12</f>
        <v>2.7306353207418494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3.5176883688712044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7.7715686274509812</v>
      </c>
      <c r="AI41" s="13">
        <f>IF('Données projet'!$A$62&gt;35,AI40+AH41-AQ40,IF(A41&lt;'Données projet'!$A$62,$AF$205^A41,IF(A41='Données projet'!$A$62,'Données projet'!$B$62,AI40+AH41-AQ40)))</f>
        <v>295.31960784313725</v>
      </c>
      <c r="AJ41" s="13">
        <f>AI41*VLOOKUP('Données projet'!$B$10,Paramètres!$A$1:$I$89,3,0)*VLOOKUP('Données projet'!$B$10,Paramètres!$A$1:$I$89,5,0)</f>
        <v>138.20957647058825</v>
      </c>
      <c r="AK41" s="13">
        <f t="shared" si="35"/>
        <v>35.886537858926076</v>
      </c>
      <c r="AL41" s="20">
        <f t="shared" si="4"/>
        <v>303.21739912390404</v>
      </c>
      <c r="AM41" s="59">
        <f t="shared" si="5"/>
        <v>596.55073245723736</v>
      </c>
      <c r="AN41" s="59">
        <f ca="1">AVERAGE(OFFSET($AM$3,0,0,'Données projet'!$E$10+1,1))-AVERAGE(OFFSET($H$3,0,0,'Données projet'!$E$10+1,1))</f>
        <v>337.10499990421835</v>
      </c>
      <c r="AO41" s="59">
        <f t="shared" si="36"/>
        <v>277.4254079562175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2.4358974358974366</v>
      </c>
      <c r="N42" s="13">
        <f>IF('Données projet'!$A$36&gt;35,N41+M42-V41,IF(A42&lt;'Données projet'!$A$36,$K$205^A42,IF(A42='Données projet'!$A$36,'Données projet'!$B$36,N41+M42-V41)))</f>
        <v>114.87179487179486</v>
      </c>
      <c r="O42" s="13">
        <f>N42*VLOOKUP('Données projet'!$B$9,Paramètres!$A$1:$I$89,3,0)*VLOOKUP('Données projet'!$B$9,Paramètres!$A$1:$I$89,5,0)</f>
        <v>103.93599999999999</v>
      </c>
      <c r="P42" s="13">
        <f t="shared" si="33"/>
        <v>27.897578062332887</v>
      </c>
      <c r="Q42" s="20">
        <f t="shared" si="53"/>
        <v>229.61014845856312</v>
      </c>
      <c r="R42" s="59">
        <f t="shared" si="0"/>
        <v>522.94348179189637</v>
      </c>
      <c r="S42" s="59">
        <f ca="1">AVERAGE(OFFSET($R$3,0,0,'Données projet'!$E$9+1,1))-AVERAGE(OFFSET($H$3,0,0,'Données projet'!$E$9+1,1))</f>
        <v>167.24886661350195</v>
      </c>
      <c r="T42" s="59">
        <f t="shared" si="34"/>
        <v>234.73100822629613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0.77161941791049637</v>
      </c>
      <c r="AA42" s="21">
        <f>EXP(-LN(2)/25)*AA41+(1-EXP(-LN(2)/25))/(LN(2)/25)*Calculateur!V42*Calculateur!X42*VLOOKUP('Données projet'!$B$9,Paramètres!$A$1:$I$89,3,0)*0.475*44/12</f>
        <v>2.655965954298293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3.4275853722087892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7.7715686274509812</v>
      </c>
      <c r="AI42" s="13">
        <f>IF('Données projet'!$A$62&gt;35,AI41+AH42-AQ41,IF(A42&lt;'Données projet'!$A$62,$AF$205^A42,IF(A42='Données projet'!$A$62,'Données projet'!$B$62,AI41+AH42-AQ41)))</f>
        <v>303.09117647058821</v>
      </c>
      <c r="AJ42" s="13">
        <f>AI42*VLOOKUP('Données projet'!$B$10,Paramètres!$A$1:$I$89,3,0)*VLOOKUP('Données projet'!$B$10,Paramètres!$A$1:$I$89,5,0)</f>
        <v>141.8466705882353</v>
      </c>
      <c r="AK42" s="13">
        <f t="shared" si="35"/>
        <v>36.719728610807536</v>
      </c>
      <c r="AL42" s="20">
        <f t="shared" si="4"/>
        <v>311.00314527166626</v>
      </c>
      <c r="AM42" s="59">
        <f t="shared" si="5"/>
        <v>604.33647860499957</v>
      </c>
      <c r="AN42" s="59">
        <f ca="1">AVERAGE(OFFSET($AM$3,0,0,'Données projet'!$E$10+1,1))-AVERAGE(OFFSET($H$3,0,0,'Données projet'!$E$10+1,1))</f>
        <v>337.10499990421835</v>
      </c>
      <c r="AO42" s="59">
        <f t="shared" si="36"/>
        <v>277.4254079562175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117.30769230769231</v>
      </c>
      <c r="L43" s="12">
        <f>VLOOKUP(A43,'Données projet'!$A$35:$I$55,9,0)</f>
        <v>2.4358974358974366</v>
      </c>
      <c r="M43" s="12">
        <f t="array" ref="M43">INDEX(L:L,MIN(IF(ISNUMBER(L43:L239),ROW(L43:L239),"")))</f>
        <v>2.4358974358974366</v>
      </c>
      <c r="N43" s="13">
        <f>IF('Données projet'!$A$36&gt;35,N42+M43-V42,IF(A43&lt;'Données projet'!$A$36,$K$205^A43,IF(A43='Données projet'!$A$36,'Données projet'!$B$36,N42+M43-V42)))</f>
        <v>117.30769230769229</v>
      </c>
      <c r="O43" s="13">
        <f>N43*VLOOKUP('Données projet'!$B$9,Paramètres!$A$1:$I$89,3,0)*VLOOKUP('Données projet'!$B$9,Paramètres!$A$1:$I$89,5,0)</f>
        <v>106.13999999999997</v>
      </c>
      <c r="P43" s="13">
        <f t="shared" si="33"/>
        <v>28.419656397497903</v>
      </c>
      <c r="Q43" s="20">
        <f t="shared" si="53"/>
        <v>234.35806822564211</v>
      </c>
      <c r="R43" s="59">
        <f t="shared" si="0"/>
        <v>527.69140155897549</v>
      </c>
      <c r="S43" s="59">
        <f ca="1">AVERAGE(OFFSET($R$3,0,0,'Données projet'!$E$9+1,1))-AVERAGE(OFFSET($H$3,0,0,'Données projet'!$E$9+1,1))</f>
        <v>167.24886661350195</v>
      </c>
      <c r="T43" s="59">
        <f t="shared" si="34"/>
        <v>234.73100822629613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2.5641025641025639</v>
      </c>
      <c r="W43" s="16">
        <f>IF(ISNA(VLOOKUP(A43,'Données projet'!$A$35:$I$55,5,0)),0%,VLOOKUP(A43,'Données projet'!$A$35:$I$55,5,0)*VLOOKUP('Données projet'!$B$9,Paramètres!$A$1:$I$89,7,0))</f>
        <v>0.03</v>
      </c>
      <c r="X43" s="16">
        <f>IF(ISNA(VLOOKUP(A43,'Données projet'!$A$35:$I$55,6,0)),0%,VLOOKUP(A43,'Données projet'!$A$35:$I$55,6,0)*VLOOKUP('Données projet'!$B$9,Paramètres!$A$1:$I$89,7,0))</f>
        <v>0.12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0.8334291701821378</v>
      </c>
      <c r="AA43" s="21">
        <f>EXP(-LN(2)/25)*AA42+(1-EXP(-LN(2)/25))/(LN(2)/25)*Calculateur!V43*Calculateur!X43*VLOOKUP('Données projet'!$B$9,Paramètres!$A$1:$I$89,3,0)*0.475*44/12</f>
        <v>2.8898895992533542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3.7233187694354921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7.7715686274509812</v>
      </c>
      <c r="AI43" s="13">
        <f>IF('Données projet'!$A$62&gt;35,AI42+AH43-AQ42,IF(A43&lt;'Données projet'!$A$62,$AF$205^A43,IF(A43='Données projet'!$A$62,'Données projet'!$B$62,AI42+AH43-AQ42)))</f>
        <v>310.86274509803917</v>
      </c>
      <c r="AJ43" s="13">
        <f>AI43*VLOOKUP('Données projet'!$B$10,Paramètres!$A$1:$I$89,3,0)*VLOOKUP('Données projet'!$B$10,Paramètres!$A$1:$I$89,5,0)</f>
        <v>145.48376470588232</v>
      </c>
      <c r="AK43" s="13">
        <f t="shared" si="35"/>
        <v>37.550436028495511</v>
      </c>
      <c r="AL43" s="20">
        <f t="shared" si="4"/>
        <v>318.78456627904137</v>
      </c>
      <c r="AM43" s="59">
        <f t="shared" si="5"/>
        <v>612.11789961237469</v>
      </c>
      <c r="AN43" s="59">
        <f ca="1">AVERAGE(OFFSET($AM$3,0,0,'Données projet'!$E$10+1,1))-AVERAGE(OFFSET($H$3,0,0,'Données projet'!$E$10+1,1))</f>
        <v>337.10499990421835</v>
      </c>
      <c r="AO43" s="59">
        <f t="shared" si="36"/>
        <v>277.4254079562175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2.4358974358974366</v>
      </c>
      <c r="N44" s="13">
        <f>IF('Données projet'!$A$36&gt;35,N43+M44-V43,IF(A44&lt;'Données projet'!$A$36,$K$205^A44,IF(A44='Données projet'!$A$36,'Données projet'!$B$36,N43+M44-V43)))</f>
        <v>117.17948717948715</v>
      </c>
      <c r="O44" s="13">
        <f>N44*VLOOKUP('Données projet'!$B$9,Paramètres!$A$1:$I$89,3,0)*VLOOKUP('Données projet'!$B$9,Paramètres!$A$1:$I$89,5,0)</f>
        <v>106.02399999999997</v>
      </c>
      <c r="P44" s="13">
        <f t="shared" si="33"/>
        <v>28.392210270387764</v>
      </c>
      <c r="Q44" s="20">
        <f t="shared" si="53"/>
        <v>234.10823288759198</v>
      </c>
      <c r="R44" s="59">
        <f t="shared" si="0"/>
        <v>527.44156622092532</v>
      </c>
      <c r="S44" s="59">
        <f ca="1">AVERAGE(OFFSET($R$3,0,0,'Données projet'!$E$9+1,1))-AVERAGE(OFFSET($H$3,0,0,'Données projet'!$E$9+1,1))</f>
        <v>167.24886661350195</v>
      </c>
      <c r="T44" s="59">
        <f t="shared" si="34"/>
        <v>234.73100822629613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0.81708613249646533</v>
      </c>
      <c r="AA44" s="21">
        <f>EXP(-LN(2)/25)*AA43+(1-EXP(-LN(2)/25))/(LN(2)/25)*Calculateur!V44*Calculateur!X44*VLOOKUP('Données projet'!$B$9,Paramètres!$A$1:$I$89,3,0)*0.475*44/12</f>
        <v>2.810865416189082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3.6279515486855471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7.7715686274509812</v>
      </c>
      <c r="AI44" s="13">
        <f>IF('Données projet'!$A$62&gt;35,AI43+AH44-AQ43,IF(A44&lt;'Données projet'!$A$62,$AF$205^A44,IF(A44='Données projet'!$A$62,'Données projet'!$B$62,AI43+AH44-AQ43)))</f>
        <v>318.63431372549013</v>
      </c>
      <c r="AJ44" s="13">
        <f>AI44*VLOOKUP('Données projet'!$B$10,Paramètres!$A$1:$I$89,3,0)*VLOOKUP('Données projet'!$B$10,Paramètres!$A$1:$I$89,5,0)</f>
        <v>149.12085882352937</v>
      </c>
      <c r="AK44" s="13">
        <f t="shared" si="35"/>
        <v>38.378729335686863</v>
      </c>
      <c r="AL44" s="20">
        <f t="shared" si="4"/>
        <v>326.56178271063499</v>
      </c>
      <c r="AM44" s="59">
        <f t="shared" si="5"/>
        <v>619.8951160439683</v>
      </c>
      <c r="AN44" s="59">
        <f ca="1">AVERAGE(OFFSET($AM$3,0,0,'Données projet'!$E$10+1,1))-AVERAGE(OFFSET($H$3,0,0,'Données projet'!$E$10+1,1))</f>
        <v>337.10499990421835</v>
      </c>
      <c r="AO44" s="59">
        <f t="shared" si="36"/>
        <v>277.4254079562175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2.4358974358974366</v>
      </c>
      <c r="N45" s="13">
        <f>IF('Données projet'!$A$36&gt;35,N44+M45-V44,IF(A45&lt;'Données projet'!$A$36,$K$205^A45,IF(A45='Données projet'!$A$36,'Données projet'!$B$36,N44+M45-V44)))</f>
        <v>119.61538461538458</v>
      </c>
      <c r="O45" s="13">
        <f>N45*VLOOKUP('Données projet'!$B$9,Paramètres!$A$1:$I$89,3,0)*VLOOKUP('Données projet'!$B$9,Paramètres!$A$1:$I$89,5,0)</f>
        <v>108.22799999999997</v>
      </c>
      <c r="P45" s="13">
        <f t="shared" si="33"/>
        <v>28.913093760833238</v>
      </c>
      <c r="Q45" s="20">
        <f t="shared" si="53"/>
        <v>238.85407163345113</v>
      </c>
      <c r="R45" s="59">
        <f t="shared" si="0"/>
        <v>532.18740496678447</v>
      </c>
      <c r="S45" s="59">
        <f ca="1">AVERAGE(OFFSET($R$3,0,0,'Données projet'!$E$9+1,1))-AVERAGE(OFFSET($H$3,0,0,'Données projet'!$E$9+1,1))</f>
        <v>167.24886661350195</v>
      </c>
      <c r="T45" s="59">
        <f t="shared" si="34"/>
        <v>234.73100822629613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0.8010635718115402</v>
      </c>
      <c r="AA45" s="21">
        <f>EXP(-LN(2)/25)*AA44+(1-EXP(-LN(2)/25))/(LN(2)/25)*Calculateur!V45*Calculateur!X45*VLOOKUP('Données projet'!$B$9,Paramètres!$A$1:$I$89,3,0)*0.475*44/12</f>
        <v>2.7340021535664039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3.5350657253779438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7.7715686274509812</v>
      </c>
      <c r="AI45" s="13">
        <f>IF('Données projet'!$A$62&gt;35,AI44+AH45-AQ44,IF(A45&lt;'Données projet'!$A$62,$AF$205^A45,IF(A45='Données projet'!$A$62,'Données projet'!$B$62,AI44+AH45-AQ44)))</f>
        <v>326.40588235294109</v>
      </c>
      <c r="AJ45" s="13">
        <f>AI45*VLOOKUP('Données projet'!$B$10,Paramètres!$A$1:$I$89,3,0)*VLOOKUP('Données projet'!$B$10,Paramètres!$A$1:$I$89,5,0)</f>
        <v>152.75795294117643</v>
      </c>
      <c r="AK45" s="13">
        <f t="shared" si="35"/>
        <v>39.204674186786249</v>
      </c>
      <c r="AL45" s="20">
        <f t="shared" si="4"/>
        <v>334.33490891453494</v>
      </c>
      <c r="AM45" s="59">
        <f t="shared" si="5"/>
        <v>627.66824224786819</v>
      </c>
      <c r="AN45" s="59">
        <f ca="1">AVERAGE(OFFSET($AM$3,0,0,'Données projet'!$E$10+1,1))-AVERAGE(OFFSET($H$3,0,0,'Données projet'!$E$10+1,1))</f>
        <v>337.10499990421835</v>
      </c>
      <c r="AO45" s="59">
        <f t="shared" si="36"/>
        <v>277.4254079562175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2.4358974358974366</v>
      </c>
      <c r="N46" s="13">
        <f>IF('Données projet'!$A$36&gt;35,N45+M46-V45,IF(A46&lt;'Données projet'!$A$36,$K$205^A46,IF(A46='Données projet'!$A$36,'Données projet'!$B$36,N45+M46-V45)))</f>
        <v>122.05128205128202</v>
      </c>
      <c r="O46" s="13">
        <f>N46*VLOOKUP('Données projet'!$B$9,Paramètres!$A$1:$I$89,3,0)*VLOOKUP('Données projet'!$B$9,Paramètres!$A$1:$I$89,5,0)</f>
        <v>110.43199999999996</v>
      </c>
      <c r="P46" s="13">
        <f t="shared" si="33"/>
        <v>29.432743911799658</v>
      </c>
      <c r="Q46" s="20">
        <f t="shared" si="53"/>
        <v>243.59776231305099</v>
      </c>
      <c r="R46" s="59">
        <f t="shared" si="0"/>
        <v>536.93109564638428</v>
      </c>
      <c r="S46" s="59">
        <f ca="1">AVERAGE(OFFSET($R$3,0,0,'Données projet'!$E$9+1,1))-AVERAGE(OFFSET($H$3,0,0,'Données projet'!$E$9+1,1))</f>
        <v>167.24886661350195</v>
      </c>
      <c r="T46" s="59">
        <f t="shared" si="34"/>
        <v>234.73100822629613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0.78535520376884937</v>
      </c>
      <c r="AA46" s="21">
        <f>EXP(-LN(2)/25)*AA45+(1-EXP(-LN(2)/25))/(LN(2)/25)*Calculateur!V46*Calculateur!X46*VLOOKUP('Données projet'!$B$9,Paramètres!$A$1:$I$89,3,0)*0.475*44/12</f>
        <v>2.659240720902206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3.4445959246710554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7.7715686274509812</v>
      </c>
      <c r="AI46" s="13">
        <f>IF('Données projet'!$A$62&gt;35,AI45+AH46-AQ45,IF(A46&lt;'Données projet'!$A$62,$AF$205^A46,IF(A46='Données projet'!$A$62,'Données projet'!$B$62,AI45+AH46-AQ45)))</f>
        <v>334.17745098039205</v>
      </c>
      <c r="AJ46" s="13">
        <f>AI46*VLOOKUP('Données projet'!$B$10,Paramètres!$A$1:$I$89,3,0)*VLOOKUP('Données projet'!$B$10,Paramètres!$A$1:$I$89,5,0)</f>
        <v>156.39504705882348</v>
      </c>
      <c r="AK46" s="13">
        <f t="shared" si="35"/>
        <v>40.028332931481749</v>
      </c>
      <c r="AL46" s="20">
        <f t="shared" si="4"/>
        <v>342.10405348311491</v>
      </c>
      <c r="AM46" s="59">
        <f t="shared" si="5"/>
        <v>635.43738681644822</v>
      </c>
      <c r="AN46" s="59">
        <f ca="1">AVERAGE(OFFSET($AM$3,0,0,'Données projet'!$E$10+1,1))-AVERAGE(OFFSET($H$3,0,0,'Données projet'!$E$10+1,1))</f>
        <v>337.10499990421835</v>
      </c>
      <c r="AO46" s="59">
        <f t="shared" si="36"/>
        <v>277.4254079562175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2.4358974358974366</v>
      </c>
      <c r="N47" s="13">
        <f>IF('Données projet'!$A$36&gt;35,N46+M47-V46,IF(A47&lt;'Données projet'!$A$36,$K$205^A47,IF(A47='Données projet'!$A$36,'Données projet'!$B$36,N46+M47-V46)))</f>
        <v>124.48717948717945</v>
      </c>
      <c r="O47" s="13">
        <f>N47*VLOOKUP('Données projet'!$B$9,Paramètres!$A$1:$I$89,3,0)*VLOOKUP('Données projet'!$B$9,Paramètres!$A$1:$I$89,5,0)</f>
        <v>112.63599999999995</v>
      </c>
      <c r="P47" s="13">
        <f t="shared" si="33"/>
        <v>29.951188175221013</v>
      </c>
      <c r="Q47" s="20">
        <f t="shared" si="53"/>
        <v>248.33935273850986</v>
      </c>
      <c r="R47" s="59">
        <f t="shared" si="0"/>
        <v>541.67268607184315</v>
      </c>
      <c r="S47" s="59">
        <f ca="1">AVERAGE(OFFSET($R$3,0,0,'Données projet'!$E$9+1,1))-AVERAGE(OFFSET($H$3,0,0,'Données projet'!$E$9+1,1))</f>
        <v>167.24886661350195</v>
      </c>
      <c r="T47" s="59">
        <f t="shared" si="34"/>
        <v>234.73100822629613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0.76995486724231732</v>
      </c>
      <c r="AA47" s="21">
        <f>EXP(-LN(2)/25)*AA46+(1-EXP(-LN(2)/25))/(LN(2)/25)*Calculateur!V47*Calculateur!X47*VLOOKUP('Données projet'!$B$9,Paramètres!$A$1:$I$89,3,0)*0.475*44/12</f>
        <v>2.5865236435457435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3.3564785107880608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7.7715686274509812</v>
      </c>
      <c r="AI47" s="13">
        <f>IF('Données projet'!$A$62&gt;35,AI46+AH47-AQ46,IF(A47&lt;'Données projet'!$A$62,$AF$205^A47,IF(A47='Données projet'!$A$62,'Données projet'!$B$62,AI46+AH47-AQ46)))</f>
        <v>341.94901960784301</v>
      </c>
      <c r="AJ47" s="13">
        <f>AI47*VLOOKUP('Données projet'!$B$10,Paramètres!$A$1:$I$89,3,0)*VLOOKUP('Données projet'!$B$10,Paramètres!$A$1:$I$89,5,0)</f>
        <v>160.03214117647053</v>
      </c>
      <c r="AK47" s="13">
        <f t="shared" si="35"/>
        <v>40.849764854015</v>
      </c>
      <c r="AL47" s="20">
        <f t="shared" si="4"/>
        <v>349.86931966976226</v>
      </c>
      <c r="AM47" s="59">
        <f t="shared" si="5"/>
        <v>643.20265300309552</v>
      </c>
      <c r="AN47" s="59">
        <f ca="1">AVERAGE(OFFSET($AM$3,0,0,'Données projet'!$E$10+1,1))-AVERAGE(OFFSET($H$3,0,0,'Données projet'!$E$10+1,1))</f>
        <v>337.10499990421835</v>
      </c>
      <c r="AO47" s="59">
        <f t="shared" si="36"/>
        <v>277.4254079562175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126.92307692307692</v>
      </c>
      <c r="L48" s="12">
        <f>VLOOKUP(A48,'Données projet'!$A$35:$I$55,9,0)</f>
        <v>2.4358974358974366</v>
      </c>
      <c r="M48" s="12">
        <f t="array" ref="M48">INDEX(L:L,MIN(IF(ISNUMBER(L48:L244),ROW(L48:L244),"")))</f>
        <v>2.4358974358974366</v>
      </c>
      <c r="N48" s="13">
        <f>IF('Données projet'!$A$36&gt;35,N47+M48-V47,IF(A48&lt;'Données projet'!$A$36,$K$205^A48,IF(A48='Données projet'!$A$36,'Données projet'!$B$36,N47+M48-V47)))</f>
        <v>126.92307692307688</v>
      </c>
      <c r="O48" s="13">
        <f>N48*VLOOKUP('Données projet'!$B$9,Paramètres!$A$1:$I$89,3,0)*VLOOKUP('Données projet'!$B$9,Paramètres!$A$1:$I$89,5,0)</f>
        <v>114.83999999999996</v>
      </c>
      <c r="P48" s="13">
        <f t="shared" si="33"/>
        <v>30.468452867252772</v>
      </c>
      <c r="Q48" s="20">
        <f t="shared" si="53"/>
        <v>253.07888874379844</v>
      </c>
      <c r="R48" s="59">
        <f t="shared" si="0"/>
        <v>546.41222207713179</v>
      </c>
      <c r="S48" s="59">
        <f ca="1">AVERAGE(OFFSET($R$3,0,0,'Données projet'!$E$9+1,1))-AVERAGE(OFFSET($H$3,0,0,'Données projet'!$E$9+1,1))</f>
        <v>167.24886661350195</v>
      </c>
      <c r="T48" s="59">
        <f t="shared" si="34"/>
        <v>234.73100822629613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126.92307692307692</v>
      </c>
      <c r="W48" s="16">
        <f>IF(ISNA(VLOOKUP(A48,'Données projet'!$A$35:$I$55,5,0)),0%,VLOOKUP(A48,'Données projet'!$A$35:$I$55,5,0)*VLOOKUP('Données projet'!$B$9,Paramètres!$A$1:$I$89,7,0))</f>
        <v>0.03</v>
      </c>
      <c r="X48" s="16">
        <f>IF(ISNA(VLOOKUP(A48,'Données projet'!$A$35:$I$55,6,0)),0%,VLOOKUP(A48,'Données projet'!$A$35:$I$55,6,0)*VLOOKUP('Données projet'!$B$9,Paramètres!$A$1:$I$89,7,0))</f>
        <v>0.12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4.5634230734887122</v>
      </c>
      <c r="AA48" s="21">
        <f>EXP(-LN(2)/25)*AA47+(1-EXP(-LN(2)/25))/(LN(2)/25)*Calculateur!V48*Calculateur!X48*VLOOKUP('Données projet'!$B$9,Paramètres!$A$1:$I$89,3,0)*0.475*44/12</f>
        <v>17.690078113996712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22.253501187485426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7.7715686274509812</v>
      </c>
      <c r="AI48" s="13">
        <f>IF('Données projet'!$A$62&gt;35,AI47+AH48-AQ47,IF(A48&lt;'Données projet'!$A$62,$AF$205^A48,IF(A48='Données projet'!$A$62,'Données projet'!$B$62,AI47+AH48-AQ47)))</f>
        <v>349.72058823529397</v>
      </c>
      <c r="AJ48" s="13">
        <f>AI48*VLOOKUP('Données projet'!$B$10,Paramètres!$A$1:$I$89,3,0)*VLOOKUP('Données projet'!$B$10,Paramètres!$A$1:$I$89,5,0)</f>
        <v>163.66923529411758</v>
      </c>
      <c r="AK48" s="13">
        <f t="shared" si="35"/>
        <v>41.669026390086572</v>
      </c>
      <c r="AL48" s="20">
        <f t="shared" si="4"/>
        <v>357.63080576665556</v>
      </c>
      <c r="AM48" s="59">
        <f t="shared" si="5"/>
        <v>650.96413909998887</v>
      </c>
      <c r="AN48" s="59">
        <f ca="1">AVERAGE(OFFSET($AM$3,0,0,'Données projet'!$E$10+1,1))-AVERAGE(OFFSET($H$3,0,0,'Données projet'!$E$10+1,1))</f>
        <v>337.10499990421835</v>
      </c>
      <c r="AO48" s="59">
        <f t="shared" si="36"/>
        <v>277.4254079562175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-4.2632564145606011E-14</v>
      </c>
      <c r="O49" s="13">
        <f>N49*VLOOKUP('Données projet'!$B$9,Paramètres!$A$1:$I$89,3,0)*VLOOKUP('Données projet'!$B$9,Paramètres!$A$1:$I$89,5,0)</f>
        <v>-3.8573944038944318E-14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167.24886661350195</v>
      </c>
      <c r="T49" s="59">
        <f t="shared" si="34"/>
        <v>234.73100822629613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4.4739371304308344</v>
      </c>
      <c r="AA49" s="21">
        <f>EXP(-LN(2)/25)*AA48+(1-EXP(-LN(2)/25))/(LN(2)/25)*Calculateur!V49*Calculateur!X49*VLOOKUP('Données projet'!$B$9,Paramètres!$A$1:$I$89,3,0)*0.475*44/12</f>
        <v>17.206341997688696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21.68027912811953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7.7715686274509812</v>
      </c>
      <c r="AI49" s="13">
        <f>IF('Données projet'!$A$62&gt;35,AI48+AH49-AQ48,IF(A49&lt;'Données projet'!$A$62,$AF$205^A49,IF(A49='Données projet'!$A$62,'Données projet'!$B$62,AI48+AH49-AQ48)))</f>
        <v>357.49215686274493</v>
      </c>
      <c r="AJ49" s="13">
        <f>AI49*VLOOKUP('Données projet'!$B$10,Paramètres!$A$1:$I$89,3,0)*VLOOKUP('Données projet'!$B$10,Paramètres!$A$1:$I$89,5,0)</f>
        <v>167.30632941176464</v>
      </c>
      <c r="AK49" s="13">
        <f t="shared" si="35"/>
        <v>42.486171323937178</v>
      </c>
      <c r="AL49" s="20">
        <f t="shared" si="4"/>
        <v>365.388605448014</v>
      </c>
      <c r="AM49" s="59">
        <f t="shared" si="5"/>
        <v>658.72193878134726</v>
      </c>
      <c r="AN49" s="59">
        <f ca="1">AVERAGE(OFFSET($AM$3,0,0,'Données projet'!$E$10+1,1))-AVERAGE(OFFSET($H$3,0,0,'Données projet'!$E$10+1,1))</f>
        <v>337.10499990421835</v>
      </c>
      <c r="AO49" s="59">
        <f t="shared" si="36"/>
        <v>277.4254079562175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-4.2632564145606011E-14</v>
      </c>
      <c r="O50" s="13">
        <f>N50*VLOOKUP('Données projet'!$B$9,Paramètres!$A$1:$I$89,3,0)*VLOOKUP('Données projet'!$B$9,Paramètres!$A$1:$I$89,5,0)</f>
        <v>-3.8573944038944318E-14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167.24886661350195</v>
      </c>
      <c r="T50" s="59">
        <f t="shared" si="34"/>
        <v>234.73100822629613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4.3862059521352856</v>
      </c>
      <c r="AA50" s="21">
        <f>EXP(-LN(2)/25)*AA49+(1-EXP(-LN(2)/25))/(LN(2)/25)*Calculateur!V50*Calculateur!X50*VLOOKUP('Données projet'!$B$9,Paramètres!$A$1:$I$89,3,0)*0.475*44/12</f>
        <v>16.7358336709197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21.122039623054985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7.7715686274509812</v>
      </c>
      <c r="AI50" s="13">
        <f>IF('Données projet'!$A$62&gt;35,AI49+AH50-AQ49,IF(A50&lt;'Données projet'!$A$62,$AF$205^A50,IF(A50='Données projet'!$A$62,'Données projet'!$B$62,AI49+AH50-AQ49)))</f>
        <v>365.2637254901959</v>
      </c>
      <c r="AJ50" s="13">
        <f>AI50*VLOOKUP('Données projet'!$B$10,Paramètres!$A$1:$I$89,3,0)*VLOOKUP('Données projet'!$B$10,Paramètres!$A$1:$I$89,5,0)</f>
        <v>170.94342352941169</v>
      </c>
      <c r="AK50" s="13">
        <f t="shared" si="35"/>
        <v>43.301250967807881</v>
      </c>
      <c r="AL50" s="20">
        <f t="shared" si="4"/>
        <v>373.14280808265738</v>
      </c>
      <c r="AM50" s="59">
        <f t="shared" si="5"/>
        <v>666.4761414159907</v>
      </c>
      <c r="AN50" s="59">
        <f ca="1">AVERAGE(OFFSET($AM$3,0,0,'Données projet'!$E$10+1,1))-AVERAGE(OFFSET($H$3,0,0,'Données projet'!$E$10+1,1))</f>
        <v>337.10499990421835</v>
      </c>
      <c r="AO50" s="59">
        <f t="shared" si="36"/>
        <v>277.4254079562175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-4.2632564145606011E-14</v>
      </c>
      <c r="O51" s="13">
        <f>N51*VLOOKUP('Données projet'!$B$9,Paramètres!$A$1:$I$89,3,0)*VLOOKUP('Données projet'!$B$9,Paramètres!$A$1:$I$89,5,0)</f>
        <v>-3.8573944038944318E-14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167.24886661350195</v>
      </c>
      <c r="T51" s="59">
        <f t="shared" si="34"/>
        <v>234.73100822629613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4.3001951287353775</v>
      </c>
      <c r="AA51" s="21">
        <f>EXP(-LN(2)/25)*AA50+(1-EXP(-LN(2)/25))/(LN(2)/25)*Calculateur!V51*Calculateur!X51*VLOOKUP('Données projet'!$B$9,Paramètres!$A$1:$I$89,3,0)*0.475*44/12</f>
        <v>16.278191419089158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20.578386547824536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7.7715686274509812</v>
      </c>
      <c r="AI51" s="13">
        <f>IF('Données projet'!$A$62&gt;35,AI50+AH51-AQ50,IF(A51&lt;'Données projet'!$A$62,$AF$205^A51,IF(A51='Données projet'!$A$62,'Données projet'!$B$62,AI50+AH51-AQ50)))</f>
        <v>373.03529411764686</v>
      </c>
      <c r="AJ51" s="13">
        <f>AI51*VLOOKUP('Données projet'!$B$10,Paramètres!$A$1:$I$89,3,0)*VLOOKUP('Données projet'!$B$10,Paramètres!$A$1:$I$89,5,0)</f>
        <v>174.58051764705874</v>
      </c>
      <c r="AK51" s="13">
        <f t="shared" si="35"/>
        <v>44.114314325696256</v>
      </c>
      <c r="AL51" s="20">
        <f t="shared" si="4"/>
        <v>380.89349901921491</v>
      </c>
      <c r="AM51" s="59">
        <f t="shared" si="5"/>
        <v>674.22683235254817</v>
      </c>
      <c r="AN51" s="59">
        <f ca="1">AVERAGE(OFFSET($AM$3,0,0,'Données projet'!$E$10+1,1))-AVERAGE(OFFSET($H$3,0,0,'Données projet'!$E$10+1,1))</f>
        <v>337.10499990421835</v>
      </c>
      <c r="AO51" s="59">
        <f t="shared" si="36"/>
        <v>277.4254079562175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-4.2632564145606011E-14</v>
      </c>
      <c r="O52" s="13">
        <f>N52*VLOOKUP('Données projet'!$B$9,Paramètres!$A$1:$I$89,3,0)*VLOOKUP('Données projet'!$B$9,Paramètres!$A$1:$I$89,5,0)</f>
        <v>-3.8573944038944318E-14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167.24886661350195</v>
      </c>
      <c r="T52" s="59">
        <f t="shared" si="34"/>
        <v>234.73100822629613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4.2158709251209192</v>
      </c>
      <c r="AA52" s="21">
        <f>EXP(-LN(2)/25)*AA51+(1-EXP(-LN(2)/25))/(LN(2)/25)*Calculateur!V52*Calculateur!X52*VLOOKUP('Données projet'!$B$9,Paramètres!$A$1:$I$89,3,0)*0.475*44/12</f>
        <v>15.833063418701283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20.048934343822204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7.7715686274509812</v>
      </c>
      <c r="AI52" s="13">
        <f>IF('Données projet'!$A$62&gt;35,AI51+AH52-AQ51,IF(A52&lt;'Données projet'!$A$62,$AF$205^A52,IF(A52='Données projet'!$A$62,'Données projet'!$B$62,AI51+AH52-AQ51)))</f>
        <v>380.80686274509782</v>
      </c>
      <c r="AJ52" s="13">
        <f>AI52*VLOOKUP('Données projet'!$B$10,Paramètres!$A$1:$I$89,3,0)*VLOOKUP('Données projet'!$B$10,Paramètres!$A$1:$I$89,5,0)</f>
        <v>178.21761176470577</v>
      </c>
      <c r="AK52" s="13">
        <f t="shared" si="35"/>
        <v>44.925408243080945</v>
      </c>
      <c r="AL52" s="20">
        <f t="shared" si="4"/>
        <v>388.64075984689515</v>
      </c>
      <c r="AM52" s="59">
        <f t="shared" si="5"/>
        <v>681.97409318022846</v>
      </c>
      <c r="AN52" s="59">
        <f ca="1">AVERAGE(OFFSET($AM$3,0,0,'Données projet'!$E$10+1,1))-AVERAGE(OFFSET($H$3,0,0,'Données projet'!$E$10+1,1))</f>
        <v>337.10499990421835</v>
      </c>
      <c r="AO52" s="59">
        <f t="shared" si="36"/>
        <v>277.4254079562175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-4.2632564145606011E-14</v>
      </c>
      <c r="O53" s="13">
        <f>N53*VLOOKUP('Données projet'!$B$9,Paramètres!$A$1:$I$89,3,0)*VLOOKUP('Données projet'!$B$9,Paramètres!$A$1:$I$89,5,0)</f>
        <v>-3.8573944038944318E-14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167.24886661350195</v>
      </c>
      <c r="T53" s="59">
        <f t="shared" si="34"/>
        <v>234.73100822629613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4.1332002677066546</v>
      </c>
      <c r="AA53" s="21">
        <f>EXP(-LN(2)/25)*AA52+(1-EXP(-LN(2)/25))/(LN(2)/25)*Calculateur!V53*Calculateur!X53*VLOOKUP('Données projet'!$B$9,Paramètres!$A$1:$I$89,3,0)*0.475*44/12</f>
        <v>15.400107466892278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19.533307734598932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7.7715686274509812</v>
      </c>
      <c r="AI53" s="13">
        <f>IF('Données projet'!$A$62&gt;35,AI52+AH53-AQ52,IF(A53&lt;'Données projet'!$A$62,$AF$205^A53,IF(A53='Données projet'!$A$62,'Données projet'!$B$62,AI52+AH53-AQ52)))</f>
        <v>388.57843137254878</v>
      </c>
      <c r="AJ53" s="13">
        <f>AI53*VLOOKUP('Données projet'!$B$10,Paramètres!$A$1:$I$89,3,0)*VLOOKUP('Données projet'!$B$10,Paramètres!$A$1:$I$89,5,0)</f>
        <v>181.85470588235282</v>
      </c>
      <c r="AK53" s="13">
        <f t="shared" si="35"/>
        <v>45.734577544078526</v>
      </c>
      <c r="AL53" s="20">
        <f t="shared" si="4"/>
        <v>396.38466863436787</v>
      </c>
      <c r="AM53" s="59">
        <f t="shared" si="5"/>
        <v>689.71800196770118</v>
      </c>
      <c r="AN53" s="59">
        <f ca="1">AVERAGE(OFFSET($AM$3,0,0,'Données projet'!$E$10+1,1))-AVERAGE(OFFSET($H$3,0,0,'Données projet'!$E$10+1,1))</f>
        <v>337.10499990421835</v>
      </c>
      <c r="AO53" s="59">
        <f t="shared" si="36"/>
        <v>277.4254079562175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-4.2632564145606011E-14</v>
      </c>
      <c r="O54" s="13">
        <f>N54*VLOOKUP('Données projet'!$B$9,Paramètres!$A$1:$I$89,3,0)*VLOOKUP('Données projet'!$B$9,Paramètres!$A$1:$I$89,5,0)</f>
        <v>-3.8573944038944318E-14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167.24886661350195</v>
      </c>
      <c r="T54" s="59">
        <f t="shared" si="34"/>
        <v>234.73100822629613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4.0521507314601619</v>
      </c>
      <c r="AA54" s="21">
        <f>EXP(-LN(2)/25)*AA53+(1-EXP(-LN(2)/25))/(LN(2)/25)*Calculateur!V54*Calculateur!X54*VLOOKUP('Données projet'!$B$9,Paramètres!$A$1:$I$89,3,0)*0.475*44/12</f>
        <v>14.978990718353653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19.031141449813816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396.35</v>
      </c>
      <c r="AG54" s="12">
        <f>VLOOKUP(A54,'Données projet'!$A$61:$I$81,9,0)</f>
        <v>7.7715686274509812</v>
      </c>
      <c r="AH54" s="12">
        <f t="array" ref="AH54">INDEX(AG:AG,MIN(IF(ISNUMBER(AG54:AG250),ROW(AG54:AG250),"")))</f>
        <v>7.7715686274509812</v>
      </c>
      <c r="AI54" s="13">
        <f>IF('Données projet'!$A$62&gt;35,AI53+AH54-AQ53,IF(A54&lt;'Données projet'!$A$62,$AF$205^A54,IF(A54='Données projet'!$A$62,'Données projet'!$B$62,AI53+AH54-AQ53)))</f>
        <v>396.34999999999974</v>
      </c>
      <c r="AJ54" s="13">
        <f>AI54*VLOOKUP('Données projet'!$B$10,Paramètres!$A$1:$I$89,3,0)*VLOOKUP('Données projet'!$B$10,Paramètres!$A$1:$I$89,5,0)</f>
        <v>185.49179999999987</v>
      </c>
      <c r="AK54" s="13">
        <f t="shared" si="35"/>
        <v>46.541865157318107</v>
      </c>
      <c r="AL54" s="20">
        <f t="shared" si="4"/>
        <v>404.12530014899545</v>
      </c>
      <c r="AM54" s="59">
        <f t="shared" si="5"/>
        <v>697.45863348232876</v>
      </c>
      <c r="AN54" s="59">
        <f ca="1">AVERAGE(OFFSET($AM$3,0,0,'Données projet'!$E$10+1,1))-AVERAGE(OFFSET($H$3,0,0,'Données projet'!$E$10+1,1))</f>
        <v>337.10499990421835</v>
      </c>
      <c r="AO54" s="59">
        <f t="shared" si="36"/>
        <v>277.4254079562175</v>
      </c>
      <c r="AP54" s="15">
        <f>IF(ISNA(VLOOKUP(A54,'Données projet'!$A$61:$I$81,3,0)),0,VLOOKUP(A54,'Données projet'!$A$61:$I$81,3,0))</f>
        <v>1</v>
      </c>
      <c r="AQ54" s="15">
        <f>IF(ISNA(VLOOKUP(A54,'Données projet'!$A$61:$I$81,4,0)),0,VLOOKUP(A54,'Données projet'!$A$61:$I$81,4,0))</f>
        <v>173.97000000000003</v>
      </c>
      <c r="AR54" s="16">
        <f>IF(ISNA(VLOOKUP(A54,'Données projet'!$A$61:$I$81,5,0)),0%,VLOOKUP(A54,'Données projet'!$A$61:$I$81,5,0)*VLOOKUP('Données projet'!$B$10,Paramètres!$A$1:$I$89,7,0))</f>
        <v>0.13750000000000001</v>
      </c>
      <c r="AS54" s="16">
        <f>IF(ISNA(VLOOKUP(A54,'Données projet'!$A$61:$I$81,6,0)),0%,VLOOKUP(A54,'Données projet'!$A$61:$I$81,6,0)*VLOOKUP('Données projet'!$B$10,Paramètres!$A$1:$I$89,7,0))</f>
        <v>0.20350000000000001</v>
      </c>
      <c r="AT54" s="16">
        <f>IF(ISNA(VLOOKUP(A54,'Données projet'!$A$61:$I$81,7,0)),0%,VLOOKUP(A54,'Données projet'!$A$61:$I$81,7,0))</f>
        <v>0.38</v>
      </c>
      <c r="AU54" s="21">
        <f>EXP(-LN(2)/35)*AU53+(1-EXP(-LN(2)/35))/(LN(2)/35)*AQ54*AR54*VLOOKUP('Données projet'!$B$10,Paramètres!$A$1:$I$89,3,0)*0.475*44/12</f>
        <v>14.850848618429765</v>
      </c>
      <c r="AV54" s="21">
        <f>EXP(-LN(2)/25)*AV53+(1-EXP(-LN(2)/25))/(LN(2)/25)*Calculateur!AQ54*Calculateur!AS54*VLOOKUP('Données projet'!$B$10,Paramètres!$A$1:$I$89,3,0)*0.475*44/12</f>
        <v>21.892715249827038</v>
      </c>
      <c r="AW54" s="21">
        <f>EXP(-LN(2)/2)*AW53+(1-EXP(-LN(2)/2))/(LN(2)/2)*AQ54*AT54*VLOOKUP('Données projet'!$B$10,Paramètres!$A$1:$I$89,3,0)*0.475*44/12</f>
        <v>35.029936686072809</v>
      </c>
      <c r="AX54" s="21">
        <f t="shared" si="6"/>
        <v>71.773500554329615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-4.2632564145606011E-14</v>
      </c>
      <c r="O55" s="13">
        <f>N55*VLOOKUP('Données projet'!$B$9,Paramètres!$A$1:$I$89,3,0)*VLOOKUP('Données projet'!$B$9,Paramètres!$A$1:$I$89,5,0)</f>
        <v>-3.8573944038944318E-14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167.24886661350195</v>
      </c>
      <c r="T55" s="59">
        <f t="shared" si="34"/>
        <v>234.73100822629613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3.9726905271841271</v>
      </c>
      <c r="AA55" s="21">
        <f>EXP(-LN(2)/25)*AA54+(1-EXP(-LN(2)/25))/(LN(2)/25)*Calculateur!V55*Calculateur!X55*VLOOKUP('Données projet'!$B$9,Paramètres!$A$1:$I$89,3,0)*0.475*44/12</f>
        <v>14.569389429449386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18.542079956633511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12.999000000000001</v>
      </c>
      <c r="AI55" s="13">
        <f>IF('Données projet'!$A$62&gt;35,AI54+AH55-AQ54,IF(A55&lt;'Données projet'!$A$62,$AF$205^A55,IF(A55='Données projet'!$A$62,'Données projet'!$B$62,AI54+AH55-AQ54)))</f>
        <v>235.37899999999973</v>
      </c>
      <c r="AJ55" s="13">
        <f>AI55*VLOOKUP('Données projet'!$B$10,Paramètres!$A$1:$I$89,3,0)*VLOOKUP('Données projet'!$B$10,Paramètres!$A$1:$I$89,5,0)</f>
        <v>110.15737199999988</v>
      </c>
      <c r="AK55" s="13">
        <f t="shared" si="35"/>
        <v>29.36805955758571</v>
      </c>
      <c r="AL55" s="20">
        <f t="shared" si="4"/>
        <v>243.00679329612822</v>
      </c>
      <c r="AM55" s="59">
        <f t="shared" si="5"/>
        <v>536.34012662946157</v>
      </c>
      <c r="AN55" s="59">
        <f ca="1">AVERAGE(OFFSET($AM$3,0,0,'Données projet'!$E$10+1,1))-AVERAGE(OFFSET($H$3,0,0,'Données projet'!$E$10+1,1))</f>
        <v>337.10499990421835</v>
      </c>
      <c r="AO55" s="59">
        <f t="shared" si="36"/>
        <v>277.4254079562175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14.5596325351456</v>
      </c>
      <c r="AV55" s="21">
        <f>EXP(-LN(2)/25)*AV54+(1-EXP(-LN(2)/25))/(LN(2)/25)*Calculateur!AQ55*Calculateur!AS55*VLOOKUP('Données projet'!$B$10,Paramètres!$A$1:$I$89,3,0)*0.475*44/12</f>
        <v>21.294057800032657</v>
      </c>
      <c r="AW55" s="21">
        <f>EXP(-LN(2)/2)*AW54+(1-EXP(-LN(2)/2))/(LN(2)/2)*AQ55*AT55*VLOOKUP('Données projet'!$B$10,Paramètres!$A$1:$I$89,3,0)*0.475*44/12</f>
        <v>24.769905775257502</v>
      </c>
      <c r="AX55" s="21">
        <f t="shared" si="6"/>
        <v>60.623596110435756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-4.2632564145606011E-14</v>
      </c>
      <c r="O56" s="13">
        <f>N56*VLOOKUP('Données projet'!$B$9,Paramètres!$A$1:$I$89,3,0)*VLOOKUP('Données projet'!$B$9,Paramètres!$A$1:$I$89,5,0)</f>
        <v>-3.8573944038944318E-14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167.24886661350195</v>
      </c>
      <c r="T56" s="59">
        <f t="shared" si="34"/>
        <v>234.73100822629613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3.8947884890480067</v>
      </c>
      <c r="AA56" s="21">
        <f>EXP(-LN(2)/25)*AA55+(1-EXP(-LN(2)/25))/(LN(2)/25)*Calculateur!V56*Calculateur!X56*VLOOKUP('Données projet'!$B$9,Paramètres!$A$1:$I$89,3,0)*0.475*44/12</f>
        <v>14.170988709330201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18.065777198378207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12.999000000000001</v>
      </c>
      <c r="AI56" s="13">
        <f>IF('Données projet'!$A$62&gt;35,AI55+AH56-AQ55,IF(A56&lt;'Données projet'!$A$62,$AF$205^A56,IF(A56='Données projet'!$A$62,'Données projet'!$B$62,AI55+AH56-AQ55)))</f>
        <v>248.37799999999973</v>
      </c>
      <c r="AJ56" s="13">
        <f>AI56*VLOOKUP('Données projet'!$B$10,Paramètres!$A$1:$I$89,3,0)*VLOOKUP('Données projet'!$B$10,Paramètres!$A$1:$I$89,5,0)</f>
        <v>116.24090399999987</v>
      </c>
      <c r="AK56" s="13">
        <f t="shared" si="35"/>
        <v>30.796634482547404</v>
      </c>
      <c r="AL56" s="20">
        <f t="shared" si="4"/>
        <v>256.09037952376985</v>
      </c>
      <c r="AM56" s="59">
        <f t="shared" si="5"/>
        <v>549.42371285710317</v>
      </c>
      <c r="AN56" s="59">
        <f ca="1">AVERAGE(OFFSET($AM$3,0,0,'Données projet'!$E$10+1,1))-AVERAGE(OFFSET($H$3,0,0,'Données projet'!$E$10+1,1))</f>
        <v>337.10499990421835</v>
      </c>
      <c r="AO56" s="59">
        <f t="shared" si="36"/>
        <v>277.4254079562175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14.274127021630365</v>
      </c>
      <c r="AV56" s="21">
        <f>EXP(-LN(2)/25)*AV55+(1-EXP(-LN(2)/25))/(LN(2)/25)*Calculateur!AQ56*Calculateur!AS56*VLOOKUP('Données projet'!$B$10,Paramètres!$A$1:$I$89,3,0)*0.475*44/12</f>
        <v>20.711770669684935</v>
      </c>
      <c r="AW56" s="21">
        <f>EXP(-LN(2)/2)*AW55+(1-EXP(-LN(2)/2))/(LN(2)/2)*AQ56*AT56*VLOOKUP('Données projet'!$B$10,Paramètres!$A$1:$I$89,3,0)*0.475*44/12</f>
        <v>17.514968343036408</v>
      </c>
      <c r="AX56" s="21">
        <f t="shared" si="6"/>
        <v>52.500866034351709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-4.2632564145606011E-14</v>
      </c>
      <c r="O57" s="13">
        <f>N57*VLOOKUP('Données projet'!$B$9,Paramètres!$A$1:$I$89,3,0)*VLOOKUP('Données projet'!$B$9,Paramètres!$A$1:$I$89,5,0)</f>
        <v>-3.8573944038944318E-14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167.24886661350195</v>
      </c>
      <c r="T57" s="59">
        <f t="shared" si="34"/>
        <v>234.73100822629613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3.8184140623641838</v>
      </c>
      <c r="AA57" s="21">
        <f>EXP(-LN(2)/25)*AA56+(1-EXP(-LN(2)/25))/(LN(2)/25)*Calculateur!V57*Calculateur!X57*VLOOKUP('Données projet'!$B$9,Paramètres!$A$1:$I$89,3,0)*0.475*44/12</f>
        <v>13.783482277853659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17.601896340217841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12.999000000000001</v>
      </c>
      <c r="AI57" s="13">
        <f>IF('Données projet'!$A$62&gt;35,AI56+AH57-AQ56,IF(A57&lt;'Données projet'!$A$62,$AF$205^A57,IF(A57='Données projet'!$A$62,'Données projet'!$B$62,AI56+AH57-AQ56)))</f>
        <v>261.37699999999973</v>
      </c>
      <c r="AJ57" s="13">
        <f>AI57*VLOOKUP('Données projet'!$B$10,Paramètres!$A$1:$I$89,3,0)*VLOOKUP('Données projet'!$B$10,Paramètres!$A$1:$I$89,5,0)</f>
        <v>122.32443599999988</v>
      </c>
      <c r="AK57" s="13">
        <f t="shared" si="35"/>
        <v>32.216529002111294</v>
      </c>
      <c r="AL57" s="20">
        <f t="shared" si="4"/>
        <v>269.15884737867697</v>
      </c>
      <c r="AM57" s="59">
        <f t="shared" si="5"/>
        <v>562.49218071201028</v>
      </c>
      <c r="AN57" s="59">
        <f ca="1">AVERAGE(OFFSET($AM$3,0,0,'Données projet'!$E$10+1,1))-AVERAGE(OFFSET($H$3,0,0,'Données projet'!$E$10+1,1))</f>
        <v>337.10499990421835</v>
      </c>
      <c r="AO57" s="59">
        <f t="shared" si="36"/>
        <v>277.4254079562175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13.994220097093995</v>
      </c>
      <c r="AV57" s="21">
        <f>EXP(-LN(2)/25)*AV56+(1-EXP(-LN(2)/25))/(LN(2)/25)*Calculateur!AQ57*Calculateur!AS57*VLOOKUP('Données projet'!$B$10,Paramètres!$A$1:$I$89,3,0)*0.475*44/12</f>
        <v>20.145406211537718</v>
      </c>
      <c r="AW57" s="21">
        <f>EXP(-LN(2)/2)*AW56+(1-EXP(-LN(2)/2))/(LN(2)/2)*AQ57*AT57*VLOOKUP('Données projet'!$B$10,Paramètres!$A$1:$I$89,3,0)*0.475*44/12</f>
        <v>12.384952887628753</v>
      </c>
      <c r="AX57" s="21">
        <f t="shared" si="6"/>
        <v>46.524579196260461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-4.2632564145606011E-14</v>
      </c>
      <c r="O58" s="13">
        <f>N58*VLOOKUP('Données projet'!$B$9,Paramètres!$A$1:$I$89,3,0)*VLOOKUP('Données projet'!$B$9,Paramètres!$A$1:$I$89,5,0)</f>
        <v>-3.8573944038944318E-14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167.24886661350195</v>
      </c>
      <c r="T58" s="59">
        <f t="shared" si="34"/>
        <v>234.73100822629613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3.7435372916038303</v>
      </c>
      <c r="AA58" s="21">
        <f>EXP(-LN(2)/25)*AA57+(1-EXP(-LN(2)/25))/(LN(2)/25)*Calculateur!V58*Calculateur!X58*VLOOKUP('Données projet'!$B$9,Paramètres!$A$1:$I$89,3,0)*0.475*44/12</f>
        <v>13.406572230123921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17.150109521727749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12.999000000000001</v>
      </c>
      <c r="AI58" s="13">
        <f>IF('Données projet'!$A$62&gt;35,AI57+AH58-AQ57,IF(A58&lt;'Données projet'!$A$62,$AF$205^A58,IF(A58='Données projet'!$A$62,'Données projet'!$B$62,AI57+AH58-AQ57)))</f>
        <v>274.37599999999975</v>
      </c>
      <c r="AJ58" s="13">
        <f>AI58*VLOOKUP('Données projet'!$B$10,Paramètres!$A$1:$I$89,3,0)*VLOOKUP('Données projet'!$B$10,Paramètres!$A$1:$I$89,5,0)</f>
        <v>128.4079679999999</v>
      </c>
      <c r="AK58" s="13">
        <f t="shared" si="35"/>
        <v>33.628224080487712</v>
      </c>
      <c r="AL58" s="20">
        <f t="shared" si="4"/>
        <v>282.21303454018255</v>
      </c>
      <c r="AM58" s="59">
        <f t="shared" si="5"/>
        <v>575.54636787351592</v>
      </c>
      <c r="AN58" s="59">
        <f ca="1">AVERAGE(OFFSET($AM$3,0,0,'Données projet'!$E$10+1,1))-AVERAGE(OFFSET($H$3,0,0,'Données projet'!$E$10+1,1))</f>
        <v>337.10499990421835</v>
      </c>
      <c r="AO58" s="59">
        <f t="shared" si="36"/>
        <v>277.4254079562175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13.719801976621417</v>
      </c>
      <c r="AV58" s="21">
        <f>EXP(-LN(2)/25)*AV57+(1-EXP(-LN(2)/25))/(LN(2)/25)*Calculateur!AQ58*Calculateur!AS58*VLOOKUP('Données projet'!$B$10,Paramètres!$A$1:$I$89,3,0)*0.475*44/12</f>
        <v>19.594529019282351</v>
      </c>
      <c r="AW58" s="21">
        <f>EXP(-LN(2)/2)*AW57+(1-EXP(-LN(2)/2))/(LN(2)/2)*AQ58*AT58*VLOOKUP('Données projet'!$B$10,Paramètres!$A$1:$I$89,3,0)*0.475*44/12</f>
        <v>8.7574841715182057</v>
      </c>
      <c r="AX58" s="21">
        <f t="shared" si="6"/>
        <v>42.071815167421974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-4.2632564145606011E-14</v>
      </c>
      <c r="O59" s="13">
        <f>N59*VLOOKUP('Données projet'!$B$9,Paramètres!$A$1:$I$89,3,0)*VLOOKUP('Données projet'!$B$9,Paramètres!$A$1:$I$89,5,0)</f>
        <v>-3.8573944038944318E-14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167.24886661350195</v>
      </c>
      <c r="T59" s="59">
        <f t="shared" si="34"/>
        <v>234.73100822629613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3.6701288086477666</v>
      </c>
      <c r="AA59" s="21">
        <f>EXP(-LN(2)/25)*AA58+(1-EXP(-LN(2)/25))/(LN(2)/25)*Calculateur!V59*Calculateur!X59*VLOOKUP('Données projet'!$B$9,Paramètres!$A$1:$I$89,3,0)*0.475*44/12</f>
        <v>13.03996880747019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16.710097616117956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12.999000000000001</v>
      </c>
      <c r="AI59" s="13">
        <f>IF('Données projet'!$A$62&gt;35,AI58+AH59-AQ58,IF(A59&lt;'Données projet'!$A$62,$AF$205^A59,IF(A59='Données projet'!$A$62,'Données projet'!$B$62,AI58+AH59-AQ58)))</f>
        <v>287.37499999999977</v>
      </c>
      <c r="AJ59" s="13">
        <f>AI59*VLOOKUP('Données projet'!$B$10,Paramètres!$A$1:$I$89,3,0)*VLOOKUP('Données projet'!$B$10,Paramètres!$A$1:$I$89,5,0)</f>
        <v>134.49149999999989</v>
      </c>
      <c r="AK59" s="13">
        <f t="shared" si="35"/>
        <v>35.032152533778529</v>
      </c>
      <c r="AL59" s="20">
        <f t="shared" si="4"/>
        <v>295.25369482966408</v>
      </c>
      <c r="AM59" s="59">
        <f t="shared" si="5"/>
        <v>588.5870281629974</v>
      </c>
      <c r="AN59" s="59">
        <f ca="1">AVERAGE(OFFSET($AM$3,0,0,'Données projet'!$E$10+1,1))-AVERAGE(OFFSET($H$3,0,0,'Données projet'!$E$10+1,1))</f>
        <v>337.10499990421835</v>
      </c>
      <c r="AO59" s="59">
        <f t="shared" si="36"/>
        <v>277.4254079562175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13.45076502811278</v>
      </c>
      <c r="AV59" s="21">
        <f>EXP(-LN(2)/25)*AV58+(1-EXP(-LN(2)/25))/(LN(2)/25)*Calculateur!AQ59*Calculateur!AS59*VLOOKUP('Données projet'!$B$10,Paramètres!$A$1:$I$89,3,0)*0.475*44/12</f>
        <v>19.058715592818579</v>
      </c>
      <c r="AW59" s="21">
        <f>EXP(-LN(2)/2)*AW58+(1-EXP(-LN(2)/2))/(LN(2)/2)*AQ59*AT59*VLOOKUP('Données projet'!$B$10,Paramètres!$A$1:$I$89,3,0)*0.475*44/12</f>
        <v>6.1924764438143773</v>
      </c>
      <c r="AX59" s="21">
        <f t="shared" si="6"/>
        <v>38.701957064745734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-4.2632564145606011E-14</v>
      </c>
      <c r="O60" s="13">
        <f>N60*VLOOKUP('Données projet'!$B$9,Paramètres!$A$1:$I$89,3,0)*VLOOKUP('Données projet'!$B$9,Paramètres!$A$1:$I$89,5,0)</f>
        <v>-3.8573944038944318E-14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167.24886661350195</v>
      </c>
      <c r="T60" s="59">
        <f t="shared" si="34"/>
        <v>234.73100822629613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3.5981598212677182</v>
      </c>
      <c r="AA60" s="21">
        <f>EXP(-LN(2)/25)*AA59+(1-EXP(-LN(2)/25))/(LN(2)/25)*Calculateur!V60*Calculateur!X60*VLOOKUP('Données projet'!$B$9,Paramètres!$A$1:$I$89,3,0)*0.475*44/12</f>
        <v>12.683390174687762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16.28154999595548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12.999000000000001</v>
      </c>
      <c r="AI60" s="13">
        <f>IF('Données projet'!$A$62&gt;35,AI59+AH60-AQ59,IF(A60&lt;'Données projet'!$A$62,$AF$205^A60,IF(A60='Données projet'!$A$62,'Données projet'!$B$62,AI59+AH60-AQ59)))</f>
        <v>300.3739999999998</v>
      </c>
      <c r="AJ60" s="13">
        <f>AI60*VLOOKUP('Données projet'!$B$10,Paramètres!$A$1:$I$89,3,0)*VLOOKUP('Données projet'!$B$10,Paramètres!$A$1:$I$89,5,0)</f>
        <v>140.57503199999991</v>
      </c>
      <c r="AK60" s="13">
        <f t="shared" si="35"/>
        <v>36.42870580902472</v>
      </c>
      <c r="AL60" s="20">
        <f t="shared" si="4"/>
        <v>308.28151001738462</v>
      </c>
      <c r="AM60" s="59">
        <f t="shared" si="5"/>
        <v>601.61484335071793</v>
      </c>
      <c r="AN60" s="59">
        <f ca="1">AVERAGE(OFFSET($AM$3,0,0,'Données projet'!$E$10+1,1))-AVERAGE(OFFSET($H$3,0,0,'Données projet'!$E$10+1,1))</f>
        <v>337.10499990421835</v>
      </c>
      <c r="AO60" s="59">
        <f t="shared" si="36"/>
        <v>277.4254079562175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13.187003730068062</v>
      </c>
      <c r="AV60" s="21">
        <f>EXP(-LN(2)/25)*AV59+(1-EXP(-LN(2)/25))/(LN(2)/25)*Calculateur!AQ60*Calculateur!AS60*VLOOKUP('Données projet'!$B$10,Paramètres!$A$1:$I$89,3,0)*0.475*44/12</f>
        <v>18.537554012678662</v>
      </c>
      <c r="AW60" s="21">
        <f>EXP(-LN(2)/2)*AW59+(1-EXP(-LN(2)/2))/(LN(2)/2)*AQ60*AT60*VLOOKUP('Données projet'!$B$10,Paramètres!$A$1:$I$89,3,0)*0.475*44/12</f>
        <v>4.3787420857591028</v>
      </c>
      <c r="AX60" s="21">
        <f t="shared" si="6"/>
        <v>36.103299828505826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-4.2632564145606011E-14</v>
      </c>
      <c r="O61" s="13">
        <f>N61*VLOOKUP('Données projet'!$B$9,Paramètres!$A$1:$I$89,3,0)*VLOOKUP('Données projet'!$B$9,Paramètres!$A$1:$I$89,5,0)</f>
        <v>-3.8573944038944318E-14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167.24886661350195</v>
      </c>
      <c r="T61" s="59">
        <f t="shared" si="34"/>
        <v>234.73100822629613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3.5276021018334442</v>
      </c>
      <c r="AA61" s="21">
        <f>EXP(-LN(2)/25)*AA60+(1-EXP(-LN(2)/25))/(LN(2)/25)*Calculateur!V61*Calculateur!X61*VLOOKUP('Données projet'!$B$9,Paramètres!$A$1:$I$89,3,0)*0.475*44/12</f>
        <v>12.336562203370425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15.86416430520387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12.999000000000001</v>
      </c>
      <c r="AI61" s="13">
        <f>IF('Données projet'!$A$62&gt;35,AI60+AH61-AQ60,IF(A61&lt;'Données projet'!$A$62,$AF$205^A61,IF(A61='Données projet'!$A$62,'Données projet'!$B$62,AI60+AH61-AQ60)))</f>
        <v>313.37299999999982</v>
      </c>
      <c r="AJ61" s="13">
        <f>AI61*VLOOKUP('Données projet'!$B$10,Paramètres!$A$1:$I$89,3,0)*VLOOKUP('Données projet'!$B$10,Paramètres!$A$1:$I$89,5,0)</f>
        <v>146.6585639999999</v>
      </c>
      <c r="AK61" s="13">
        <f t="shared" si="35"/>
        <v>37.81823955666578</v>
      </c>
      <c r="AL61" s="20">
        <f t="shared" si="4"/>
        <v>321.29709952785942</v>
      </c>
      <c r="AM61" s="59">
        <f t="shared" si="5"/>
        <v>614.63043286119273</v>
      </c>
      <c r="AN61" s="59">
        <f ca="1">AVERAGE(OFFSET($AM$3,0,0,'Données projet'!$E$10+1,1))-AVERAGE(OFFSET($H$3,0,0,'Données projet'!$E$10+1,1))</f>
        <v>337.10499990421835</v>
      </c>
      <c r="AO61" s="59">
        <f t="shared" si="36"/>
        <v>277.4254079562175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12.928414630199494</v>
      </c>
      <c r="AV61" s="21">
        <f>EXP(-LN(2)/25)*AV60+(1-EXP(-LN(2)/25))/(LN(2)/25)*Calculateur!AQ61*Calculateur!AS61*VLOOKUP('Données projet'!$B$10,Paramètres!$A$1:$I$89,3,0)*0.475*44/12</f>
        <v>18.030643623354365</v>
      </c>
      <c r="AW61" s="21">
        <f>EXP(-LN(2)/2)*AW60+(1-EXP(-LN(2)/2))/(LN(2)/2)*AQ61*AT61*VLOOKUP('Données projet'!$B$10,Paramètres!$A$1:$I$89,3,0)*0.475*44/12</f>
        <v>3.0962382219071887</v>
      </c>
      <c r="AX61" s="21">
        <f t="shared" si="6"/>
        <v>34.055296475461049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-4.2632564145606011E-14</v>
      </c>
      <c r="O62" s="13">
        <f>N62*VLOOKUP('Données projet'!$B$9,Paramètres!$A$1:$I$89,3,0)*VLOOKUP('Données projet'!$B$9,Paramètres!$A$1:$I$89,5,0)</f>
        <v>-3.8573944038944318E-14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167.24886661350195</v>
      </c>
      <c r="T62" s="59">
        <f t="shared" si="34"/>
        <v>234.73100822629613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3.458427976241317</v>
      </c>
      <c r="AA62" s="21">
        <f>EXP(-LN(2)/25)*AA61+(1-EXP(-LN(2)/25))/(LN(2)/25)*Calculateur!V62*Calculateur!X62*VLOOKUP('Données projet'!$B$9,Paramètres!$A$1:$I$89,3,0)*0.475*44/12</f>
        <v>11.99921826116765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15.457646237408968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12.999000000000001</v>
      </c>
      <c r="AI62" s="13">
        <f>IF('Données projet'!$A$62&gt;35,AI61+AH62-AQ61,IF(A62&lt;'Données projet'!$A$62,$AF$205^A62,IF(A62='Données projet'!$A$62,'Données projet'!$B$62,AI61+AH62-AQ61)))</f>
        <v>326.37199999999984</v>
      </c>
      <c r="AJ62" s="13">
        <f>AI62*VLOOKUP('Données projet'!$B$10,Paramètres!$A$1:$I$89,3,0)*VLOOKUP('Données projet'!$B$10,Paramètres!$A$1:$I$89,5,0)</f>
        <v>152.74209599999995</v>
      </c>
      <c r="AK62" s="13">
        <f t="shared" si="35"/>
        <v>39.201078252346029</v>
      </c>
      <c r="AL62" s="20">
        <f t="shared" si="4"/>
        <v>334.30102848950258</v>
      </c>
      <c r="AM62" s="59">
        <f t="shared" si="5"/>
        <v>627.6343618228359</v>
      </c>
      <c r="AN62" s="59">
        <f ca="1">AVERAGE(OFFSET($AM$3,0,0,'Données projet'!$E$10+1,1))-AVERAGE(OFFSET($H$3,0,0,'Données projet'!$E$10+1,1))</f>
        <v>337.10499990421835</v>
      </c>
      <c r="AO62" s="59">
        <f t="shared" si="36"/>
        <v>277.4254079562175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12.674896304855572</v>
      </c>
      <c r="AV62" s="21">
        <f>EXP(-LN(2)/25)*AV61+(1-EXP(-LN(2)/25))/(LN(2)/25)*Calculateur!AQ62*Calculateur!AS62*VLOOKUP('Données projet'!$B$10,Paramètres!$A$1:$I$89,3,0)*0.475*44/12</f>
        <v>17.537594725283402</v>
      </c>
      <c r="AW62" s="21">
        <f>EXP(-LN(2)/2)*AW61+(1-EXP(-LN(2)/2))/(LN(2)/2)*AQ62*AT62*VLOOKUP('Données projet'!$B$10,Paramètres!$A$1:$I$89,3,0)*0.475*44/12</f>
        <v>2.1893710428795514</v>
      </c>
      <c r="AX62" s="21">
        <f t="shared" si="6"/>
        <v>32.401862073018528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-4.2632564145606011E-14</v>
      </c>
      <c r="O63" s="13">
        <f>N63*VLOOKUP('Données projet'!$B$9,Paramètres!$A$1:$I$89,3,0)*VLOOKUP('Données projet'!$B$9,Paramètres!$A$1:$I$89,5,0)</f>
        <v>-3.8573944038944318E-14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167.24886661350195</v>
      </c>
      <c r="T63" s="59">
        <f t="shared" si="34"/>
        <v>234.73100822629613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3.3906103130600012</v>
      </c>
      <c r="AA63" s="21">
        <f>EXP(-LN(2)/25)*AA62+(1-EXP(-LN(2)/25))/(LN(2)/25)*Calculateur!V63*Calculateur!X63*VLOOKUP('Données projet'!$B$9,Paramètres!$A$1:$I$89,3,0)*0.475*44/12</f>
        <v>11.671099006804557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15.061709319864558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12.999000000000001</v>
      </c>
      <c r="AI63" s="13">
        <f>IF('Données projet'!$A$62&gt;35,AI62+AH63-AQ62,IF(A63&lt;'Données projet'!$A$62,$AF$205^A63,IF(A63='Données projet'!$A$62,'Données projet'!$B$62,AI62+AH63-AQ62)))</f>
        <v>339.37099999999987</v>
      </c>
      <c r="AJ63" s="13">
        <f>AI63*VLOOKUP('Données projet'!$B$10,Paramètres!$A$1:$I$89,3,0)*VLOOKUP('Données projet'!$B$10,Paramètres!$A$1:$I$89,5,0)</f>
        <v>158.82562799999994</v>
      </c>
      <c r="AK63" s="13">
        <f t="shared" si="35"/>
        <v>40.577519061672213</v>
      </c>
      <c r="AL63" s="20">
        <f t="shared" si="4"/>
        <v>347.2938144657457</v>
      </c>
      <c r="AM63" s="59">
        <f t="shared" si="5"/>
        <v>640.62714779907901</v>
      </c>
      <c r="AN63" s="59">
        <f ca="1">AVERAGE(OFFSET($AM$3,0,0,'Données projet'!$E$10+1,1))-AVERAGE(OFFSET($H$3,0,0,'Données projet'!$E$10+1,1))</f>
        <v>337.10499990421835</v>
      </c>
      <c r="AO63" s="59">
        <f t="shared" si="36"/>
        <v>277.4254079562175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12.426349319240735</v>
      </c>
      <c r="AV63" s="21">
        <f>EXP(-LN(2)/25)*AV62+(1-EXP(-LN(2)/25))/(LN(2)/25)*Calculateur!AQ63*Calculateur!AS63*VLOOKUP('Données projet'!$B$10,Paramètres!$A$1:$I$89,3,0)*0.475*44/12</f>
        <v>17.058028275258504</v>
      </c>
      <c r="AW63" s="21">
        <f>EXP(-LN(2)/2)*AW62+(1-EXP(-LN(2)/2))/(LN(2)/2)*AQ63*AT63*VLOOKUP('Données projet'!$B$10,Paramètres!$A$1:$I$89,3,0)*0.475*44/12</f>
        <v>1.5481191109535943</v>
      </c>
      <c r="AX63" s="21">
        <f t="shared" si="6"/>
        <v>31.032496705452832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-4.2632564145606011E-14</v>
      </c>
      <c r="O64" s="13">
        <f>N64*VLOOKUP('Données projet'!$B$9,Paramètres!$A$1:$I$89,3,0)*VLOOKUP('Données projet'!$B$9,Paramètres!$A$1:$I$89,5,0)</f>
        <v>-3.8573944038944318E-14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167.24886661350195</v>
      </c>
      <c r="T64" s="59">
        <f t="shared" si="34"/>
        <v>234.73100822629613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3.3241225128889806</v>
      </c>
      <c r="AA64" s="21">
        <f>EXP(-LN(2)/25)*AA63+(1-EXP(-LN(2)/25))/(LN(2)/25)*Calculateur!V64*Calculateur!X64*VLOOKUP('Données projet'!$B$9,Paramètres!$A$1:$I$89,3,0)*0.475*44/12</f>
        <v>11.351952190707063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14.676074703596043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>
        <f>VLOOKUP(A64,'Données projet'!$A$61:$I$81,2,0)</f>
        <v>352.37</v>
      </c>
      <c r="AG64" s="12">
        <f>VLOOKUP(A64,'Données projet'!$A$61:$I$81,9,0)</f>
        <v>12.999000000000001</v>
      </c>
      <c r="AH64" s="12">
        <f t="array" ref="AH64">INDEX(AG:AG,MIN(IF(ISNUMBER(AG64:AG260),ROW(AG64:AG260),"")))</f>
        <v>12.999000000000001</v>
      </c>
      <c r="AI64" s="13">
        <f>IF('Données projet'!$A$62&gt;35,AI63+AH64-AQ63,IF(A64&lt;'Données projet'!$A$62,$AF$205^A64,IF(A64='Données projet'!$A$62,'Données projet'!$B$62,AI63+AH64-AQ63)))</f>
        <v>352.36999999999989</v>
      </c>
      <c r="AJ64" s="13">
        <f>AI64*VLOOKUP('Données projet'!$B$10,Paramètres!$A$1:$I$89,3,0)*VLOOKUP('Données projet'!$B$10,Paramètres!$A$1:$I$89,5,0)</f>
        <v>164.90915999999996</v>
      </c>
      <c r="AK64" s="13">
        <f t="shared" si="35"/>
        <v>41.947835096187085</v>
      </c>
      <c r="AL64" s="20">
        <f t="shared" si="4"/>
        <v>360.27593312585913</v>
      </c>
      <c r="AM64" s="59">
        <f t="shared" si="5"/>
        <v>653.60926645919244</v>
      </c>
      <c r="AN64" s="59">
        <f ca="1">AVERAGE(OFFSET($AM$3,0,0,'Données projet'!$E$10+1,1))-AVERAGE(OFFSET($H$3,0,0,'Données projet'!$E$10+1,1))</f>
        <v>337.10499990421835</v>
      </c>
      <c r="AO64" s="59">
        <f t="shared" si="36"/>
        <v>277.4254079562175</v>
      </c>
      <c r="AP64" s="15">
        <f>IF(ISNA(VLOOKUP(A64,'Données projet'!$A$61:$I$81,3,0)),0,VLOOKUP(A64,'Données projet'!$A$61:$I$81,3,0))</f>
        <v>2</v>
      </c>
      <c r="AQ64" s="15">
        <f>IF(ISNA(VLOOKUP(A64,'Données projet'!$A$61:$I$81,4,0)),0,VLOOKUP(A64,'Données projet'!$A$61:$I$81,4,0))</f>
        <v>101.36000000000001</v>
      </c>
      <c r="AR64" s="16">
        <f>IF(ISNA(VLOOKUP(A64,'Données projet'!$A$61:$I$81,5,0)),0%,VLOOKUP(A64,'Données projet'!$A$61:$I$81,5,0)*VLOOKUP('Données projet'!$B$10,Paramètres!$A$1:$I$89,7,0))</f>
        <v>0.33</v>
      </c>
      <c r="AS64" s="16">
        <f>IF(ISNA(VLOOKUP(A64,'Données projet'!$A$61:$I$81,6,0)),0%,VLOOKUP(A64,'Données projet'!$A$61:$I$81,6,0)*VLOOKUP('Données projet'!$B$10,Paramètres!$A$1:$I$89,7,0))</f>
        <v>0.11000000000000001</v>
      </c>
      <c r="AT64" s="16">
        <f>IF(ISNA(VLOOKUP(A64,'Données projet'!$A$61:$I$81,7,0)),0%,VLOOKUP(A64,'Données projet'!$A$61:$I$81,7,0))</f>
        <v>0.2</v>
      </c>
      <c r="AU64" s="21">
        <f>EXP(-LN(2)/35)*AU63+(1-EXP(-LN(2)/35))/(LN(2)/35)*AQ64*AR64*VLOOKUP('Données projet'!$B$10,Paramètres!$A$1:$I$89,3,0)*0.475*44/12</f>
        <v>32.948767113940768</v>
      </c>
      <c r="AV64" s="21">
        <f>EXP(-LN(2)/25)*AV63+(1-EXP(-LN(2)/25))/(LN(2)/25)*Calculateur!AQ64*Calculateur!AS64*VLOOKUP('Données projet'!$B$10,Paramètres!$A$1:$I$89,3,0)*0.475*44/12</f>
        <v>23.486351232712469</v>
      </c>
      <c r="AW64" s="21">
        <f>EXP(-LN(2)/2)*AW63+(1-EXP(-LN(2)/2))/(LN(2)/2)*AQ64*AT64*VLOOKUP('Données projet'!$B$10,Paramètres!$A$1:$I$89,3,0)*0.475*44/12</f>
        <v>11.836508468833424</v>
      </c>
      <c r="AX64" s="21">
        <f t="shared" si="6"/>
        <v>68.27162681548667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-4.2632564145606011E-14</v>
      </c>
      <c r="O65" s="13">
        <f>N65*VLOOKUP('Données projet'!$B$9,Paramètres!$A$1:$I$89,3,0)*VLOOKUP('Données projet'!$B$9,Paramètres!$A$1:$I$89,5,0)</f>
        <v>-3.8573944038944318E-14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167.24886661350195</v>
      </c>
      <c r="T65" s="59">
        <f t="shared" si="34"/>
        <v>234.73100822629613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3.2589384979257603</v>
      </c>
      <c r="AA65" s="21">
        <f>EXP(-LN(2)/25)*AA64+(1-EXP(-LN(2)/25))/(LN(2)/25)*Calculateur!V65*Calculateur!X65*VLOOKUP('Données projet'!$B$9,Paramètres!$A$1:$I$89,3,0)*0.475*44/12</f>
        <v>11.041532461078958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14.300470959004718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11.997500000000002</v>
      </c>
      <c r="AI65" s="13">
        <f>IF('Données projet'!$A$62&gt;35,AI64+AH65-AQ64,IF(A65&lt;'Données projet'!$A$62,$AF$205^A65,IF(A65='Données projet'!$A$62,'Données projet'!$B$62,AI64+AH65-AQ64)))</f>
        <v>263.00749999999988</v>
      </c>
      <c r="AJ65" s="13">
        <f>AI65*VLOOKUP('Données projet'!$B$10,Paramètres!$A$1:$I$89,3,0)*VLOOKUP('Données projet'!$B$10,Paramètres!$A$1:$I$89,5,0)</f>
        <v>123.08750999999994</v>
      </c>
      <c r="AK65" s="13">
        <f t="shared" si="35"/>
        <v>32.394042160547578</v>
      </c>
      <c r="AL65" s="20">
        <f t="shared" si="4"/>
        <v>270.79703667962025</v>
      </c>
      <c r="AM65" s="59">
        <f t="shared" si="5"/>
        <v>564.13037001295356</v>
      </c>
      <c r="AN65" s="59">
        <f ca="1">AVERAGE(OFFSET($AM$3,0,0,'Données projet'!$E$10+1,1))-AVERAGE(OFFSET($H$3,0,0,'Données projet'!$E$10+1,1))</f>
        <v>337.10499990421835</v>
      </c>
      <c r="AO65" s="59">
        <f t="shared" si="36"/>
        <v>277.4254079562175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32.302661887599939</v>
      </c>
      <c r="AV65" s="21">
        <f>EXP(-LN(2)/25)*AV64+(1-EXP(-LN(2)/25))/(LN(2)/25)*Calculateur!AQ65*Calculateur!AS65*VLOOKUP('Données projet'!$B$10,Paramètres!$A$1:$I$89,3,0)*0.475*44/12</f>
        <v>22.844115723160414</v>
      </c>
      <c r="AW65" s="21">
        <f>EXP(-LN(2)/2)*AW64+(1-EXP(-LN(2)/2))/(LN(2)/2)*AQ65*AT65*VLOOKUP('Données projet'!$B$10,Paramètres!$A$1:$I$89,3,0)*0.475*44/12</f>
        <v>8.3696754038841128</v>
      </c>
      <c r="AX65" s="21">
        <f t="shared" si="6"/>
        <v>63.516453014644469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-4.2632564145606011E-14</v>
      </c>
      <c r="O66" s="13">
        <f>N66*VLOOKUP('Données projet'!$B$9,Paramètres!$A$1:$I$89,3,0)*VLOOKUP('Données projet'!$B$9,Paramètres!$A$1:$I$89,5,0)</f>
        <v>-3.8573944038944318E-14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167.24886661350195</v>
      </c>
      <c r="T66" s="59">
        <f t="shared" si="34"/>
        <v>234.73100822629613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3.1950327017376452</v>
      </c>
      <c r="AA66" s="21">
        <f>EXP(-LN(2)/25)*AA65+(1-EXP(-LN(2)/25))/(LN(2)/25)*Calculateur!V66*Calculateur!X66*VLOOKUP('Données projet'!$B$9,Paramètres!$A$1:$I$89,3,0)*0.475*44/12</f>
        <v>10.739601175281798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13.934633877019444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11.997500000000002</v>
      </c>
      <c r="AI66" s="13">
        <f>IF('Données projet'!$A$62&gt;35,AI65+AH66-AQ65,IF(A66&lt;'Données projet'!$A$62,$AF$205^A66,IF(A66='Données projet'!$A$62,'Données projet'!$B$62,AI65+AH66-AQ65)))</f>
        <v>275.00499999999988</v>
      </c>
      <c r="AJ66" s="13">
        <f>AI66*VLOOKUP('Données projet'!$B$10,Paramètres!$A$1:$I$89,3,0)*VLOOKUP('Données projet'!$B$10,Paramètres!$A$1:$I$89,5,0)</f>
        <v>128.70233999999996</v>
      </c>
      <c r="AK66" s="13">
        <f t="shared" si="35"/>
        <v>33.69633335682834</v>
      </c>
      <c r="AL66" s="20">
        <f t="shared" si="4"/>
        <v>282.84435609647596</v>
      </c>
      <c r="AM66" s="59">
        <f t="shared" si="5"/>
        <v>576.17768942980933</v>
      </c>
      <c r="AN66" s="59">
        <f ca="1">AVERAGE(OFFSET($AM$3,0,0,'Données projet'!$E$10+1,1))-AVERAGE(OFFSET($H$3,0,0,'Données projet'!$E$10+1,1))</f>
        <v>337.10499990421835</v>
      </c>
      <c r="AO66" s="59">
        <f t="shared" si="36"/>
        <v>277.4254079562175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31.669226390662377</v>
      </c>
      <c r="AV66" s="21">
        <f>EXP(-LN(2)/25)*AV65+(1-EXP(-LN(2)/25))/(LN(2)/25)*Calculateur!AQ66*Calculateur!AS66*VLOOKUP('Données projet'!$B$10,Paramètres!$A$1:$I$89,3,0)*0.475*44/12</f>
        <v>22.219442177390757</v>
      </c>
      <c r="AW66" s="21">
        <f>EXP(-LN(2)/2)*AW65+(1-EXP(-LN(2)/2))/(LN(2)/2)*AQ66*AT66*VLOOKUP('Données projet'!$B$10,Paramètres!$A$1:$I$89,3,0)*0.475*44/12</f>
        <v>5.9182542344167128</v>
      </c>
      <c r="AX66" s="21">
        <f t="shared" si="6"/>
        <v>59.806922802469849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-4.2632564145606011E-14</v>
      </c>
      <c r="O67" s="13">
        <f>N67*VLOOKUP('Données projet'!$B$9,Paramètres!$A$1:$I$89,3,0)*VLOOKUP('Données projet'!$B$9,Paramètres!$A$1:$I$89,5,0)</f>
        <v>-3.8573944038944318E-14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167.24886661350195</v>
      </c>
      <c r="T67" s="59">
        <f t="shared" si="34"/>
        <v>234.73100822629613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3.1323800592340922</v>
      </c>
      <c r="AA67" s="21">
        <f>EXP(-LN(2)/25)*AA66+(1-EXP(-LN(2)/25))/(LN(2)/25)*Calculateur!V67*Calculateur!X67*VLOOKUP('Données projet'!$B$9,Paramètres!$A$1:$I$89,3,0)*0.475*44/12</f>
        <v>10.445926216372637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13.57830627560673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11.997500000000002</v>
      </c>
      <c r="AI67" s="13">
        <f>IF('Données projet'!$A$62&gt;35,AI66+AH67-AQ66,IF(A67&lt;'Données projet'!$A$62,$AF$205^A67,IF(A67='Données projet'!$A$62,'Données projet'!$B$62,AI66+AH67-AQ66)))</f>
        <v>287.00249999999988</v>
      </c>
      <c r="AJ67" s="13">
        <f>AI67*VLOOKUP('Données projet'!$B$10,Paramètres!$A$1:$I$89,3,0)*VLOOKUP('Données projet'!$B$10,Paramètres!$A$1:$I$89,5,0)</f>
        <v>134.31716999999995</v>
      </c>
      <c r="AK67" s="13">
        <f t="shared" si="35"/>
        <v>34.992025911781333</v>
      </c>
      <c r="AL67" s="20">
        <f t="shared" si="4"/>
        <v>294.88018287968566</v>
      </c>
      <c r="AM67" s="59">
        <f t="shared" si="5"/>
        <v>588.21351621301892</v>
      </c>
      <c r="AN67" s="59">
        <f ca="1">AVERAGE(OFFSET($AM$3,0,0,'Données projet'!$E$10+1,1))-AVERAGE(OFFSET($H$3,0,0,'Données projet'!$E$10+1,1))</f>
        <v>337.10499990421835</v>
      </c>
      <c r="AO67" s="59">
        <f t="shared" si="36"/>
        <v>277.4254079562175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31.048212177462258</v>
      </c>
      <c r="AV67" s="21">
        <f>EXP(-LN(2)/25)*AV66+(1-EXP(-LN(2)/25))/(LN(2)/25)*Calculateur!AQ67*Calculateur!AS67*VLOOKUP('Données projet'!$B$10,Paramètres!$A$1:$I$89,3,0)*0.475*44/12</f>
        <v>21.611850362580327</v>
      </c>
      <c r="AW67" s="21">
        <f>EXP(-LN(2)/2)*AW66+(1-EXP(-LN(2)/2))/(LN(2)/2)*AQ67*AT67*VLOOKUP('Données projet'!$B$10,Paramètres!$A$1:$I$89,3,0)*0.475*44/12</f>
        <v>4.1848377019420573</v>
      </c>
      <c r="AX67" s="21">
        <f t="shared" si="6"/>
        <v>56.844900241984647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-4.2632564145606011E-14</v>
      </c>
      <c r="O68" s="13">
        <f>N68*VLOOKUP('Données projet'!$B$9,Paramètres!$A$1:$I$89,3,0)*VLOOKUP('Données projet'!$B$9,Paramètres!$A$1:$I$89,5,0)</f>
        <v>-3.8573944038944318E-14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167.24886661350195</v>
      </c>
      <c r="T68" s="59">
        <f t="shared" si="34"/>
        <v>234.73100822629613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3.0709559968356954</v>
      </c>
      <c r="AA68" s="21">
        <f>EXP(-LN(2)/25)*AA67+(1-EXP(-LN(2)/25))/(LN(2)/25)*Calculateur!V68*Calculateur!X68*VLOOKUP('Données projet'!$B$9,Paramètres!$A$1:$I$89,3,0)*0.475*44/12</f>
        <v>10.160281814658543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13.231237811494239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11.997500000000002</v>
      </c>
      <c r="AI68" s="13">
        <f>IF('Données projet'!$A$62&gt;35,AI67+AH68-AQ67,IF(A68&lt;'Données projet'!$A$62,$AF$205^A68,IF(A68='Données projet'!$A$62,'Données projet'!$B$62,AI67+AH68-AQ67)))</f>
        <v>298.99999999999989</v>
      </c>
      <c r="AJ68" s="13">
        <f>AI68*VLOOKUP('Données projet'!$B$10,Paramètres!$A$1:$I$89,3,0)*VLOOKUP('Données projet'!$B$10,Paramètres!$A$1:$I$89,5,0)</f>
        <v>139.93199999999996</v>
      </c>
      <c r="AK68" s="13">
        <f t="shared" si="35"/>
        <v>36.281427209452353</v>
      </c>
      <c r="AL68" s="20">
        <f t="shared" ref="AL68:AL131" si="58">(AJ68+AK68)*0.475*44/12</f>
        <v>306.90505238979614</v>
      </c>
      <c r="AM68" s="59">
        <f t="shared" ref="AM68:AM131" si="59">AL68+(AD68+AE68)*44/12</f>
        <v>600.23838572312945</v>
      </c>
      <c r="AN68" s="59">
        <f ca="1">AVERAGE(OFFSET($AM$3,0,0,'Données projet'!$E$10+1,1))-AVERAGE(OFFSET($H$3,0,0,'Données projet'!$E$10+1,1))</f>
        <v>337.10499990421835</v>
      </c>
      <c r="AO68" s="59">
        <f t="shared" si="36"/>
        <v>277.4254079562175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30.439375674201724</v>
      </c>
      <c r="AV68" s="21">
        <f>EXP(-LN(2)/25)*AV67+(1-EXP(-LN(2)/25))/(LN(2)/25)*Calculateur!AQ68*Calculateur!AS68*VLOOKUP('Données projet'!$B$10,Paramètres!$A$1:$I$89,3,0)*0.475*44/12</f>
        <v>21.020873177897752</v>
      </c>
      <c r="AW68" s="21">
        <f>EXP(-LN(2)/2)*AW67+(1-EXP(-LN(2)/2))/(LN(2)/2)*AQ68*AT68*VLOOKUP('Données projet'!$B$10,Paramètres!$A$1:$I$89,3,0)*0.475*44/12</f>
        <v>2.9591271172083569</v>
      </c>
      <c r="AX68" s="21">
        <f t="shared" ref="AX68:AX131" si="60">SUM(AU68:AW68)</f>
        <v>54.419375969307829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-4.2632564145606011E-14</v>
      </c>
      <c r="O69" s="13">
        <f>N69*VLOOKUP('Données projet'!$B$9,Paramètres!$A$1:$I$89,3,0)*VLOOKUP('Données projet'!$B$9,Paramètres!$A$1:$I$89,5,0)</f>
        <v>-3.8573944038944318E-14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167.24886661350195</v>
      </c>
      <c r="T69" s="59">
        <f t="shared" ref="T69:T132" si="88">$T$3</f>
        <v>234.73100822629613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3.0107364228359526</v>
      </c>
      <c r="AA69" s="21">
        <f>EXP(-LN(2)/25)*AA68+(1-EXP(-LN(2)/25))/(LN(2)/25)*Calculateur!V69*Calculateur!X69*VLOOKUP('Données projet'!$B$9,Paramètres!$A$1:$I$89,3,0)*0.475*44/12</f>
        <v>9.8824483741307052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12.893184796966658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11.997500000000002</v>
      </c>
      <c r="AI69" s="13">
        <f>IF('Données projet'!$A$62&gt;35,AI68+AH69-AQ68,IF(A69&lt;'Données projet'!$A$62,$AF$205^A69,IF(A69='Données projet'!$A$62,'Données projet'!$B$62,AI68+AH69-AQ68)))</f>
        <v>310.99749999999989</v>
      </c>
      <c r="AJ69" s="13">
        <f>AI69*VLOOKUP('Données projet'!$B$10,Paramètres!$A$1:$I$89,3,0)*VLOOKUP('Données projet'!$B$10,Paramètres!$A$1:$I$89,5,0)</f>
        <v>145.54682999999994</v>
      </c>
      <c r="AK69" s="13">
        <f t="shared" ref="AK69:AK132" si="89">EXP(-1.0587+0.8836*LN(AJ69)+0.284)</f>
        <v>37.564818569836</v>
      </c>
      <c r="AL69" s="20">
        <f t="shared" si="58"/>
        <v>318.91945459246426</v>
      </c>
      <c r="AM69" s="59">
        <f t="shared" si="59"/>
        <v>612.25278792579752</v>
      </c>
      <c r="AN69" s="59">
        <f ca="1">AVERAGE(OFFSET($AM$3,0,0,'Données projet'!$E$10+1,1))-AVERAGE(OFFSET($H$3,0,0,'Données projet'!$E$10+1,1))</f>
        <v>337.10499990421835</v>
      </c>
      <c r="AO69" s="59">
        <f t="shared" ref="AO69:AO132" si="90">$AO$3</f>
        <v>277.4254079562175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29.84247808341653</v>
      </c>
      <c r="AV69" s="21">
        <f>EXP(-LN(2)/25)*AV68+(1-EXP(-LN(2)/25))/(LN(2)/25)*Calculateur!AQ69*Calculateur!AS69*VLOOKUP('Données projet'!$B$10,Paramètres!$A$1:$I$89,3,0)*0.475*44/12</f>
        <v>20.446056295408461</v>
      </c>
      <c r="AW69" s="21">
        <f>EXP(-LN(2)/2)*AW68+(1-EXP(-LN(2)/2))/(LN(2)/2)*AQ69*AT69*VLOOKUP('Données projet'!$B$10,Paramètres!$A$1:$I$89,3,0)*0.475*44/12</f>
        <v>2.0924188509710291</v>
      </c>
      <c r="AX69" s="21">
        <f t="shared" si="60"/>
        <v>52.38095322979602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-4.2632564145606011E-14</v>
      </c>
      <c r="O70" s="13">
        <f>N70*VLOOKUP('Données projet'!$B$9,Paramètres!$A$1:$I$89,3,0)*VLOOKUP('Données projet'!$B$9,Paramètres!$A$1:$I$89,5,0)</f>
        <v>-3.8573944038944318E-14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167.24886661350195</v>
      </c>
      <c r="T70" s="59">
        <f t="shared" si="88"/>
        <v>234.73100822629613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2.9516977179520314</v>
      </c>
      <c r="AA70" s="21">
        <f>EXP(-LN(2)/25)*AA69+(1-EXP(-LN(2)/25))/(LN(2)/25)*Calculateur!V70*Calculateur!X70*VLOOKUP('Données projet'!$B$9,Paramètres!$A$1:$I$89,3,0)*0.475*44/12</f>
        <v>9.6122123036447285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12.56391002159676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11.997500000000002</v>
      </c>
      <c r="AI70" s="13">
        <f>IF('Données projet'!$A$62&gt;35,AI69+AH70-AQ69,IF(A70&lt;'Données projet'!$A$62,$AF$205^A70,IF(A70='Données projet'!$A$62,'Données projet'!$B$62,AI69+AH70-AQ69)))</f>
        <v>322.99499999999989</v>
      </c>
      <c r="AJ70" s="13">
        <f>AI70*VLOOKUP('Données projet'!$B$10,Paramètres!$A$1:$I$89,3,0)*VLOOKUP('Données projet'!$B$10,Paramètres!$A$1:$I$89,5,0)</f>
        <v>151.16165999999996</v>
      </c>
      <c r="AK70" s="13">
        <f t="shared" si="89"/>
        <v>38.842458378546986</v>
      </c>
      <c r="AL70" s="20">
        <f t="shared" si="58"/>
        <v>330.92383950930258</v>
      </c>
      <c r="AM70" s="59">
        <f t="shared" si="59"/>
        <v>624.2571728426359</v>
      </c>
      <c r="AN70" s="59">
        <f ca="1">AVERAGE(OFFSET($AM$3,0,0,'Données projet'!$E$10+1,1))-AVERAGE(OFFSET($H$3,0,0,'Données projet'!$E$10+1,1))</f>
        <v>337.10499990421835</v>
      </c>
      <c r="AO70" s="59">
        <f t="shared" si="90"/>
        <v>277.4254079562175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29.257285290315053</v>
      </c>
      <c r="AV70" s="21">
        <f>EXP(-LN(2)/25)*AV69+(1-EXP(-LN(2)/25))/(LN(2)/25)*Calculateur!AQ70*Calculateur!AS70*VLOOKUP('Données projet'!$B$10,Paramètres!$A$1:$I$89,3,0)*0.475*44/12</f>
        <v>19.886957810799146</v>
      </c>
      <c r="AW70" s="21">
        <f>EXP(-LN(2)/2)*AW69+(1-EXP(-LN(2)/2))/(LN(2)/2)*AQ70*AT70*VLOOKUP('Données projet'!$B$10,Paramètres!$A$1:$I$89,3,0)*0.475*44/12</f>
        <v>1.4795635586041787</v>
      </c>
      <c r="AX70" s="21">
        <f t="shared" si="60"/>
        <v>50.623806659718376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-4.2632564145606011E-14</v>
      </c>
      <c r="O71" s="13">
        <f>N71*VLOOKUP('Données projet'!$B$9,Paramètres!$A$1:$I$89,3,0)*VLOOKUP('Données projet'!$B$9,Paramètres!$A$1:$I$89,5,0)</f>
        <v>-3.8573944038944318E-14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167.24886661350195</v>
      </c>
      <c r="T71" s="59">
        <f t="shared" si="88"/>
        <v>234.73100822629613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2.8938167260608294</v>
      </c>
      <c r="AA71" s="21">
        <f>EXP(-LN(2)/25)*AA70+(1-EXP(-LN(2)/25))/(LN(2)/25)*Calculateur!V71*Calculateur!X71*VLOOKUP('Données projet'!$B$9,Paramètres!$A$1:$I$89,3,0)*0.475*44/12</f>
        <v>9.3493658527172876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12.243182578778118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11.997500000000002</v>
      </c>
      <c r="AI71" s="13">
        <f>IF('Données projet'!$A$62&gt;35,AI70+AH71-AQ70,IF(A71&lt;'Données projet'!$A$62,$AF$205^A71,IF(A71='Données projet'!$A$62,'Données projet'!$B$62,AI70+AH71-AQ70)))</f>
        <v>334.99249999999989</v>
      </c>
      <c r="AJ71" s="13">
        <f>AI71*VLOOKUP('Données projet'!$B$10,Paramètres!$A$1:$I$89,3,0)*VLOOKUP('Données projet'!$B$10,Paramètres!$A$1:$I$89,5,0)</f>
        <v>156.77648999999997</v>
      </c>
      <c r="AK71" s="13">
        <f t="shared" si="89"/>
        <v>40.114584738417847</v>
      </c>
      <c r="AL71" s="20">
        <f t="shared" si="58"/>
        <v>342.91862183607765</v>
      </c>
      <c r="AM71" s="59">
        <f t="shared" si="59"/>
        <v>636.25195516941096</v>
      </c>
      <c r="AN71" s="59">
        <f ca="1">AVERAGE(OFFSET($AM$3,0,0,'Données projet'!$E$10+1,1))-AVERAGE(OFFSET($H$3,0,0,'Données projet'!$E$10+1,1))</f>
        <v>337.10499990421835</v>
      </c>
      <c r="AO71" s="59">
        <f t="shared" si="90"/>
        <v>277.4254079562175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28.683567770953935</v>
      </c>
      <c r="AV71" s="21">
        <f>EXP(-LN(2)/25)*AV70+(1-EXP(-LN(2)/25))/(LN(2)/25)*Calculateur!AQ71*Calculateur!AS71*VLOOKUP('Données projet'!$B$10,Paramètres!$A$1:$I$89,3,0)*0.475*44/12</f>
        <v>19.343147903653183</v>
      </c>
      <c r="AW71" s="21">
        <f>EXP(-LN(2)/2)*AW70+(1-EXP(-LN(2)/2))/(LN(2)/2)*AQ71*AT71*VLOOKUP('Données projet'!$B$10,Paramètres!$A$1:$I$89,3,0)*0.475*44/12</f>
        <v>1.0462094254855145</v>
      </c>
      <c r="AX71" s="21">
        <f t="shared" si="60"/>
        <v>49.072925100092633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-4.2632564145606011E-14</v>
      </c>
      <c r="O72" s="13">
        <f>N72*VLOOKUP('Données projet'!$B$9,Paramètres!$A$1:$I$89,3,0)*VLOOKUP('Données projet'!$B$9,Paramètres!$A$1:$I$89,5,0)</f>
        <v>-3.8573944038944318E-14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167.24886661350195</v>
      </c>
      <c r="T72" s="59">
        <f t="shared" si="88"/>
        <v>234.73100822629613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2.8370707451166948</v>
      </c>
      <c r="AA72" s="21">
        <f>EXP(-LN(2)/25)*AA71+(1-EXP(-LN(2)/25))/(LN(2)/25)*Calculateur!V72*Calculateur!X72*VLOOKUP('Données projet'!$B$9,Paramètres!$A$1:$I$89,3,0)*0.475*44/12</f>
        <v>9.0937069518129512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11.930777696929646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11.997500000000002</v>
      </c>
      <c r="AI72" s="13">
        <f>IF('Données projet'!$A$62&gt;35,AI71+AH72-AQ71,IF(A72&lt;'Données projet'!$A$62,$AF$205^A72,IF(A72='Données projet'!$A$62,'Données projet'!$B$62,AI71+AH72-AQ71)))</f>
        <v>346.9899999999999</v>
      </c>
      <c r="AJ72" s="13">
        <f>AI72*VLOOKUP('Données projet'!$B$10,Paramètres!$A$1:$I$89,3,0)*VLOOKUP('Données projet'!$B$10,Paramètres!$A$1:$I$89,5,0)</f>
        <v>162.39131999999995</v>
      </c>
      <c r="AK72" s="13">
        <f t="shared" si="89"/>
        <v>41.381417730562205</v>
      </c>
      <c r="AL72" s="20">
        <f t="shared" si="58"/>
        <v>354.90418488072902</v>
      </c>
      <c r="AM72" s="59">
        <f t="shared" si="59"/>
        <v>648.23751821406233</v>
      </c>
      <c r="AN72" s="59">
        <f ca="1">AVERAGE(OFFSET($AM$3,0,0,'Données projet'!$E$10+1,1))-AVERAGE(OFFSET($H$3,0,0,'Données projet'!$E$10+1,1))</f>
        <v>337.10499990421835</v>
      </c>
      <c r="AO72" s="59">
        <f t="shared" si="90"/>
        <v>277.4254079562175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28.121100502214357</v>
      </c>
      <c r="AV72" s="21">
        <f>EXP(-LN(2)/25)*AV71+(1-EXP(-LN(2)/25))/(LN(2)/25)*Calculateur!AQ72*Calculateur!AS72*VLOOKUP('Données projet'!$B$10,Paramètres!$A$1:$I$89,3,0)*0.475*44/12</f>
        <v>18.814208507015849</v>
      </c>
      <c r="AW72" s="21">
        <f>EXP(-LN(2)/2)*AW71+(1-EXP(-LN(2)/2))/(LN(2)/2)*AQ72*AT72*VLOOKUP('Données projet'!$B$10,Paramètres!$A$1:$I$89,3,0)*0.475*44/12</f>
        <v>0.73978177930208933</v>
      </c>
      <c r="AX72" s="21">
        <f t="shared" si="60"/>
        <v>47.675090788532302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-4.2632564145606011E-14</v>
      </c>
      <c r="O73" s="13">
        <f>N73*VLOOKUP('Données projet'!$B$9,Paramètres!$A$1:$I$89,3,0)*VLOOKUP('Données projet'!$B$9,Paramètres!$A$1:$I$89,5,0)</f>
        <v>-3.8573944038944318E-14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167.24886661350195</v>
      </c>
      <c r="T73" s="59">
        <f t="shared" si="88"/>
        <v>234.73100822629613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2.7814375182472437</v>
      </c>
      <c r="AA73" s="21">
        <f>EXP(-LN(2)/25)*AA72+(1-EXP(-LN(2)/25))/(LN(2)/25)*Calculateur!V73*Calculateur!X73*VLOOKUP('Données projet'!$B$9,Paramètres!$A$1:$I$89,3,0)*0.475*44/12</f>
        <v>8.8450390569983615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11.626476575245604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11.997500000000002</v>
      </c>
      <c r="AI73" s="13">
        <f>IF('Données projet'!$A$62&gt;35,AI72+AH73-AQ72,IF(A73&lt;'Données projet'!$A$62,$AF$205^A73,IF(A73='Données projet'!$A$62,'Données projet'!$B$62,AI72+AH73-AQ72)))</f>
        <v>358.9874999999999</v>
      </c>
      <c r="AJ73" s="13">
        <f>AI73*VLOOKUP('Données projet'!$B$10,Paramètres!$A$1:$I$89,3,0)*VLOOKUP('Données projet'!$B$10,Paramètres!$A$1:$I$89,5,0)</f>
        <v>168.00614999999993</v>
      </c>
      <c r="AK73" s="13">
        <f t="shared" si="89"/>
        <v>42.643161353938929</v>
      </c>
      <c r="AL73" s="20">
        <f t="shared" si="58"/>
        <v>366.88088394144347</v>
      </c>
      <c r="AM73" s="59">
        <f t="shared" si="59"/>
        <v>660.21421727477673</v>
      </c>
      <c r="AN73" s="59">
        <f ca="1">AVERAGE(OFFSET($AM$3,0,0,'Données projet'!$E$10+1,1))-AVERAGE(OFFSET($H$3,0,0,'Données projet'!$E$10+1,1))</f>
        <v>337.10499990421835</v>
      </c>
      <c r="AO73" s="59">
        <f t="shared" si="90"/>
        <v>277.4254079562175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27.569662873543603</v>
      </c>
      <c r="AV73" s="21">
        <f>EXP(-LN(2)/25)*AV72+(1-EXP(-LN(2)/25))/(LN(2)/25)*Calculateur!AQ73*Calculateur!AS73*VLOOKUP('Données projet'!$B$10,Paramètres!$A$1:$I$89,3,0)*0.475*44/12</f>
        <v>18.299732985995277</v>
      </c>
      <c r="AW73" s="21">
        <f>EXP(-LN(2)/2)*AW72+(1-EXP(-LN(2)/2))/(LN(2)/2)*AQ73*AT73*VLOOKUP('Données projet'!$B$10,Paramètres!$A$1:$I$89,3,0)*0.475*44/12</f>
        <v>0.52310471274275727</v>
      </c>
      <c r="AX73" s="21">
        <f t="shared" si="60"/>
        <v>46.392500572281641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-4.2632564145606011E-14</v>
      </c>
      <c r="O74" s="13">
        <f>N74*VLOOKUP('Données projet'!$B$9,Paramètres!$A$1:$I$89,3,0)*VLOOKUP('Données projet'!$B$9,Paramètres!$A$1:$I$89,5,0)</f>
        <v>-3.8573944038944318E-14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167.24886661350195</v>
      </c>
      <c r="T74" s="59">
        <f t="shared" si="88"/>
        <v>234.73100822629613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2.7268952250237852</v>
      </c>
      <c r="AA74" s="21">
        <f>EXP(-LN(2)/25)*AA73+(1-EXP(-LN(2)/25))/(LN(2)/25)*Calculateur!V74*Calculateur!X74*VLOOKUP('Données projet'!$B$9,Paramètres!$A$1:$I$89,3,0)*0.475*44/12</f>
        <v>8.6031709988443534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11.330066223868139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11.997500000000002</v>
      </c>
      <c r="AI74" s="13">
        <f>IF('Données projet'!$A$62&gt;35,AI73+AH74-AQ73,IF(A74&lt;'Données projet'!$A$62,$AF$205^A74,IF(A74='Données projet'!$A$62,'Données projet'!$B$62,AI73+AH74-AQ73)))</f>
        <v>370.9849999999999</v>
      </c>
      <c r="AJ74" s="13">
        <f>AI74*VLOOKUP('Données projet'!$B$10,Paramètres!$A$1:$I$89,3,0)*VLOOKUP('Données projet'!$B$10,Paramètres!$A$1:$I$89,5,0)</f>
        <v>173.62097999999997</v>
      </c>
      <c r="AK74" s="13">
        <f t="shared" si="89"/>
        <v>43.900005198349035</v>
      </c>
      <c r="AL74" s="20">
        <f t="shared" si="58"/>
        <v>378.84904922045786</v>
      </c>
      <c r="AM74" s="59">
        <f t="shared" si="59"/>
        <v>672.18238255379117</v>
      </c>
      <c r="AN74" s="59">
        <f ca="1">AVERAGE(OFFSET($AM$3,0,0,'Données projet'!$E$10+1,1))-AVERAGE(OFFSET($H$3,0,0,'Données projet'!$E$10+1,1))</f>
        <v>337.10499990421835</v>
      </c>
      <c r="AO74" s="59">
        <f t="shared" si="90"/>
        <v>277.4254079562175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27.029038600427342</v>
      </c>
      <c r="AV74" s="21">
        <f>EXP(-LN(2)/25)*AV73+(1-EXP(-LN(2)/25))/(LN(2)/25)*Calculateur!AQ74*Calculateur!AS74*VLOOKUP('Données projet'!$B$10,Paramètres!$A$1:$I$89,3,0)*0.475*44/12</f>
        <v>17.799325825152103</v>
      </c>
      <c r="AW74" s="21">
        <f>EXP(-LN(2)/2)*AW73+(1-EXP(-LN(2)/2))/(LN(2)/2)*AQ74*AT74*VLOOKUP('Données projet'!$B$10,Paramètres!$A$1:$I$89,3,0)*0.475*44/12</f>
        <v>0.36989088965104466</v>
      </c>
      <c r="AX74" s="21">
        <f t="shared" si="60"/>
        <v>45.19825531523049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-4.2632564145606011E-14</v>
      </c>
      <c r="O75" s="13">
        <f>N75*VLOOKUP('Données projet'!$B$9,Paramètres!$A$1:$I$89,3,0)*VLOOKUP('Données projet'!$B$9,Paramètres!$A$1:$I$89,5,0)</f>
        <v>-3.8573944038944318E-14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167.24886661350195</v>
      </c>
      <c r="T75" s="59">
        <f t="shared" si="88"/>
        <v>234.73100822629613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2.6734224729029248</v>
      </c>
      <c r="AA75" s="21">
        <f>EXP(-LN(2)/25)*AA74+(1-EXP(-LN(2)/25))/(LN(2)/25)*Calculateur!V75*Calculateur!X75*VLOOKUP('Données projet'!$B$9,Paramètres!$A$1:$I$89,3,0)*0.475*44/12</f>
        <v>8.3679168354598552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11.04133930836278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11.997500000000002</v>
      </c>
      <c r="AI75" s="13">
        <f>IF('Données projet'!$A$62&gt;35,AI74+AH75-AQ74,IF(A75&lt;'Données projet'!$A$62,$AF$205^A75,IF(A75='Données projet'!$A$62,'Données projet'!$B$62,AI74+AH75-AQ74)))</f>
        <v>382.9824999999999</v>
      </c>
      <c r="AJ75" s="13">
        <f>AI75*VLOOKUP('Données projet'!$B$10,Paramètres!$A$1:$I$89,3,0)*VLOOKUP('Données projet'!$B$10,Paramètres!$A$1:$I$89,5,0)</f>
        <v>179.23580999999996</v>
      </c>
      <c r="AK75" s="13">
        <f t="shared" si="89"/>
        <v>45.152125894936496</v>
      </c>
      <c r="AL75" s="20">
        <f t="shared" si="58"/>
        <v>390.80898835034759</v>
      </c>
      <c r="AM75" s="59">
        <f t="shared" si="59"/>
        <v>684.14232168368085</v>
      </c>
      <c r="AN75" s="59">
        <f ca="1">AVERAGE(OFFSET($AM$3,0,0,'Données projet'!$E$10+1,1))-AVERAGE(OFFSET($H$3,0,0,'Données projet'!$E$10+1,1))</f>
        <v>337.10499990421835</v>
      </c>
      <c r="AO75" s="59">
        <f t="shared" si="90"/>
        <v>277.4254079562175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26.499015639558642</v>
      </c>
      <c r="AV75" s="21">
        <f>EXP(-LN(2)/25)*AV74+(1-EXP(-LN(2)/25))/(LN(2)/25)*Calculateur!AQ75*Calculateur!AS75*VLOOKUP('Données projet'!$B$10,Paramètres!$A$1:$I$89,3,0)*0.475*44/12</f>
        <v>17.312602324437453</v>
      </c>
      <c r="AW75" s="21">
        <f>EXP(-LN(2)/2)*AW74+(1-EXP(-LN(2)/2))/(LN(2)/2)*AQ75*AT75*VLOOKUP('Données projet'!$B$10,Paramètres!$A$1:$I$89,3,0)*0.475*44/12</f>
        <v>0.26155235637137864</v>
      </c>
      <c r="AX75" s="21">
        <f t="shared" si="60"/>
        <v>44.073170320367481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-4.2632564145606011E-14</v>
      </c>
      <c r="O76" s="13">
        <f>N76*VLOOKUP('Données projet'!$B$9,Paramètres!$A$1:$I$89,3,0)*VLOOKUP('Données projet'!$B$9,Paramètres!$A$1:$I$89,5,0)</f>
        <v>-3.8573944038944318E-14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167.24886661350195</v>
      </c>
      <c r="T76" s="59">
        <f t="shared" si="88"/>
        <v>234.73100822629613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2.6209982888359957</v>
      </c>
      <c r="AA76" s="21">
        <f>EXP(-LN(2)/25)*AA75+(1-EXP(-LN(2)/25))/(LN(2)/25)*Calculateur!V76*Calculateur!X76*VLOOKUP('Données projet'!$B$9,Paramètres!$A$1:$I$89,3,0)*0.475*44/12</f>
        <v>8.1390957095445842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10.760093998380579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>
        <f>VLOOKUP(A76,'Données projet'!$A$61:$I$81,2,0)</f>
        <v>394.98</v>
      </c>
      <c r="AG76" s="12">
        <f>VLOOKUP(A76,'Données projet'!$A$61:$I$81,9,0)</f>
        <v>11.997500000000002</v>
      </c>
      <c r="AH76" s="12">
        <f t="array" ref="AH76">INDEX(AG:AG,MIN(IF(ISNUMBER(AG76:AG272),ROW(AG76:AG272),"")))</f>
        <v>11.997500000000002</v>
      </c>
      <c r="AI76" s="13">
        <f>IF('Données projet'!$A$62&gt;35,AI75+AH76-AQ75,IF(A76&lt;'Données projet'!$A$62,$AF$205^A76,IF(A76='Données projet'!$A$62,'Données projet'!$B$62,AI75+AH76-AQ75)))</f>
        <v>394.9799999999999</v>
      </c>
      <c r="AJ76" s="13">
        <f>AI76*VLOOKUP('Données projet'!$B$10,Paramètres!$A$1:$I$89,3,0)*VLOOKUP('Données projet'!$B$10,Paramètres!$A$1:$I$89,5,0)</f>
        <v>184.85063999999994</v>
      </c>
      <c r="AK76" s="13">
        <f t="shared" si="89"/>
        <v>46.399688379827502</v>
      </c>
      <c r="AL76" s="20">
        <f t="shared" si="58"/>
        <v>402.76098859486609</v>
      </c>
      <c r="AM76" s="59">
        <f t="shared" si="59"/>
        <v>696.09432192819941</v>
      </c>
      <c r="AN76" s="59">
        <f ca="1">AVERAGE(OFFSET($AM$3,0,0,'Données projet'!$E$10+1,1))-AVERAGE(OFFSET($H$3,0,0,'Données projet'!$E$10+1,1))</f>
        <v>337.10499990421835</v>
      </c>
      <c r="AO76" s="59">
        <f t="shared" si="90"/>
        <v>277.4254079562175</v>
      </c>
      <c r="AP76" s="15">
        <f>IF(ISNA(VLOOKUP(A76,'Données projet'!$A$61:$I$81,3,0)),0,VLOOKUP(A76,'Données projet'!$A$61:$I$81,3,0))</f>
        <v>3</v>
      </c>
      <c r="AQ76" s="15">
        <f>IF(ISNA(VLOOKUP(A76,'Données projet'!$A$61:$I$81,4,0)),0,VLOOKUP(A76,'Données projet'!$A$61:$I$81,4,0))</f>
        <v>103.23000000000002</v>
      </c>
      <c r="AR76" s="16">
        <f>IF(ISNA(VLOOKUP(A76,'Données projet'!$A$61:$I$81,5,0)),0%,VLOOKUP(A76,'Données projet'!$A$61:$I$81,5,0)*VLOOKUP('Données projet'!$B$10,Paramètres!$A$1:$I$89,7,0))</f>
        <v>0.33</v>
      </c>
      <c r="AS76" s="16">
        <f>IF(ISNA(VLOOKUP(A76,'Données projet'!$A$61:$I$81,6,0)),0%,VLOOKUP(A76,'Données projet'!$A$61:$I$81,6,0)*VLOOKUP('Données projet'!$B$10,Paramètres!$A$1:$I$89,7,0))</f>
        <v>0.11000000000000001</v>
      </c>
      <c r="AT76" s="16">
        <f>IF(ISNA(VLOOKUP(A76,'Données projet'!$A$61:$I$81,7,0)),0%,VLOOKUP(A76,'Données projet'!$A$61:$I$81,7,0))</f>
        <v>0.2</v>
      </c>
      <c r="AU76" s="21">
        <f>EXP(-LN(2)/35)*AU75+(1-EXP(-LN(2)/35))/(LN(2)/35)*AQ76*AR76*VLOOKUP('Données projet'!$B$10,Paramètres!$A$1:$I$89,3,0)*0.475*44/12</f>
        <v>47.128592560307567</v>
      </c>
      <c r="AV76" s="21">
        <f>EXP(-LN(2)/25)*AV75+(1-EXP(-LN(2)/25))/(LN(2)/25)*Calculateur!AQ76*Calculateur!AS76*VLOOKUP('Données projet'!$B$10,Paramètres!$A$1:$I$89,3,0)*0.475*44/12</f>
        <v>23.861166293560768</v>
      </c>
      <c r="AW76" s="21">
        <f>EXP(-LN(2)/2)*AW75+(1-EXP(-LN(2)/2))/(LN(2)/2)*AQ76*AT76*VLOOKUP('Données projet'!$B$10,Paramètres!$A$1:$I$89,3,0)*0.475*44/12</f>
        <v>11.124945275719824</v>
      </c>
      <c r="AX76" s="21">
        <f t="shared" si="60"/>
        <v>82.114704129588162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-4.2632564145606011E-14</v>
      </c>
      <c r="O77" s="13">
        <f>N77*VLOOKUP('Données projet'!$B$9,Paramètres!$A$1:$I$89,3,0)*VLOOKUP('Données projet'!$B$9,Paramètres!$A$1:$I$89,5,0)</f>
        <v>-3.8573944038944318E-14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167.24886661350195</v>
      </c>
      <c r="T77" s="59">
        <f t="shared" si="88"/>
        <v>234.73100822629613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2.5696021110430243</v>
      </c>
      <c r="AA77" s="21">
        <f>EXP(-LN(2)/25)*AA76+(1-EXP(-LN(2)/25))/(LN(2)/25)*Calculateur!V77*Calculateur!X77*VLOOKUP('Données projet'!$B$9,Paramètres!$A$1:$I$89,3,0)*0.475*44/12</f>
        <v>7.9165317093506467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10.486133820393672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11.117500000000001</v>
      </c>
      <c r="AI77" s="13">
        <f>IF('Données projet'!$A$62&gt;35,AI76+AH77-AQ76,IF(A77&lt;'Données projet'!$A$62,$AF$205^A77,IF(A77='Données projet'!$A$62,'Données projet'!$B$62,AI76+AH77-AQ76)))</f>
        <v>302.86749999999989</v>
      </c>
      <c r="AJ77" s="13">
        <f>AI77*VLOOKUP('Données projet'!$B$10,Paramètres!$A$1:$I$89,3,0)*VLOOKUP('Données projet'!$B$10,Paramètres!$A$1:$I$89,5,0)</f>
        <v>141.74198999999996</v>
      </c>
      <c r="AK77" s="13">
        <f t="shared" si="89"/>
        <v>36.695783280300503</v>
      </c>
      <c r="AL77" s="20">
        <f t="shared" si="58"/>
        <v>310.77912179652327</v>
      </c>
      <c r="AM77" s="59">
        <f t="shared" si="59"/>
        <v>604.11245512985658</v>
      </c>
      <c r="AN77" s="59">
        <f ca="1">AVERAGE(OFFSET($AM$3,0,0,'Données projet'!$E$10+1,1))-AVERAGE(OFFSET($H$3,0,0,'Données projet'!$E$10+1,1))</f>
        <v>337.10499990421835</v>
      </c>
      <c r="AO77" s="59">
        <f t="shared" si="90"/>
        <v>277.4254079562175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46.204429605803007</v>
      </c>
      <c r="AV77" s="21">
        <f>EXP(-LN(2)/25)*AV76+(1-EXP(-LN(2)/25))/(LN(2)/25)*Calculateur!AQ77*Calculateur!AS77*VLOOKUP('Données projet'!$B$10,Paramètres!$A$1:$I$89,3,0)*0.475*44/12</f>
        <v>23.208681446459149</v>
      </c>
      <c r="AW77" s="21">
        <f>EXP(-LN(2)/2)*AW76+(1-EXP(-LN(2)/2))/(LN(2)/2)*AQ77*AT77*VLOOKUP('Données projet'!$B$10,Paramètres!$A$1:$I$89,3,0)*0.475*44/12</f>
        <v>7.8665242447907335</v>
      </c>
      <c r="AX77" s="21">
        <f t="shared" si="60"/>
        <v>77.279635297052891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-4.2632564145606011E-14</v>
      </c>
      <c r="O78" s="13">
        <f>N78*VLOOKUP('Données projet'!$B$9,Paramètres!$A$1:$I$89,3,0)*VLOOKUP('Données projet'!$B$9,Paramètres!$A$1:$I$89,5,0)</f>
        <v>-3.8573944038944318E-14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167.24886661350195</v>
      </c>
      <c r="T78" s="59">
        <f t="shared" si="88"/>
        <v>234.73100822629613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2.5192137809480002</v>
      </c>
      <c r="AA78" s="21">
        <f>EXP(-LN(2)/25)*AA77+(1-EXP(-LN(2)/25))/(LN(2)/25)*Calculateur!V78*Calculateur!X78*VLOOKUP('Données projet'!$B$9,Paramètres!$A$1:$I$89,3,0)*0.475*44/12</f>
        <v>7.7000537334461443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10.219267514394144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11.117500000000001</v>
      </c>
      <c r="AI78" s="13">
        <f>IF('Données projet'!$A$62&gt;35,AI77+AH78-AQ77,IF(A78&lt;'Données projet'!$A$62,$AF$205^A78,IF(A78='Données projet'!$A$62,'Données projet'!$B$62,AI77+AH78-AQ77)))</f>
        <v>313.9849999999999</v>
      </c>
      <c r="AJ78" s="13">
        <f>AI78*VLOOKUP('Données projet'!$B$10,Paramètres!$A$1:$I$89,3,0)*VLOOKUP('Données projet'!$B$10,Paramètres!$A$1:$I$89,5,0)</f>
        <v>146.94497999999996</v>
      </c>
      <c r="AK78" s="13">
        <f t="shared" si="89"/>
        <v>37.883492113436546</v>
      </c>
      <c r="AL78" s="20">
        <f t="shared" si="58"/>
        <v>321.90958893090192</v>
      </c>
      <c r="AM78" s="59">
        <f t="shared" si="59"/>
        <v>615.24292226423518</v>
      </c>
      <c r="AN78" s="59">
        <f ca="1">AVERAGE(OFFSET($AM$3,0,0,'Données projet'!$E$10+1,1))-AVERAGE(OFFSET($H$3,0,0,'Données projet'!$E$10+1,1))</f>
        <v>337.10499990421835</v>
      </c>
      <c r="AO78" s="59">
        <f t="shared" si="90"/>
        <v>277.4254079562175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45.298388923152537</v>
      </c>
      <c r="AV78" s="21">
        <f>EXP(-LN(2)/25)*AV77+(1-EXP(-LN(2)/25))/(LN(2)/25)*Calculateur!AQ78*Calculateur!AS78*VLOOKUP('Données projet'!$B$10,Paramètres!$A$1:$I$89,3,0)*0.475*44/12</f>
        <v>22.57403883181421</v>
      </c>
      <c r="AW78" s="21">
        <f>EXP(-LN(2)/2)*AW77+(1-EXP(-LN(2)/2))/(LN(2)/2)*AQ78*AT78*VLOOKUP('Données projet'!$B$10,Paramètres!$A$1:$I$89,3,0)*0.475*44/12</f>
        <v>5.562472637859913</v>
      </c>
      <c r="AX78" s="21">
        <f t="shared" si="60"/>
        <v>73.434900392826663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-4.2632564145606011E-14</v>
      </c>
      <c r="O79" s="13">
        <f>N79*VLOOKUP('Données projet'!$B$9,Paramètres!$A$1:$I$89,3,0)*VLOOKUP('Données projet'!$B$9,Paramètres!$A$1:$I$89,5,0)</f>
        <v>-3.8573944038944318E-14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167.24886661350195</v>
      </c>
      <c r="T79" s="59">
        <f t="shared" si="88"/>
        <v>234.73100822629613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2.4698135352722925</v>
      </c>
      <c r="AA79" s="21">
        <f>EXP(-LN(2)/25)*AA78+(1-EXP(-LN(2)/25))/(LN(2)/25)*Calculateur!V79*Calculateur!X79*VLOOKUP('Données projet'!$B$9,Paramètres!$A$1:$I$89,3,0)*0.475*44/12</f>
        <v>7.4894953591768321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9.9593088944491246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11.117500000000001</v>
      </c>
      <c r="AI79" s="13">
        <f>IF('Données projet'!$A$62&gt;35,AI78+AH79-AQ78,IF(A79&lt;'Données projet'!$A$62,$AF$205^A79,IF(A79='Données projet'!$A$62,'Données projet'!$B$62,AI78+AH79-AQ78)))</f>
        <v>325.10249999999991</v>
      </c>
      <c r="AJ79" s="13">
        <f>AI79*VLOOKUP('Données projet'!$B$10,Paramètres!$A$1:$I$89,3,0)*VLOOKUP('Données projet'!$B$10,Paramètres!$A$1:$I$89,5,0)</f>
        <v>152.14796999999996</v>
      </c>
      <c r="AK79" s="13">
        <f t="shared" si="89"/>
        <v>39.066314845830235</v>
      </c>
      <c r="AL79" s="20">
        <f t="shared" si="58"/>
        <v>333.03154610648761</v>
      </c>
      <c r="AM79" s="59">
        <f t="shared" si="59"/>
        <v>626.36487943982092</v>
      </c>
      <c r="AN79" s="59">
        <f ca="1">AVERAGE(OFFSET($AM$3,0,0,'Données projet'!$E$10+1,1))-AVERAGE(OFFSET($H$3,0,0,'Données projet'!$E$10+1,1))</f>
        <v>337.10499990421835</v>
      </c>
      <c r="AO79" s="59">
        <f t="shared" si="90"/>
        <v>277.4254079562175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44.410115145658594</v>
      </c>
      <c r="AV79" s="21">
        <f>EXP(-LN(2)/25)*AV78+(1-EXP(-LN(2)/25))/(LN(2)/25)*Calculateur!AQ79*Calculateur!AS79*VLOOKUP('Données projet'!$B$10,Paramètres!$A$1:$I$89,3,0)*0.475*44/12</f>
        <v>21.956750552841143</v>
      </c>
      <c r="AW79" s="21">
        <f>EXP(-LN(2)/2)*AW78+(1-EXP(-LN(2)/2))/(LN(2)/2)*AQ79*AT79*VLOOKUP('Données projet'!$B$10,Paramètres!$A$1:$I$89,3,0)*0.475*44/12</f>
        <v>3.9332621223953677</v>
      </c>
      <c r="AX79" s="21">
        <f t="shared" si="60"/>
        <v>70.300127820895099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-4.2632564145606011E-14</v>
      </c>
      <c r="O80" s="13">
        <f>N80*VLOOKUP('Données projet'!$B$9,Paramètres!$A$1:$I$89,3,0)*VLOOKUP('Données projet'!$B$9,Paramètres!$A$1:$I$89,5,0)</f>
        <v>-3.8573944038944318E-14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167.24886661350195</v>
      </c>
      <c r="T80" s="59">
        <f t="shared" si="88"/>
        <v>234.73100822629613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2.4213819982831111</v>
      </c>
      <c r="AA80" s="21">
        <f>EXP(-LN(2)/25)*AA79+(1-EXP(-LN(2)/25))/(LN(2)/25)*Calculateur!V80*Calculateur!X80*VLOOKUP('Données projet'!$B$9,Paramètres!$A$1:$I$89,3,0)*0.475*44/12</f>
        <v>7.2846947147246981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9.7060767130078087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11.117500000000001</v>
      </c>
      <c r="AI80" s="13">
        <f>IF('Données projet'!$A$62&gt;35,AI79+AH80-AQ79,IF(A80&lt;'Données projet'!$A$62,$AF$205^A80,IF(A80='Données projet'!$A$62,'Données projet'!$B$62,AI79+AH80-AQ79)))</f>
        <v>336.21999999999991</v>
      </c>
      <c r="AJ80" s="13">
        <f>AI80*VLOOKUP('Données projet'!$B$10,Paramètres!$A$1:$I$89,3,0)*VLOOKUP('Données projet'!$B$10,Paramètres!$A$1:$I$89,5,0)</f>
        <v>157.35095999999996</v>
      </c>
      <c r="AK80" s="13">
        <f t="shared" si="89"/>
        <v>40.24443771922904</v>
      </c>
      <c r="AL80" s="20">
        <f t="shared" si="58"/>
        <v>344.14531769432386</v>
      </c>
      <c r="AM80" s="59">
        <f t="shared" si="59"/>
        <v>637.47865102765718</v>
      </c>
      <c r="AN80" s="59">
        <f ca="1">AVERAGE(OFFSET($AM$3,0,0,'Données projet'!$E$10+1,1))-AVERAGE(OFFSET($H$3,0,0,'Données projet'!$E$10+1,1))</f>
        <v>337.10499990421835</v>
      </c>
      <c r="AO80" s="59">
        <f t="shared" si="90"/>
        <v>277.4254079562175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43.539259875147799</v>
      </c>
      <c r="AV80" s="21">
        <f>EXP(-LN(2)/25)*AV79+(1-EXP(-LN(2)/25))/(LN(2)/25)*Calculateur!AQ80*Calculateur!AS80*VLOOKUP('Données projet'!$B$10,Paramètres!$A$1:$I$89,3,0)*0.475*44/12</f>
        <v>21.356342054318372</v>
      </c>
      <c r="AW80" s="21">
        <f>EXP(-LN(2)/2)*AW79+(1-EXP(-LN(2)/2))/(LN(2)/2)*AQ80*AT80*VLOOKUP('Données projet'!$B$10,Paramètres!$A$1:$I$89,3,0)*0.475*44/12</f>
        <v>2.7812363189299569</v>
      </c>
      <c r="AX80" s="21">
        <f t="shared" si="60"/>
        <v>67.676838248396123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-4.2632564145606011E-14</v>
      </c>
      <c r="O81" s="13">
        <f>N81*VLOOKUP('Données projet'!$B$9,Paramètres!$A$1:$I$89,3,0)*VLOOKUP('Données projet'!$B$9,Paramètres!$A$1:$I$89,5,0)</f>
        <v>-3.8573944038944318E-14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167.24886661350195</v>
      </c>
      <c r="T81" s="59">
        <f t="shared" si="88"/>
        <v>234.73100822629613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2.3739001741939667</v>
      </c>
      <c r="AA81" s="21">
        <f>EXP(-LN(2)/25)*AA80+(1-EXP(-LN(2)/25))/(LN(2)/25)*Calculateur!V81*Calculateur!X81*VLOOKUP('Données projet'!$B$9,Paramètres!$A$1:$I$89,3,0)*0.475*44/12</f>
        <v>7.0854943546651059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9.4593945288590717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11.117500000000001</v>
      </c>
      <c r="AI81" s="13">
        <f>IF('Données projet'!$A$62&gt;35,AI80+AH81-AQ80,IF(A81&lt;'Données projet'!$A$62,$AF$205^A81,IF(A81='Données projet'!$A$62,'Données projet'!$B$62,AI80+AH81-AQ80)))</f>
        <v>347.33749999999992</v>
      </c>
      <c r="AJ81" s="13">
        <f>AI81*VLOOKUP('Données projet'!$B$10,Paramètres!$A$1:$I$89,3,0)*VLOOKUP('Données projet'!$B$10,Paramètres!$A$1:$I$89,5,0)</f>
        <v>162.55394999999996</v>
      </c>
      <c r="AK81" s="13">
        <f t="shared" si="89"/>
        <v>41.418033959800411</v>
      </c>
      <c r="AL81" s="20">
        <f t="shared" si="58"/>
        <v>355.25120539665227</v>
      </c>
      <c r="AM81" s="59">
        <f t="shared" si="59"/>
        <v>648.58453872998552</v>
      </c>
      <c r="AN81" s="59">
        <f ca="1">AVERAGE(OFFSET($AM$3,0,0,'Données projet'!$E$10+1,1))-AVERAGE(OFFSET($H$3,0,0,'Données projet'!$E$10+1,1))</f>
        <v>337.10499990421835</v>
      </c>
      <c r="AO81" s="59">
        <f t="shared" si="90"/>
        <v>277.4254079562175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42.685481545322453</v>
      </c>
      <c r="AV81" s="21">
        <f>EXP(-LN(2)/25)*AV80+(1-EXP(-LN(2)/25))/(LN(2)/25)*Calculateur!AQ81*Calculateur!AS81*VLOOKUP('Données projet'!$B$10,Paramètres!$A$1:$I$89,3,0)*0.475*44/12</f>
        <v>20.772351757761818</v>
      </c>
      <c r="AW81" s="21">
        <f>EXP(-LN(2)/2)*AW80+(1-EXP(-LN(2)/2))/(LN(2)/2)*AQ81*AT81*VLOOKUP('Données projet'!$B$10,Paramètres!$A$1:$I$89,3,0)*0.475*44/12</f>
        <v>1.966631061197684</v>
      </c>
      <c r="AX81" s="21">
        <f t="shared" si="60"/>
        <v>65.42446436428196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-4.2632564145606011E-14</v>
      </c>
      <c r="O82" s="13">
        <f>N82*VLOOKUP('Données projet'!$B$9,Paramètres!$A$1:$I$89,3,0)*VLOOKUP('Données projet'!$B$9,Paramètres!$A$1:$I$89,5,0)</f>
        <v>-3.8573944038944318E-14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167.24886661350195</v>
      </c>
      <c r="T82" s="59">
        <f t="shared" si="88"/>
        <v>234.73100822629613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2.3273494397141574</v>
      </c>
      <c r="AA82" s="21">
        <f>EXP(-LN(2)/25)*AA81+(1-EXP(-LN(2)/25))/(LN(2)/25)*Calculateur!V82*Calculateur!X82*VLOOKUP('Données projet'!$B$9,Paramètres!$A$1:$I$89,3,0)*0.475*44/12</f>
        <v>6.8917411389268342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9.2190905786409907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11.117500000000001</v>
      </c>
      <c r="AI82" s="13">
        <f>IF('Données projet'!$A$62&gt;35,AI81+AH82-AQ81,IF(A82&lt;'Données projet'!$A$62,$AF$205^A82,IF(A82='Données projet'!$A$62,'Données projet'!$B$62,AI81+AH82-AQ81)))</f>
        <v>358.45499999999993</v>
      </c>
      <c r="AJ82" s="13">
        <f>AI82*VLOOKUP('Données projet'!$B$10,Paramètres!$A$1:$I$89,3,0)*VLOOKUP('Données projet'!$B$10,Paramètres!$A$1:$I$89,5,0)</f>
        <v>167.75693999999999</v>
      </c>
      <c r="AK82" s="13">
        <f t="shared" si="89"/>
        <v>42.587265074910924</v>
      </c>
      <c r="AL82" s="20">
        <f t="shared" si="58"/>
        <v>366.34949050546987</v>
      </c>
      <c r="AM82" s="59">
        <f t="shared" si="59"/>
        <v>659.68282383880319</v>
      </c>
      <c r="AN82" s="59">
        <f ca="1">AVERAGE(OFFSET($AM$3,0,0,'Données projet'!$E$10+1,1))-AVERAGE(OFFSET($H$3,0,0,'Données projet'!$E$10+1,1))</f>
        <v>337.10499990421835</v>
      </c>
      <c r="AO82" s="59">
        <f t="shared" si="90"/>
        <v>277.4254079562175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41.84844528779162</v>
      </c>
      <c r="AV82" s="21">
        <f>EXP(-LN(2)/25)*AV81+(1-EXP(-LN(2)/25))/(LN(2)/25)*Calculateur!AQ82*Calculateur!AS82*VLOOKUP('Données projet'!$B$10,Paramètres!$A$1:$I$89,3,0)*0.475*44/12</f>
        <v>20.20433070657532</v>
      </c>
      <c r="AW82" s="21">
        <f>EXP(-LN(2)/2)*AW81+(1-EXP(-LN(2)/2))/(LN(2)/2)*AQ82*AT82*VLOOKUP('Données projet'!$B$10,Paramètres!$A$1:$I$89,3,0)*0.475*44/12</f>
        <v>1.3906181594649787</v>
      </c>
      <c r="AX82" s="21">
        <f t="shared" si="60"/>
        <v>63.443394153831917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-4.2632564145606011E-14</v>
      </c>
      <c r="O83" s="13">
        <f>N83*VLOOKUP('Données projet'!$B$9,Paramètres!$A$1:$I$89,3,0)*VLOOKUP('Données projet'!$B$9,Paramètres!$A$1:$I$89,5,0)</f>
        <v>-3.8573944038944318E-14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167.24886661350195</v>
      </c>
      <c r="T83" s="59">
        <f t="shared" si="88"/>
        <v>234.73100822629613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2.281711536744353</v>
      </c>
      <c r="AA83" s="21">
        <f>EXP(-LN(2)/25)*AA82+(1-EXP(-LN(2)/25))/(LN(2)/25)*Calculateur!V83*Calculateur!X83*VLOOKUP('Données projet'!$B$9,Paramètres!$A$1:$I$89,3,0)*0.475*44/12</f>
        <v>6.7032861150619647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8.9849976518063173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11.117500000000001</v>
      </c>
      <c r="AI83" s="13">
        <f>IF('Données projet'!$A$62&gt;35,AI82+AH83-AQ82,IF(A83&lt;'Données projet'!$A$62,$AF$205^A83,IF(A83='Données projet'!$A$62,'Données projet'!$B$62,AI82+AH83-AQ82)))</f>
        <v>369.57249999999993</v>
      </c>
      <c r="AJ83" s="13">
        <f>AI83*VLOOKUP('Données projet'!$B$10,Paramètres!$A$1:$I$89,3,0)*VLOOKUP('Données projet'!$B$10,Paramètres!$A$1:$I$89,5,0)</f>
        <v>172.95992999999996</v>
      </c>
      <c r="AK83" s="13">
        <f t="shared" si="89"/>
        <v>43.752281984506958</v>
      </c>
      <c r="AL83" s="20">
        <f t="shared" si="58"/>
        <v>377.44043587301621</v>
      </c>
      <c r="AM83" s="59">
        <f t="shared" si="59"/>
        <v>670.77376920634947</v>
      </c>
      <c r="AN83" s="59">
        <f ca="1">AVERAGE(OFFSET($AM$3,0,0,'Données projet'!$E$10+1,1))-AVERAGE(OFFSET($H$3,0,0,'Données projet'!$E$10+1,1))</f>
        <v>337.10499990421835</v>
      </c>
      <c r="AO83" s="59">
        <f t="shared" si="90"/>
        <v>277.4254079562175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41.027822800729261</v>
      </c>
      <c r="AV83" s="21">
        <f>EXP(-LN(2)/25)*AV82+(1-EXP(-LN(2)/25))/(LN(2)/25)*Calculateur!AQ83*Calculateur!AS83*VLOOKUP('Données projet'!$B$10,Paramètres!$A$1:$I$89,3,0)*0.475*44/12</f>
        <v>19.651842220904442</v>
      </c>
      <c r="AW83" s="21">
        <f>EXP(-LN(2)/2)*AW82+(1-EXP(-LN(2)/2))/(LN(2)/2)*AQ83*AT83*VLOOKUP('Données projet'!$B$10,Paramètres!$A$1:$I$89,3,0)*0.475*44/12</f>
        <v>0.98331553059884225</v>
      </c>
      <c r="AX83" s="21">
        <f t="shared" si="60"/>
        <v>61.662980552232547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-4.2632564145606011E-14</v>
      </c>
      <c r="O84" s="13">
        <f>N84*VLOOKUP('Données projet'!$B$9,Paramètres!$A$1:$I$89,3,0)*VLOOKUP('Données projet'!$B$9,Paramètres!$A$1:$I$89,5,0)</f>
        <v>-3.8573944038944318E-14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167.24886661350195</v>
      </c>
      <c r="T84" s="59">
        <f t="shared" si="88"/>
        <v>234.73100822629613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2.2369685652154141</v>
      </c>
      <c r="AA84" s="21">
        <f>EXP(-LN(2)/25)*AA83+(1-EXP(-LN(2)/25))/(LN(2)/25)*Calculateur!V84*Calculateur!X84*VLOOKUP('Données projet'!$B$9,Paramètres!$A$1:$I$89,3,0)*0.475*44/12</f>
        <v>6.5199844037350987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8.7569529689505128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11.117500000000001</v>
      </c>
      <c r="AI84" s="13">
        <f>IF('Données projet'!$A$62&gt;35,AI83+AH84-AQ83,IF(A84&lt;'Données projet'!$A$62,$AF$205^A84,IF(A84='Données projet'!$A$62,'Données projet'!$B$62,AI83+AH84-AQ83)))</f>
        <v>380.68999999999994</v>
      </c>
      <c r="AJ84" s="13">
        <f>AI84*VLOOKUP('Données projet'!$B$10,Paramètres!$A$1:$I$89,3,0)*VLOOKUP('Données projet'!$B$10,Paramètres!$A$1:$I$89,5,0)</f>
        <v>178.16291999999999</v>
      </c>
      <c r="AK84" s="13">
        <f t="shared" si="89"/>
        <v>44.913226012533627</v>
      </c>
      <c r="AL84" s="20">
        <f t="shared" si="58"/>
        <v>388.52428763849611</v>
      </c>
      <c r="AM84" s="59">
        <f t="shared" si="59"/>
        <v>681.85762097182942</v>
      </c>
      <c r="AN84" s="59">
        <f ca="1">AVERAGE(OFFSET($AM$3,0,0,'Données projet'!$E$10+1,1))-AVERAGE(OFFSET($H$3,0,0,'Données projet'!$E$10+1,1))</f>
        <v>337.10499990421835</v>
      </c>
      <c r="AO84" s="59">
        <f t="shared" si="90"/>
        <v>277.4254079562175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40.223292220107908</v>
      </c>
      <c r="AV84" s="21">
        <f>EXP(-LN(2)/25)*AV83+(1-EXP(-LN(2)/25))/(LN(2)/25)*Calculateur!AQ84*Calculateur!AS84*VLOOKUP('Données projet'!$B$10,Paramètres!$A$1:$I$89,3,0)*0.475*44/12</f>
        <v>19.114461561928341</v>
      </c>
      <c r="AW84" s="21">
        <f>EXP(-LN(2)/2)*AW83+(1-EXP(-LN(2)/2))/(LN(2)/2)*AQ84*AT84*VLOOKUP('Données projet'!$B$10,Paramètres!$A$1:$I$89,3,0)*0.475*44/12</f>
        <v>0.69530907973248945</v>
      </c>
      <c r="AX84" s="21">
        <f t="shared" si="60"/>
        <v>60.033062861768734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-4.2632564145606011E-14</v>
      </c>
      <c r="O85" s="13">
        <f>N85*VLOOKUP('Données projet'!$B$9,Paramètres!$A$1:$I$89,3,0)*VLOOKUP('Données projet'!$B$9,Paramètres!$A$1:$I$89,5,0)</f>
        <v>-3.8573944038944318E-14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167.24886661350195</v>
      </c>
      <c r="T85" s="59">
        <f t="shared" si="88"/>
        <v>234.73100822629613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2.1931029760676397</v>
      </c>
      <c r="AA85" s="21">
        <f>EXP(-LN(2)/25)*AA84+(1-EXP(-LN(2)/25))/(LN(2)/25)*Calculateur!V85*Calculateur!X85*VLOOKUP('Données projet'!$B$9,Paramètres!$A$1:$I$89,3,0)*0.475*44/12</f>
        <v>6.3416950873438847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8.5347980634115252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11.117500000000001</v>
      </c>
      <c r="AI85" s="13">
        <f>IF('Données projet'!$A$62&gt;35,AI84+AH85-AQ84,IF(A85&lt;'Données projet'!$A$62,$AF$205^A85,IF(A85='Données projet'!$A$62,'Données projet'!$B$62,AI84+AH85-AQ84)))</f>
        <v>391.80749999999995</v>
      </c>
      <c r="AJ85" s="13">
        <f>AI85*VLOOKUP('Données projet'!$B$10,Paramètres!$A$1:$I$89,3,0)*VLOOKUP('Données projet'!$B$10,Paramètres!$A$1:$I$89,5,0)</f>
        <v>183.36590999999999</v>
      </c>
      <c r="AK85" s="13">
        <f t="shared" si="89"/>
        <v>46.070229759286974</v>
      </c>
      <c r="AL85" s="20">
        <f t="shared" si="58"/>
        <v>399.60127674742472</v>
      </c>
      <c r="AM85" s="59">
        <f t="shared" si="59"/>
        <v>692.93461008075803</v>
      </c>
      <c r="AN85" s="59">
        <f ca="1">AVERAGE(OFFSET($AM$3,0,0,'Données projet'!$E$10+1,1))-AVERAGE(OFFSET($H$3,0,0,'Données projet'!$E$10+1,1))</f>
        <v>337.10499990421835</v>
      </c>
      <c r="AO85" s="59">
        <f t="shared" si="90"/>
        <v>277.4254079562175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39.434537993457333</v>
      </c>
      <c r="AV85" s="21">
        <f>EXP(-LN(2)/25)*AV84+(1-EXP(-LN(2)/25))/(LN(2)/25)*Calculateur!AQ85*Calculateur!AS85*VLOOKUP('Données projet'!$B$10,Paramètres!$A$1:$I$89,3,0)*0.475*44/12</f>
        <v>18.591775605331563</v>
      </c>
      <c r="AW85" s="21">
        <f>EXP(-LN(2)/2)*AW84+(1-EXP(-LN(2)/2))/(LN(2)/2)*AQ85*AT85*VLOOKUP('Données projet'!$B$10,Paramètres!$A$1:$I$89,3,0)*0.475*44/12</f>
        <v>0.49165776529942118</v>
      </c>
      <c r="AX85" s="21">
        <f t="shared" si="60"/>
        <v>58.517971364088318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-4.2632564145606011E-14</v>
      </c>
      <c r="O86" s="13">
        <f>N86*VLOOKUP('Données projet'!$B$9,Paramètres!$A$1:$I$89,3,0)*VLOOKUP('Données projet'!$B$9,Paramètres!$A$1:$I$89,5,0)</f>
        <v>-3.8573944038944318E-14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167.24886661350195</v>
      </c>
      <c r="T86" s="59">
        <f t="shared" si="88"/>
        <v>234.73100822629613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2.1500975643676856</v>
      </c>
      <c r="AA86" s="21">
        <f>EXP(-LN(2)/25)*AA85+(1-EXP(-LN(2)/25))/(LN(2)/25)*Calculateur!V86*Calculateur!X86*VLOOKUP('Données projet'!$B$9,Paramètres!$A$1:$I$89,3,0)*0.475*44/12</f>
        <v>6.1682811016852153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8.3183786660529009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11.117500000000001</v>
      </c>
      <c r="AI86" s="13">
        <f>IF('Données projet'!$A$62&gt;35,AI85+AH86-AQ85,IF(A86&lt;'Données projet'!$A$62,$AF$205^A86,IF(A86='Données projet'!$A$62,'Données projet'!$B$62,AI85+AH86-AQ85)))</f>
        <v>402.92499999999995</v>
      </c>
      <c r="AJ86" s="13">
        <f>AI86*VLOOKUP('Données projet'!$B$10,Paramètres!$A$1:$I$89,3,0)*VLOOKUP('Données projet'!$B$10,Paramètres!$A$1:$I$89,5,0)</f>
        <v>188.56889999999996</v>
      </c>
      <c r="AK86" s="13">
        <f t="shared" si="89"/>
        <v>47.223417871971755</v>
      </c>
      <c r="AL86" s="20">
        <f t="shared" si="58"/>
        <v>410.67162029368404</v>
      </c>
      <c r="AM86" s="59">
        <f t="shared" si="59"/>
        <v>704.00495362701736</v>
      </c>
      <c r="AN86" s="59">
        <f ca="1">AVERAGE(OFFSET($AM$3,0,0,'Données projet'!$E$10+1,1))-AVERAGE(OFFSET($H$3,0,0,'Données projet'!$E$10+1,1))</f>
        <v>337.10499990421835</v>
      </c>
      <c r="AO86" s="59">
        <f t="shared" si="90"/>
        <v>277.4254079562175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38.661250756098802</v>
      </c>
      <c r="AV86" s="21">
        <f>EXP(-LN(2)/25)*AV85+(1-EXP(-LN(2)/25))/(LN(2)/25)*Calculateur!AQ86*Calculateur!AS86*VLOOKUP('Données projet'!$B$10,Paramètres!$A$1:$I$89,3,0)*0.475*44/12</f>
        <v>18.083382523704785</v>
      </c>
      <c r="AW86" s="21">
        <f>EXP(-LN(2)/2)*AW85+(1-EXP(-LN(2)/2))/(LN(2)/2)*AQ86*AT86*VLOOKUP('Données projet'!$B$10,Paramètres!$A$1:$I$89,3,0)*0.475*44/12</f>
        <v>0.34765453986624478</v>
      </c>
      <c r="AX86" s="21">
        <f t="shared" si="60"/>
        <v>57.092287819669835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-4.2632564145606011E-14</v>
      </c>
      <c r="O87" s="13">
        <f>N87*VLOOKUP('Données projet'!$B$9,Paramètres!$A$1:$I$89,3,0)*VLOOKUP('Données projet'!$B$9,Paramètres!$A$1:$I$89,5,0)</f>
        <v>-3.8573944038944318E-14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167.24886661350195</v>
      </c>
      <c r="T87" s="59">
        <f t="shared" si="88"/>
        <v>234.73100822629613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2.1079354625604565</v>
      </c>
      <c r="AA87" s="21">
        <f>EXP(-LN(2)/25)*AA86+(1-EXP(-LN(2)/25))/(LN(2)/25)*Calculateur!V87*Calculateur!X87*VLOOKUP('Données projet'!$B$9,Paramètres!$A$1:$I$89,3,0)*0.475*44/12</f>
        <v>5.9996091305838277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8.1075445931442847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11.117500000000001</v>
      </c>
      <c r="AI87" s="13">
        <f>IF('Données projet'!$A$62&gt;35,AI86+AH87-AQ86,IF(A87&lt;'Données projet'!$A$62,$AF$205^A87,IF(A87='Données projet'!$A$62,'Données projet'!$B$62,AI86+AH87-AQ86)))</f>
        <v>414.04249999999996</v>
      </c>
      <c r="AJ87" s="13">
        <f>AI87*VLOOKUP('Données projet'!$B$10,Paramètres!$A$1:$I$89,3,0)*VLOOKUP('Données projet'!$B$10,Paramètres!$A$1:$I$89,5,0)</f>
        <v>193.77188999999998</v>
      </c>
      <c r="AK87" s="13">
        <f t="shared" si="89"/>
        <v>48.372907727823183</v>
      </c>
      <c r="AL87" s="20">
        <f t="shared" si="58"/>
        <v>421.73552270929196</v>
      </c>
      <c r="AM87" s="59">
        <f t="shared" si="59"/>
        <v>715.06885604262527</v>
      </c>
      <c r="AN87" s="59">
        <f ca="1">AVERAGE(OFFSET($AM$3,0,0,'Données projet'!$E$10+1,1))-AVERAGE(OFFSET($H$3,0,0,'Données projet'!$E$10+1,1))</f>
        <v>337.10499990421835</v>
      </c>
      <c r="AO87" s="59">
        <f t="shared" si="90"/>
        <v>277.4254079562175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37.903127209806229</v>
      </c>
      <c r="AV87" s="21">
        <f>EXP(-LN(2)/25)*AV86+(1-EXP(-LN(2)/25))/(LN(2)/25)*Calculateur!AQ87*Calculateur!AS87*VLOOKUP('Données projet'!$B$10,Paramètres!$A$1:$I$89,3,0)*0.475*44/12</f>
        <v>17.58889147763032</v>
      </c>
      <c r="AW87" s="21">
        <f>EXP(-LN(2)/2)*AW86+(1-EXP(-LN(2)/2))/(LN(2)/2)*AQ87*AT87*VLOOKUP('Données projet'!$B$10,Paramètres!$A$1:$I$89,3,0)*0.475*44/12</f>
        <v>0.24582888264971062</v>
      </c>
      <c r="AX87" s="21">
        <f t="shared" si="60"/>
        <v>55.737847570086259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-4.2632564145606011E-14</v>
      </c>
      <c r="O88" s="13">
        <f>N88*VLOOKUP('Données projet'!$B$9,Paramètres!$A$1:$I$89,3,0)*VLOOKUP('Données projet'!$B$9,Paramètres!$A$1:$I$89,5,0)</f>
        <v>-3.8573944038944318E-14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167.24886661350195</v>
      </c>
      <c r="T88" s="59">
        <f t="shared" si="88"/>
        <v>234.73100822629613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2.0666001338533246</v>
      </c>
      <c r="AA88" s="21">
        <f>EXP(-LN(2)/25)*AA87+(1-EXP(-LN(2)/25))/(LN(2)/25)*Calculateur!V88*Calculateur!X88*VLOOKUP('Données projet'!$B$9,Paramètres!$A$1:$I$89,3,0)*0.475*44/12</f>
        <v>5.8355495034022811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7.9021496372556062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425.16</v>
      </c>
      <c r="AG88" s="12">
        <f>VLOOKUP(A88,'Données projet'!$A$61:$I$81,9,0)</f>
        <v>11.117500000000001</v>
      </c>
      <c r="AH88" s="12">
        <f t="array" ref="AH88">INDEX(AG:AG,MIN(IF(ISNUMBER(AG88:AG284),ROW(AG88:AG284),"")))</f>
        <v>11.117500000000001</v>
      </c>
      <c r="AI88" s="13">
        <f>IF('Données projet'!$A$62&gt;35,AI87+AH88-AQ87,IF(A88&lt;'Données projet'!$A$62,$AF$205^A88,IF(A88='Données projet'!$A$62,'Données projet'!$B$62,AI87+AH88-AQ87)))</f>
        <v>425.15999999999997</v>
      </c>
      <c r="AJ88" s="13">
        <f>AI88*VLOOKUP('Données projet'!$B$10,Paramètres!$A$1:$I$89,3,0)*VLOOKUP('Données projet'!$B$10,Paramètres!$A$1:$I$89,5,0)</f>
        <v>198.97487999999998</v>
      </c>
      <c r="AK88" s="13">
        <f t="shared" si="89"/>
        <v>49.518810041794701</v>
      </c>
      <c r="AL88" s="20">
        <f t="shared" si="58"/>
        <v>432.79317682279242</v>
      </c>
      <c r="AM88" s="59">
        <f t="shared" si="59"/>
        <v>726.12651015612573</v>
      </c>
      <c r="AN88" s="59">
        <f ca="1">AVERAGE(OFFSET($AM$3,0,0,'Données projet'!$E$10+1,1))-AVERAGE(OFFSET($H$3,0,0,'Données projet'!$E$10+1,1))</f>
        <v>337.10499990421835</v>
      </c>
      <c r="AO88" s="59">
        <f t="shared" si="90"/>
        <v>277.4254079562175</v>
      </c>
      <c r="AP88" s="15">
        <f>IF(ISNA(VLOOKUP(A88,'Données projet'!$A$61:$I$81,3,0)),0,VLOOKUP(A88,'Données projet'!$A$61:$I$81,3,0))</f>
        <v>4</v>
      </c>
      <c r="AQ88" s="15">
        <f>IF(ISNA(VLOOKUP(A88,'Données projet'!$A$61:$I$81,4,0)),0,VLOOKUP(A88,'Données projet'!$A$61:$I$81,4,0))</f>
        <v>95.720000000000027</v>
      </c>
      <c r="AR88" s="16">
        <f>IF(ISNA(VLOOKUP(A88,'Données projet'!$A$61:$I$81,5,0)),0%,VLOOKUP(A88,'Données projet'!$A$61:$I$81,5,0)*VLOOKUP('Données projet'!$B$10,Paramètres!$A$1:$I$89,7,0))</f>
        <v>0.33</v>
      </c>
      <c r="AS88" s="16">
        <f>IF(ISNA(VLOOKUP(A88,'Données projet'!$A$61:$I$81,6,0)),0%,VLOOKUP(A88,'Données projet'!$A$61:$I$81,6,0)*VLOOKUP('Données projet'!$B$10,Paramètres!$A$1:$I$89,7,0))</f>
        <v>0.11000000000000001</v>
      </c>
      <c r="AT88" s="16">
        <f>IF(ISNA(VLOOKUP(A88,'Données projet'!$A$61:$I$81,7,0)),0%,VLOOKUP(A88,'Données projet'!$A$61:$I$81,7,0))</f>
        <v>0.2</v>
      </c>
      <c r="AU88" s="21">
        <f>EXP(-LN(2)/35)*AU87+(1-EXP(-LN(2)/35))/(LN(2)/35)*AQ88*AR88*VLOOKUP('Données projet'!$B$10,Paramètres!$A$1:$I$89,3,0)*0.475*44/12</f>
        <v>56.770468103603221</v>
      </c>
      <c r="AV88" s="21">
        <f>EXP(-LN(2)/25)*AV87+(1-EXP(-LN(2)/25))/(LN(2)/25)*Calculateur!AQ88*Calculateur!AS88*VLOOKUP('Données projet'!$B$10,Paramètres!$A$1:$I$89,3,0)*0.475*44/12</f>
        <v>23.619050216152928</v>
      </c>
      <c r="AW88" s="21">
        <f>EXP(-LN(2)/2)*AW87+(1-EXP(-LN(2)/2))/(LN(2)/2)*AQ88*AT88*VLOOKUP('Données projet'!$B$10,Paramètres!$A$1:$I$89,3,0)*0.475*44/12</f>
        <v>10.317940258533362</v>
      </c>
      <c r="AX88" s="21">
        <f t="shared" si="60"/>
        <v>90.707458578289504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-4.2632564145606011E-14</v>
      </c>
      <c r="O89" s="13">
        <f>N89*VLOOKUP('Données projet'!$B$9,Paramètres!$A$1:$I$89,3,0)*VLOOKUP('Données projet'!$B$9,Paramètres!$A$1:$I$89,5,0)</f>
        <v>-3.8573944038944318E-14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167.24886661350195</v>
      </c>
      <c r="T89" s="59">
        <f t="shared" si="88"/>
        <v>234.73100822629613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2.0260753657300783</v>
      </c>
      <c r="AA89" s="21">
        <f>EXP(-LN(2)/25)*AA88+(1-EXP(-LN(2)/25))/(LN(2)/25)*Calculateur!V89*Calculateur!X89*VLOOKUP('Données projet'!$B$9,Paramètres!$A$1:$I$89,3,0)*0.475*44/12</f>
        <v>5.6759760953535343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7.702051461083613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10.192500000000001</v>
      </c>
      <c r="AI89" s="13">
        <f>IF('Données projet'!$A$62&gt;35,AI88+AH89-AQ88,IF(A89&lt;'Données projet'!$A$62,$AF$205^A89,IF(A89='Données projet'!$A$62,'Données projet'!$B$62,AI88+AH89-AQ88)))</f>
        <v>339.63249999999994</v>
      </c>
      <c r="AJ89" s="13">
        <f>AI89*VLOOKUP('Données projet'!$B$10,Paramètres!$A$1:$I$89,3,0)*VLOOKUP('Données projet'!$B$10,Paramètres!$A$1:$I$89,5,0)</f>
        <v>158.94800999999998</v>
      </c>
      <c r="AK89" s="13">
        <f t="shared" si="89"/>
        <v>40.605145105192584</v>
      </c>
      <c r="AL89" s="20">
        <f t="shared" si="58"/>
        <v>347.55507847487706</v>
      </c>
      <c r="AM89" s="59">
        <f t="shared" si="59"/>
        <v>640.88841180821032</v>
      </c>
      <c r="AN89" s="59">
        <f ca="1">AVERAGE(OFFSET($AM$3,0,0,'Données projet'!$E$10+1,1))-AVERAGE(OFFSET($H$3,0,0,'Données projet'!$E$10+1,1))</f>
        <v>337.10499990421835</v>
      </c>
      <c r="AO89" s="59">
        <f t="shared" si="90"/>
        <v>277.4254079562175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55.657233850658017</v>
      </c>
      <c r="AV89" s="21">
        <f>EXP(-LN(2)/25)*AV88+(1-EXP(-LN(2)/25))/(LN(2)/25)*Calculateur!AQ89*Calculateur!AS89*VLOOKUP('Données projet'!$B$10,Paramètres!$A$1:$I$89,3,0)*0.475*44/12</f>
        <v>22.973186045920357</v>
      </c>
      <c r="AW89" s="21">
        <f>EXP(-LN(2)/2)*AW88+(1-EXP(-LN(2)/2))/(LN(2)/2)*AQ89*AT89*VLOOKUP('Données projet'!$B$10,Paramètres!$A$1:$I$89,3,0)*0.475*44/12</f>
        <v>7.2958855246866197</v>
      </c>
      <c r="AX89" s="21">
        <f t="shared" si="60"/>
        <v>85.926305421264999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-4.2632564145606011E-14</v>
      </c>
      <c r="O90" s="13">
        <f>N90*VLOOKUP('Données projet'!$B$9,Paramètres!$A$1:$I$89,3,0)*VLOOKUP('Données projet'!$B$9,Paramètres!$A$1:$I$89,5,0)</f>
        <v>-3.8573944038944318E-14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167.24886661350195</v>
      </c>
      <c r="T90" s="59">
        <f t="shared" si="88"/>
        <v>234.73100822629613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1.9863452635920611</v>
      </c>
      <c r="AA90" s="21">
        <f>EXP(-LN(2)/25)*AA89+(1-EXP(-LN(2)/25))/(LN(2)/25)*Calculateur!V90*Calculateur!X90*VLOOKUP('Données projet'!$B$9,Paramètres!$A$1:$I$89,3,0)*0.475*44/12</f>
        <v>5.5207662305394818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7.5071114941315429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10.192500000000001</v>
      </c>
      <c r="AI90" s="13">
        <f>IF('Données projet'!$A$62&gt;35,AI89+AH90-AQ89,IF(A90&lt;'Données projet'!$A$62,$AF$205^A90,IF(A90='Données projet'!$A$62,'Données projet'!$B$62,AI89+AH90-AQ89)))</f>
        <v>349.82499999999993</v>
      </c>
      <c r="AJ90" s="13">
        <f>AI90*VLOOKUP('Données projet'!$B$10,Paramètres!$A$1:$I$89,3,0)*VLOOKUP('Données projet'!$B$10,Paramètres!$A$1:$I$89,5,0)</f>
        <v>163.71809999999996</v>
      </c>
      <c r="AK90" s="13">
        <f t="shared" si="89"/>
        <v>41.680018719903437</v>
      </c>
      <c r="AL90" s="20">
        <f t="shared" si="58"/>
        <v>357.73505677049843</v>
      </c>
      <c r="AM90" s="59">
        <f t="shared" si="59"/>
        <v>651.06839010383169</v>
      </c>
      <c r="AN90" s="59">
        <f ca="1">AVERAGE(OFFSET($AM$3,0,0,'Données projet'!$E$10+1,1))-AVERAGE(OFFSET($H$3,0,0,'Données projet'!$E$10+1,1))</f>
        <v>337.10499990421835</v>
      </c>
      <c r="AO90" s="59">
        <f t="shared" si="90"/>
        <v>277.4254079562175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54.565829442407221</v>
      </c>
      <c r="AV90" s="21">
        <f>EXP(-LN(2)/25)*AV89+(1-EXP(-LN(2)/25))/(LN(2)/25)*Calculateur!AQ90*Calculateur!AS90*VLOOKUP('Données projet'!$B$10,Paramètres!$A$1:$I$89,3,0)*0.475*44/12</f>
        <v>22.344983065387318</v>
      </c>
      <c r="AW90" s="21">
        <f>EXP(-LN(2)/2)*AW89+(1-EXP(-LN(2)/2))/(LN(2)/2)*AQ90*AT90*VLOOKUP('Données projet'!$B$10,Paramètres!$A$1:$I$89,3,0)*0.475*44/12</f>
        <v>5.158970129266681</v>
      </c>
      <c r="AX90" s="21">
        <f t="shared" si="60"/>
        <v>82.069782637061209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-4.2632564145606011E-14</v>
      </c>
      <c r="O91" s="13">
        <f>N91*VLOOKUP('Données projet'!$B$9,Paramètres!$A$1:$I$89,3,0)*VLOOKUP('Données projet'!$B$9,Paramètres!$A$1:$I$89,5,0)</f>
        <v>-3.8573944038944318E-14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167.24886661350195</v>
      </c>
      <c r="T91" s="59">
        <f t="shared" si="88"/>
        <v>234.73100822629613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1.9473942445240009</v>
      </c>
      <c r="AA91" s="21">
        <f>EXP(-LN(2)/25)*AA90+(1-EXP(-LN(2)/25))/(LN(2)/25)*Calculateur!V91*Calculateur!X91*VLOOKUP('Données projet'!$B$9,Paramètres!$A$1:$I$89,3,0)*0.475*44/12</f>
        <v>5.3698005876409018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7.317194832164903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10.192500000000001</v>
      </c>
      <c r="AI91" s="13">
        <f>IF('Données projet'!$A$62&gt;35,AI90+AH91-AQ90,IF(A91&lt;'Données projet'!$A$62,$AF$205^A91,IF(A91='Données projet'!$A$62,'Données projet'!$B$62,AI90+AH91-AQ90)))</f>
        <v>360.01749999999993</v>
      </c>
      <c r="AJ91" s="13">
        <f>AI91*VLOOKUP('Données projet'!$B$10,Paramètres!$A$1:$I$89,3,0)*VLOOKUP('Données projet'!$B$10,Paramètres!$A$1:$I$89,5,0)</f>
        <v>168.48818999999997</v>
      </c>
      <c r="AK91" s="13">
        <f t="shared" si="89"/>
        <v>42.751252606373484</v>
      </c>
      <c r="AL91" s="20">
        <f t="shared" si="58"/>
        <v>367.90869587276711</v>
      </c>
      <c r="AM91" s="59">
        <f t="shared" si="59"/>
        <v>661.24202920610037</v>
      </c>
      <c r="AN91" s="59">
        <f ca="1">AVERAGE(OFFSET($AM$3,0,0,'Données projet'!$E$10+1,1))-AVERAGE(OFFSET($H$3,0,0,'Données projet'!$E$10+1,1))</f>
        <v>337.10499990421835</v>
      </c>
      <c r="AO91" s="59">
        <f t="shared" si="90"/>
        <v>277.4254079562175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53.495826808911261</v>
      </c>
      <c r="AV91" s="21">
        <f>EXP(-LN(2)/25)*AV90+(1-EXP(-LN(2)/25))/(LN(2)/25)*Calculateur!AQ91*Calculateur!AS91*VLOOKUP('Données projet'!$B$10,Paramètres!$A$1:$I$89,3,0)*0.475*44/12</f>
        <v>21.733958328392713</v>
      </c>
      <c r="AW91" s="21">
        <f>EXP(-LN(2)/2)*AW90+(1-EXP(-LN(2)/2))/(LN(2)/2)*AQ91*AT91*VLOOKUP('Données projet'!$B$10,Paramètres!$A$1:$I$89,3,0)*0.475*44/12</f>
        <v>3.6479427623433098</v>
      </c>
      <c r="AX91" s="21">
        <f t="shared" si="60"/>
        <v>78.877727899647283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-4.2632564145606011E-14</v>
      </c>
      <c r="O92" s="13">
        <f>N92*VLOOKUP('Données projet'!$B$9,Paramètres!$A$1:$I$89,3,0)*VLOOKUP('Données projet'!$B$9,Paramètres!$A$1:$I$89,5,0)</f>
        <v>-3.8573944038944318E-14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167.24886661350195</v>
      </c>
      <c r="T92" s="59">
        <f t="shared" si="88"/>
        <v>234.73100822629613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1.9092070311820895</v>
      </c>
      <c r="AA92" s="21">
        <f>EXP(-LN(2)/25)*AA91+(1-EXP(-LN(2)/25))/(LN(2)/25)*Calculateur!V92*Calculateur!X92*VLOOKUP('Données projet'!$B$9,Paramètres!$A$1:$I$89,3,0)*0.475*44/12</f>
        <v>5.2229631081863213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7.1321701393684105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10.192500000000001</v>
      </c>
      <c r="AI92" s="13">
        <f>IF('Données projet'!$A$62&gt;35,AI91+AH92-AQ91,IF(A92&lt;'Données projet'!$A$62,$AF$205^A92,IF(A92='Données projet'!$A$62,'Données projet'!$B$62,AI91+AH92-AQ91)))</f>
        <v>370.20999999999992</v>
      </c>
      <c r="AJ92" s="13">
        <f>AI92*VLOOKUP('Données projet'!$B$10,Paramètres!$A$1:$I$89,3,0)*VLOOKUP('Données projet'!$B$10,Paramètres!$A$1:$I$89,5,0)</f>
        <v>173.25827999999996</v>
      </c>
      <c r="AK92" s="13">
        <f t="shared" si="89"/>
        <v>43.818961645566453</v>
      </c>
      <c r="AL92" s="20">
        <f t="shared" si="58"/>
        <v>378.07619586602806</v>
      </c>
      <c r="AM92" s="59">
        <f t="shared" si="59"/>
        <v>671.40952919936137</v>
      </c>
      <c r="AN92" s="59">
        <f ca="1">AVERAGE(OFFSET($AM$3,0,0,'Données projet'!$E$10+1,1))-AVERAGE(OFFSET($H$3,0,0,'Données projet'!$E$10+1,1))</f>
        <v>337.10499990421835</v>
      </c>
      <c r="AO92" s="59">
        <f t="shared" si="90"/>
        <v>277.4254079562175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52.446806274420993</v>
      </c>
      <c r="AV92" s="21">
        <f>EXP(-LN(2)/25)*AV91+(1-EXP(-LN(2)/25))/(LN(2)/25)*Calculateur!AQ92*Calculateur!AS92*VLOOKUP('Données projet'!$B$10,Paramètres!$A$1:$I$89,3,0)*0.475*44/12</f>
        <v>21.139642094963619</v>
      </c>
      <c r="AW92" s="21">
        <f>EXP(-LN(2)/2)*AW91+(1-EXP(-LN(2)/2))/(LN(2)/2)*AQ92*AT92*VLOOKUP('Données projet'!$B$10,Paramètres!$A$1:$I$89,3,0)*0.475*44/12</f>
        <v>2.5794850646333405</v>
      </c>
      <c r="AX92" s="21">
        <f t="shared" si="60"/>
        <v>76.165933434017958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-4.2632564145606011E-14</v>
      </c>
      <c r="O93" s="13">
        <f>N93*VLOOKUP('Données projet'!$B$9,Paramètres!$A$1:$I$89,3,0)*VLOOKUP('Données projet'!$B$9,Paramètres!$A$1:$I$89,5,0)</f>
        <v>-3.8573944038944318E-14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167.24886661350195</v>
      </c>
      <c r="T93" s="59">
        <f t="shared" si="88"/>
        <v>234.73100822629613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1.8717686458019127</v>
      </c>
      <c r="AA93" s="21">
        <f>EXP(-LN(2)/25)*AA92+(1-EXP(-LN(2)/25))/(LN(2)/25)*Calculateur!V93*Calculateur!X93*VLOOKUP('Données projet'!$B$9,Paramètres!$A$1:$I$89,3,0)*0.475*44/12</f>
        <v>5.080140907329274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6.9519095531311867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10.192500000000001</v>
      </c>
      <c r="AI93" s="13">
        <f>IF('Données projet'!$A$62&gt;35,AI92+AH93-AQ92,IF(A93&lt;'Données projet'!$A$62,$AF$205^A93,IF(A93='Données projet'!$A$62,'Données projet'!$B$62,AI92+AH93-AQ92)))</f>
        <v>380.40249999999992</v>
      </c>
      <c r="AJ93" s="13">
        <f>AI93*VLOOKUP('Données projet'!$B$10,Paramètres!$A$1:$I$89,3,0)*VLOOKUP('Données projet'!$B$10,Paramètres!$A$1:$I$89,5,0)</f>
        <v>178.02836999999997</v>
      </c>
      <c r="AK93" s="13">
        <f t="shared" si="89"/>
        <v>44.883254032720146</v>
      </c>
      <c r="AL93" s="20">
        <f t="shared" si="58"/>
        <v>388.23774519032082</v>
      </c>
      <c r="AM93" s="59">
        <f t="shared" si="59"/>
        <v>681.57107852365414</v>
      </c>
      <c r="AN93" s="59">
        <f ca="1">AVERAGE(OFFSET($AM$3,0,0,'Données projet'!$E$10+1,1))-AVERAGE(OFFSET($H$3,0,0,'Données projet'!$E$10+1,1))</f>
        <v>337.10499990421835</v>
      </c>
      <c r="AO93" s="59">
        <f t="shared" si="90"/>
        <v>277.4254079562175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51.418356392772736</v>
      </c>
      <c r="AV93" s="21">
        <f>EXP(-LN(2)/25)*AV92+(1-EXP(-LN(2)/25))/(LN(2)/25)*Calculateur!AQ93*Calculateur!AS93*VLOOKUP('Données projet'!$B$10,Paramètres!$A$1:$I$89,3,0)*0.475*44/12</f>
        <v>20.561577470191377</v>
      </c>
      <c r="AW93" s="21">
        <f>EXP(-LN(2)/2)*AW92+(1-EXP(-LN(2)/2))/(LN(2)/2)*AQ93*AT93*VLOOKUP('Données projet'!$B$10,Paramètres!$A$1:$I$89,3,0)*0.475*44/12</f>
        <v>1.8239713811716549</v>
      </c>
      <c r="AX93" s="21">
        <f t="shared" si="60"/>
        <v>73.803905244135777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-4.2632564145606011E-14</v>
      </c>
      <c r="O94" s="13">
        <f>N94*VLOOKUP('Données projet'!$B$9,Paramètres!$A$1:$I$89,3,0)*VLOOKUP('Données projet'!$B$9,Paramètres!$A$1:$I$89,5,0)</f>
        <v>-3.8573944038944318E-14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167.24886661350195</v>
      </c>
      <c r="T94" s="59">
        <f t="shared" si="88"/>
        <v>234.73100822629613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1.8350644043238811</v>
      </c>
      <c r="AA94" s="21">
        <f>EXP(-LN(2)/25)*AA93+(1-EXP(-LN(2)/25))/(LN(2)/25)*Calculateur!V94*Calculateur!X94*VLOOKUP('Données projet'!$B$9,Paramètres!$A$1:$I$89,3,0)*0.475*44/12</f>
        <v>4.9412241870653553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6.7762885913892363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10.192500000000001</v>
      </c>
      <c r="AI94" s="13">
        <f>IF('Données projet'!$A$62&gt;35,AI93+AH94-AQ93,IF(A94&lt;'Données projet'!$A$62,$AF$205^A94,IF(A94='Données projet'!$A$62,'Données projet'!$B$62,AI93+AH94-AQ93)))</f>
        <v>390.59499999999991</v>
      </c>
      <c r="AJ94" s="13">
        <f>AI94*VLOOKUP('Données projet'!$B$10,Paramètres!$A$1:$I$89,3,0)*VLOOKUP('Données projet'!$B$10,Paramètres!$A$1:$I$89,5,0)</f>
        <v>182.79845999999995</v>
      </c>
      <c r="AK94" s="13">
        <f t="shared" si="89"/>
        <v>45.944231835010378</v>
      </c>
      <c r="AL94" s="20">
        <f t="shared" si="58"/>
        <v>398.39352161264304</v>
      </c>
      <c r="AM94" s="59">
        <f t="shared" si="59"/>
        <v>691.72685494597636</v>
      </c>
      <c r="AN94" s="59">
        <f ca="1">AVERAGE(OFFSET($AM$3,0,0,'Données projet'!$E$10+1,1))-AVERAGE(OFFSET($H$3,0,0,'Données projet'!$E$10+1,1))</f>
        <v>337.10499990421835</v>
      </c>
      <c r="AO94" s="59">
        <f t="shared" si="90"/>
        <v>277.4254079562175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50.410073786011111</v>
      </c>
      <c r="AV94" s="21">
        <f>EXP(-LN(2)/25)*AV93+(1-EXP(-LN(2)/25))/(LN(2)/25)*Calculateur!AQ94*Calculateur!AS94*VLOOKUP('Données projet'!$B$10,Paramètres!$A$1:$I$89,3,0)*0.475*44/12</f>
        <v>19.999320052982629</v>
      </c>
      <c r="AW94" s="21">
        <f>EXP(-LN(2)/2)*AW93+(1-EXP(-LN(2)/2))/(LN(2)/2)*AQ94*AT94*VLOOKUP('Données projet'!$B$10,Paramètres!$A$1:$I$89,3,0)*0.475*44/12</f>
        <v>1.2897425323166702</v>
      </c>
      <c r="AX94" s="21">
        <f t="shared" si="60"/>
        <v>71.699136371310402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-4.2632564145606011E-14</v>
      </c>
      <c r="O95" s="13">
        <f>N95*VLOOKUP('Données projet'!$B$9,Paramètres!$A$1:$I$89,3,0)*VLOOKUP('Données projet'!$B$9,Paramètres!$A$1:$I$89,5,0)</f>
        <v>-3.8573944038944318E-14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167.24886661350195</v>
      </c>
      <c r="T95" s="59">
        <f t="shared" si="88"/>
        <v>234.73100822629613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1.7990799106338569</v>
      </c>
      <c r="AA95" s="21">
        <f>EXP(-LN(2)/25)*AA94+(1-EXP(-LN(2)/25))/(LN(2)/25)*Calculateur!V95*Calculateur!X95*VLOOKUP('Données projet'!$B$9,Paramètres!$A$1:$I$89,3,0)*0.475*44/12</f>
        <v>4.8061061518223669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6.605186062456224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10.192500000000001</v>
      </c>
      <c r="AI95" s="13">
        <f>IF('Données projet'!$A$62&gt;35,AI94+AH95-AQ94,IF(A95&lt;'Données projet'!$A$62,$AF$205^A95,IF(A95='Données projet'!$A$62,'Données projet'!$B$62,AI94+AH95-AQ94)))</f>
        <v>400.78749999999991</v>
      </c>
      <c r="AJ95" s="13">
        <f>AI95*VLOOKUP('Données projet'!$B$10,Paramètres!$A$1:$I$89,3,0)*VLOOKUP('Données projet'!$B$10,Paramètres!$A$1:$I$89,5,0)</f>
        <v>187.56854999999999</v>
      </c>
      <c r="AK95" s="13">
        <f t="shared" si="89"/>
        <v>47.00199148936823</v>
      </c>
      <c r="AL95" s="20">
        <f t="shared" si="58"/>
        <v>408.54369309398299</v>
      </c>
      <c r="AM95" s="59">
        <f t="shared" si="59"/>
        <v>701.87702642731631</v>
      </c>
      <c r="AN95" s="59">
        <f ca="1">AVERAGE(OFFSET($AM$3,0,0,'Données projet'!$E$10+1,1))-AVERAGE(OFFSET($H$3,0,0,'Données projet'!$E$10+1,1))</f>
        <v>337.10499990421835</v>
      </c>
      <c r="AO95" s="59">
        <f t="shared" si="90"/>
        <v>277.4254079562175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49.421562986176419</v>
      </c>
      <c r="AV95" s="21">
        <f>EXP(-LN(2)/25)*AV94+(1-EXP(-LN(2)/25))/(LN(2)/25)*Calculateur!AQ95*Calculateur!AS95*VLOOKUP('Données projet'!$B$10,Paramètres!$A$1:$I$89,3,0)*0.475*44/12</f>
        <v>19.452437594415287</v>
      </c>
      <c r="AW95" s="21">
        <f>EXP(-LN(2)/2)*AW94+(1-EXP(-LN(2)/2))/(LN(2)/2)*AQ95*AT95*VLOOKUP('Données projet'!$B$10,Paramètres!$A$1:$I$89,3,0)*0.475*44/12</f>
        <v>0.91198569058582746</v>
      </c>
      <c r="AX95" s="21">
        <f t="shared" si="60"/>
        <v>69.785986271177535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-4.2632564145606011E-14</v>
      </c>
      <c r="O96" s="13">
        <f>N96*VLOOKUP('Données projet'!$B$9,Paramètres!$A$1:$I$89,3,0)*VLOOKUP('Données projet'!$B$9,Paramètres!$A$1:$I$89,5,0)</f>
        <v>-3.8573944038944318E-14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167.24886661350195</v>
      </c>
      <c r="T96" s="59">
        <f t="shared" si="88"/>
        <v>234.73100822629613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1.7638010509167201</v>
      </c>
      <c r="AA96" s="21">
        <f>EXP(-LN(2)/25)*AA95+(1-EXP(-LN(2)/25))/(LN(2)/25)*Calculateur!V96*Calculateur!X96*VLOOKUP('Données projet'!$B$9,Paramètres!$A$1:$I$89,3,0)*0.475*44/12</f>
        <v>4.6746829263586465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6.4384839772753661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10.192500000000001</v>
      </c>
      <c r="AI96" s="13">
        <f>IF('Données projet'!$A$62&gt;35,AI95+AH96-AQ95,IF(A96&lt;'Données projet'!$A$62,$AF$205^A96,IF(A96='Données projet'!$A$62,'Données projet'!$B$62,AI95+AH96-AQ95)))</f>
        <v>410.9799999999999</v>
      </c>
      <c r="AJ96" s="13">
        <f>AI96*VLOOKUP('Données projet'!$B$10,Paramètres!$A$1:$I$89,3,0)*VLOOKUP('Données projet'!$B$10,Paramètres!$A$1:$I$89,5,0)</f>
        <v>192.33863999999997</v>
      </c>
      <c r="AK96" s="13">
        <f t="shared" si="89"/>
        <v>48.056624248232239</v>
      </c>
      <c r="AL96" s="20">
        <f t="shared" si="58"/>
        <v>418.68841856567104</v>
      </c>
      <c r="AM96" s="59">
        <f t="shared" si="59"/>
        <v>712.02175189900436</v>
      </c>
      <c r="AN96" s="59">
        <f ca="1">AVERAGE(OFFSET($AM$3,0,0,'Données projet'!$E$10+1,1))-AVERAGE(OFFSET($H$3,0,0,'Données projet'!$E$10+1,1))</f>
        <v>337.10499990421835</v>
      </c>
      <c r="AO96" s="59">
        <f t="shared" si="90"/>
        <v>277.4254079562175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48.452436280194433</v>
      </c>
      <c r="AV96" s="21">
        <f>EXP(-LN(2)/25)*AV95+(1-EXP(-LN(2)/25))/(LN(2)/25)*Calculateur!AQ96*Calculateur!AS96*VLOOKUP('Données projet'!$B$10,Paramètres!$A$1:$I$89,3,0)*0.475*44/12</f>
        <v>18.920509665436768</v>
      </c>
      <c r="AW96" s="21">
        <f>EXP(-LN(2)/2)*AW95+(1-EXP(-LN(2)/2))/(LN(2)/2)*AQ96*AT96*VLOOKUP('Données projet'!$B$10,Paramètres!$A$1:$I$89,3,0)*0.475*44/12</f>
        <v>0.64487126615833512</v>
      </c>
      <c r="AX96" s="21">
        <f t="shared" si="60"/>
        <v>68.017817211789534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-4.2632564145606011E-14</v>
      </c>
      <c r="O97" s="13">
        <f>N97*VLOOKUP('Données projet'!$B$9,Paramètres!$A$1:$I$89,3,0)*VLOOKUP('Données projet'!$B$9,Paramètres!$A$1:$I$89,5,0)</f>
        <v>-3.8573944038944318E-14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167.24886661350195</v>
      </c>
      <c r="T97" s="59">
        <f t="shared" si="88"/>
        <v>234.73100822629613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1.7292139881206567</v>
      </c>
      <c r="AA97" s="21">
        <f>EXP(-LN(2)/25)*AA96+(1-EXP(-LN(2)/25))/(LN(2)/25)*Calculateur!V97*Calculateur!X97*VLOOKUP('Données projet'!$B$9,Paramètres!$A$1:$I$89,3,0)*0.475*44/12</f>
        <v>4.5468534759064783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6.2760674640271352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10.192500000000001</v>
      </c>
      <c r="AI97" s="13">
        <f>IF('Données projet'!$A$62&gt;35,AI96+AH97-AQ96,IF(A97&lt;'Données projet'!$A$62,$AF$205^A97,IF(A97='Données projet'!$A$62,'Données projet'!$B$62,AI96+AH97-AQ96)))</f>
        <v>421.1724999999999</v>
      </c>
      <c r="AJ97" s="13">
        <f>AI97*VLOOKUP('Données projet'!$B$10,Paramètres!$A$1:$I$89,3,0)*VLOOKUP('Données projet'!$B$10,Paramètres!$A$1:$I$89,5,0)</f>
        <v>197.10872999999995</v>
      </c>
      <c r="AK97" s="13">
        <f t="shared" si="89"/>
        <v>49.108216579835904</v>
      </c>
      <c r="AL97" s="20">
        <f t="shared" si="58"/>
        <v>428.82784862654739</v>
      </c>
      <c r="AM97" s="59">
        <f t="shared" si="59"/>
        <v>722.16118195988065</v>
      </c>
      <c r="AN97" s="59">
        <f ca="1">AVERAGE(OFFSET($AM$3,0,0,'Données projet'!$E$10+1,1))-AVERAGE(OFFSET($H$3,0,0,'Données projet'!$E$10+1,1))</f>
        <v>337.10499990421835</v>
      </c>
      <c r="AO97" s="59">
        <f t="shared" si="90"/>
        <v>277.4254079562175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47.502313557807831</v>
      </c>
      <c r="AV97" s="21">
        <f>EXP(-LN(2)/25)*AV96+(1-EXP(-LN(2)/25))/(LN(2)/25)*Calculateur!AQ97*Calculateur!AS97*VLOOKUP('Données projet'!$B$10,Paramètres!$A$1:$I$89,3,0)*0.475*44/12</f>
        <v>18.403127333649039</v>
      </c>
      <c r="AW97" s="21">
        <f>EXP(-LN(2)/2)*AW96+(1-EXP(-LN(2)/2))/(LN(2)/2)*AQ97*AT97*VLOOKUP('Données projet'!$B$10,Paramètres!$A$1:$I$89,3,0)*0.475*44/12</f>
        <v>0.45599284529291373</v>
      </c>
      <c r="AX97" s="21">
        <f t="shared" si="60"/>
        <v>66.361433736749774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-4.2632564145606011E-14</v>
      </c>
      <c r="O98" s="13">
        <f>N98*VLOOKUP('Données projet'!$B$9,Paramètres!$A$1:$I$89,3,0)*VLOOKUP('Données projet'!$B$9,Paramètres!$A$1:$I$89,5,0)</f>
        <v>-3.8573944038944318E-14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167.24886661350195</v>
      </c>
      <c r="T98" s="59">
        <f t="shared" si="88"/>
        <v>234.73100822629613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1.6953051565299988</v>
      </c>
      <c r="AA98" s="21">
        <f>EXP(-LN(2)/25)*AA97+(1-EXP(-LN(2)/25))/(LN(2)/25)*Calculateur!V98*Calculateur!X98*VLOOKUP('Données projet'!$B$9,Paramètres!$A$1:$I$89,3,0)*0.475*44/12</f>
        <v>4.4225195284991834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6.1178246850291824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10.192500000000001</v>
      </c>
      <c r="AI98" s="13">
        <f>IF('Données projet'!$A$62&gt;35,AI97+AH98-AQ97,IF(A98&lt;'Données projet'!$A$62,$AF$205^A98,IF(A98='Données projet'!$A$62,'Données projet'!$B$62,AI97+AH98-AQ97)))</f>
        <v>431.3649999999999</v>
      </c>
      <c r="AJ98" s="13">
        <f>AI98*VLOOKUP('Données projet'!$B$10,Paramètres!$A$1:$I$89,3,0)*VLOOKUP('Données projet'!$B$10,Paramètres!$A$1:$I$89,5,0)</f>
        <v>201.87881999999993</v>
      </c>
      <c r="AK98" s="13">
        <f t="shared" si="89"/>
        <v>50.156850528656342</v>
      </c>
      <c r="AL98" s="20">
        <f t="shared" si="58"/>
        <v>438.96212617074298</v>
      </c>
      <c r="AM98" s="59">
        <f t="shared" si="59"/>
        <v>732.29545950407623</v>
      </c>
      <c r="AN98" s="59">
        <f ca="1">AVERAGE(OFFSET($AM$3,0,0,'Données projet'!$E$10+1,1))-AVERAGE(OFFSET($H$3,0,0,'Données projet'!$E$10+1,1))</f>
        <v>337.10499990421835</v>
      </c>
      <c r="AO98" s="59">
        <f t="shared" si="90"/>
        <v>277.4254079562175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46.570822162489591</v>
      </c>
      <c r="AV98" s="21">
        <f>EXP(-LN(2)/25)*AV97+(1-EXP(-LN(2)/25))/(LN(2)/25)*Calculateur!AQ98*Calculateur!AS98*VLOOKUP('Données projet'!$B$10,Paramètres!$A$1:$I$89,3,0)*0.475*44/12</f>
        <v>17.899892848932001</v>
      </c>
      <c r="AW98" s="21">
        <f>EXP(-LN(2)/2)*AW97+(1-EXP(-LN(2)/2))/(LN(2)/2)*AQ98*AT98*VLOOKUP('Données projet'!$B$10,Paramètres!$A$1:$I$89,3,0)*0.475*44/12</f>
        <v>0.32243563307916756</v>
      </c>
      <c r="AX98" s="21">
        <f t="shared" si="60"/>
        <v>64.793150644500756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-4.2632564145606011E-14</v>
      </c>
      <c r="O99" s="13">
        <f>N99*VLOOKUP('Données projet'!$B$9,Paramètres!$A$1:$I$89,3,0)*VLOOKUP('Données projet'!$B$9,Paramètres!$A$1:$I$89,5,0)</f>
        <v>-3.8573944038944318E-14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167.24886661350195</v>
      </c>
      <c r="T99" s="59">
        <f t="shared" si="88"/>
        <v>234.73100822629613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1.6620612564444885</v>
      </c>
      <c r="AA99" s="21">
        <f>EXP(-LN(2)/25)*AA98+(1-EXP(-LN(2)/25))/(LN(2)/25)*Calculateur!V99*Calculateur!X99*VLOOKUP('Données projet'!$B$9,Paramètres!$A$1:$I$89,3,0)*0.475*44/12</f>
        <v>4.3015854994221794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5.9636467558666677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10.192500000000001</v>
      </c>
      <c r="AI99" s="13">
        <f>IF('Données projet'!$A$62&gt;35,AI98+AH99-AQ98,IF(A99&lt;'Données projet'!$A$62,$AF$205^A99,IF(A99='Données projet'!$A$62,'Données projet'!$B$62,AI98+AH99-AQ98)))</f>
        <v>441.55749999999989</v>
      </c>
      <c r="AJ99" s="13">
        <f>AI99*VLOOKUP('Données projet'!$B$10,Paramètres!$A$1:$I$89,3,0)*VLOOKUP('Données projet'!$B$10,Paramètres!$A$1:$I$89,5,0)</f>
        <v>206.64890999999994</v>
      </c>
      <c r="AK99" s="13">
        <f t="shared" si="89"/>
        <v>51.202604040835197</v>
      </c>
      <c r="AL99" s="20">
        <f t="shared" si="58"/>
        <v>449.09138695445449</v>
      </c>
      <c r="AM99" s="59">
        <f t="shared" si="59"/>
        <v>742.42472028778775</v>
      </c>
      <c r="AN99" s="59">
        <f ca="1">AVERAGE(OFFSET($AM$3,0,0,'Données projet'!$E$10+1,1))-AVERAGE(OFFSET($H$3,0,0,'Données projet'!$E$10+1,1))</f>
        <v>337.10499990421835</v>
      </c>
      <c r="AO99" s="59">
        <f t="shared" si="90"/>
        <v>277.4254079562175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45.657596745279889</v>
      </c>
      <c r="AV99" s="21">
        <f>EXP(-LN(2)/25)*AV98+(1-EXP(-LN(2)/25))/(LN(2)/25)*Calculateur!AQ99*Calculateur!AS99*VLOOKUP('Données projet'!$B$10,Paramètres!$A$1:$I$89,3,0)*0.475*44/12</f>
        <v>17.410419337663502</v>
      </c>
      <c r="AW99" s="21">
        <f>EXP(-LN(2)/2)*AW98+(1-EXP(-LN(2)/2))/(LN(2)/2)*AQ99*AT99*VLOOKUP('Données projet'!$B$10,Paramètres!$A$1:$I$89,3,0)*0.475*44/12</f>
        <v>0.22799642264645686</v>
      </c>
      <c r="AX99" s="21">
        <f t="shared" si="60"/>
        <v>63.296012505589843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-4.2632564145606011E-14</v>
      </c>
      <c r="O100" s="13">
        <f>N100*VLOOKUP('Données projet'!$B$9,Paramètres!$A$1:$I$89,3,0)*VLOOKUP('Données projet'!$B$9,Paramètres!$A$1:$I$89,5,0)</f>
        <v>-3.8573944038944318E-14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167.24886661350195</v>
      </c>
      <c r="T100" s="59">
        <f t="shared" si="88"/>
        <v>234.73100822629613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1.6294692489628784</v>
      </c>
      <c r="AA100" s="21">
        <f>EXP(-LN(2)/25)*AA99+(1-EXP(-LN(2)/25))/(LN(2)/25)*Calculateur!V100*Calculateur!X100*VLOOKUP('Données projet'!$B$9,Paramètres!$A$1:$I$89,3,0)*0.475*44/12</f>
        <v>4.1839584177299303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5.8134276666928084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>
        <f>VLOOKUP(A100,'Données projet'!$A$61:$I$81,2,0)</f>
        <v>451.75</v>
      </c>
      <c r="AG100" s="12">
        <f>VLOOKUP(A100,'Données projet'!$A$61:$I$81,9,0)</f>
        <v>10.192500000000001</v>
      </c>
      <c r="AH100" s="12">
        <f t="array" ref="AH100">INDEX(AG:AG,MIN(IF(ISNUMBER(AG100:AG296),ROW(AG100:AG296),"")))</f>
        <v>10.192500000000001</v>
      </c>
      <c r="AI100" s="13">
        <f>IF('Données projet'!$A$62&gt;35,AI99+AH100-AQ99,IF(A100&lt;'Données projet'!$A$62,$AF$205^A100,IF(A100='Données projet'!$A$62,'Données projet'!$B$62,AI99+AH100-AQ99)))</f>
        <v>451.74999999999989</v>
      </c>
      <c r="AJ100" s="13">
        <f>AI100*VLOOKUP('Données projet'!$B$10,Paramètres!$A$1:$I$89,3,0)*VLOOKUP('Données projet'!$B$10,Paramètres!$A$1:$I$89,5,0)</f>
        <v>211.41899999999995</v>
      </c>
      <c r="AK100" s="13">
        <f t="shared" si="89"/>
        <v>52.245551258706243</v>
      </c>
      <c r="AL100" s="20">
        <f t="shared" si="58"/>
        <v>459.21576010891323</v>
      </c>
      <c r="AM100" s="59">
        <f t="shared" si="59"/>
        <v>752.54909344224654</v>
      </c>
      <c r="AN100" s="59">
        <f ca="1">AVERAGE(OFFSET($AM$3,0,0,'Données projet'!$E$10+1,1))-AVERAGE(OFFSET($H$3,0,0,'Données projet'!$E$10+1,1))</f>
        <v>337.10499990421835</v>
      </c>
      <c r="AO100" s="59">
        <f t="shared" si="90"/>
        <v>277.4254079562175</v>
      </c>
      <c r="AP100" s="15">
        <f>IF(ISNA(VLOOKUP(A100,'Données projet'!$A$61:$I$81,3,0)),0,VLOOKUP(A100,'Données projet'!$A$61:$I$81,3,0))</f>
        <v>5</v>
      </c>
      <c r="AQ100" s="15">
        <f>IF(ISNA(VLOOKUP(A100,'Données projet'!$A$61:$I$81,4,0)),0,VLOOKUP(A100,'Données projet'!$A$61:$I$81,4,0))</f>
        <v>90.589999999999975</v>
      </c>
      <c r="AR100" s="16">
        <f>IF(ISNA(VLOOKUP(A100,'Données projet'!$A$61:$I$81,5,0)),0%,VLOOKUP(A100,'Données projet'!$A$61:$I$81,5,0)*VLOOKUP('Données projet'!$B$10,Paramètres!$A$1:$I$89,7,0))</f>
        <v>0.33</v>
      </c>
      <c r="AS100" s="16">
        <f>IF(ISNA(VLOOKUP(A100,'Données projet'!$A$61:$I$81,6,0)),0%,VLOOKUP(A100,'Données projet'!$A$61:$I$81,6,0)*VLOOKUP('Données projet'!$B$10,Paramètres!$A$1:$I$89,7,0))</f>
        <v>0.11000000000000001</v>
      </c>
      <c r="AT100" s="16">
        <f>IF(ISNA(VLOOKUP(A100,'Données projet'!$A$61:$I$81,7,0)),0%,VLOOKUP(A100,'Données projet'!$A$61:$I$81,7,0))</f>
        <v>0.2</v>
      </c>
      <c r="AU100" s="21">
        <f>EXP(-LN(2)/35)*AU99+(1-EXP(-LN(2)/35))/(LN(2)/35)*AQ100*AR100*VLOOKUP('Données projet'!$B$10,Paramètres!$A$1:$I$89,3,0)*0.475*44/12</f>
        <v>63.321870448870456</v>
      </c>
      <c r="AV100" s="21">
        <f>EXP(-LN(2)/25)*AV99+(1-EXP(-LN(2)/25))/(LN(2)/25)*Calculateur!AQ100*Calculateur!AS100*VLOOKUP('Données projet'!$B$10,Paramètres!$A$1:$I$89,3,0)*0.475*44/12</f>
        <v>23.096502220156491</v>
      </c>
      <c r="AW100" s="21">
        <f>EXP(-LN(2)/2)*AW99+(1-EXP(-LN(2)/2))/(LN(2)/2)*AQ100*AT100*VLOOKUP('Données projet'!$B$10,Paramètres!$A$1:$I$89,3,0)*0.475*44/12</f>
        <v>9.7616690873011311</v>
      </c>
      <c r="AX100" s="21">
        <f t="shared" si="60"/>
        <v>96.18004175632808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-4.2632564145606011E-14</v>
      </c>
      <c r="O101" s="13">
        <f>N101*VLOOKUP('Données projet'!$B$9,Paramètres!$A$1:$I$89,3,0)*VLOOKUP('Données projet'!$B$9,Paramètres!$A$1:$I$89,5,0)</f>
        <v>-3.8573944038944318E-14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167.24886661350195</v>
      </c>
      <c r="T101" s="59">
        <f t="shared" si="88"/>
        <v>234.73100822629613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1.5975163508688208</v>
      </c>
      <c r="AA101" s="21">
        <f>EXP(-LN(2)/25)*AA100+(1-EXP(-LN(2)/25))/(LN(2)/25)*Calculateur!V101*Calculateur!X101*VLOOKUP('Données projet'!$B$9,Paramètres!$A$1:$I$89,3,0)*0.475*44/12</f>
        <v>4.0695478547722947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5.6670642056411156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9.1833333333333318</v>
      </c>
      <c r="AI101" s="13">
        <f>IF('Données projet'!$A$62&gt;35,AI100+AH101-AQ100,IF(A101&lt;'Données projet'!$A$62,$AF$205^A101,IF(A101='Données projet'!$A$62,'Données projet'!$B$62,AI100+AH101-AQ100)))</f>
        <v>370.34333333333325</v>
      </c>
      <c r="AJ101" s="13">
        <f>AI101*VLOOKUP('Données projet'!$B$10,Paramètres!$A$1:$I$89,3,0)*VLOOKUP('Données projet'!$B$10,Paramètres!$A$1:$I$89,5,0)</f>
        <v>173.32067999999998</v>
      </c>
      <c r="AK101" s="13">
        <f t="shared" si="89"/>
        <v>43.832906027777845</v>
      </c>
      <c r="AL101" s="20">
        <f t="shared" si="58"/>
        <v>378.209162331713</v>
      </c>
      <c r="AM101" s="59">
        <f t="shared" si="59"/>
        <v>671.54249566504632</v>
      </c>
      <c r="AN101" s="59">
        <f ca="1">AVERAGE(OFFSET($AM$3,0,0,'Données projet'!$E$10+1,1))-AVERAGE(OFFSET($H$3,0,0,'Données projet'!$E$10+1,1))</f>
        <v>337.10499990421835</v>
      </c>
      <c r="AO101" s="59">
        <f t="shared" si="90"/>
        <v>277.4254079562175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62.08016719189542</v>
      </c>
      <c r="AV101" s="21">
        <f>EXP(-LN(2)/25)*AV100+(1-EXP(-LN(2)/25))/(LN(2)/25)*Calculateur!AQ101*Calculateur!AS101*VLOOKUP('Données projet'!$B$10,Paramètres!$A$1:$I$89,3,0)*0.475*44/12</f>
        <v>22.464927152354047</v>
      </c>
      <c r="AW101" s="21">
        <f>EXP(-LN(2)/2)*AW100+(1-EXP(-LN(2)/2))/(LN(2)/2)*AQ101*AT101*VLOOKUP('Données projet'!$B$10,Paramètres!$A$1:$I$89,3,0)*0.475*44/12</f>
        <v>6.9025424073297268</v>
      </c>
      <c r="AX101" s="21">
        <f t="shared" si="60"/>
        <v>91.447636751579196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-4.2632564145606011E-14</v>
      </c>
      <c r="O102" s="13">
        <f>N102*VLOOKUP('Données projet'!$B$9,Paramètres!$A$1:$I$89,3,0)*VLOOKUP('Données projet'!$B$9,Paramètres!$A$1:$I$89,5,0)</f>
        <v>-3.8573944038944318E-14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167.24886661350195</v>
      </c>
      <c r="T102" s="59">
        <f t="shared" si="88"/>
        <v>234.73100822629613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1.5661900296170443</v>
      </c>
      <c r="AA102" s="21">
        <f>EXP(-LN(2)/25)*AA101+(1-EXP(-LN(2)/25))/(LN(2)/25)*Calculateur!V102*Calculateur!X102*VLOOKUP('Données projet'!$B$9,Paramètres!$A$1:$I$89,3,0)*0.475*44/12</f>
        <v>3.9582658546753255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5.5244558842923697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9.1833333333333318</v>
      </c>
      <c r="AI102" s="13">
        <f>IF('Données projet'!$A$62&gt;35,AI101+AH102-AQ101,IF(A102&lt;'Données projet'!$A$62,$AF$205^A102,IF(A102='Données projet'!$A$62,'Données projet'!$B$62,AI101+AH102-AQ101)))</f>
        <v>379.52666666666659</v>
      </c>
      <c r="AJ102" s="13">
        <f>AI102*VLOOKUP('Données projet'!$B$10,Paramètres!$A$1:$I$89,3,0)*VLOOKUP('Données projet'!$B$10,Paramètres!$A$1:$I$89,5,0)</f>
        <v>177.61847999999995</v>
      </c>
      <c r="AK102" s="13">
        <f t="shared" si="89"/>
        <v>44.791931827234123</v>
      </c>
      <c r="AL102" s="20">
        <f t="shared" si="58"/>
        <v>387.36480059909928</v>
      </c>
      <c r="AM102" s="59">
        <f t="shared" si="59"/>
        <v>680.6981339324326</v>
      </c>
      <c r="AN102" s="59">
        <f ca="1">AVERAGE(OFFSET($AM$3,0,0,'Données projet'!$E$10+1,1))-AVERAGE(OFFSET($H$3,0,0,'Données projet'!$E$10+1,1))</f>
        <v>337.10499990421835</v>
      </c>
      <c r="AO102" s="59">
        <f t="shared" si="90"/>
        <v>277.4254079562175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60.862812978425467</v>
      </c>
      <c r="AV102" s="21">
        <f>EXP(-LN(2)/25)*AV101+(1-EXP(-LN(2)/25))/(LN(2)/25)*Calculateur!AQ102*Calculateur!AS102*VLOOKUP('Données projet'!$B$10,Paramètres!$A$1:$I$89,3,0)*0.475*44/12</f>
        <v>21.85062253799375</v>
      </c>
      <c r="AW102" s="21">
        <f>EXP(-LN(2)/2)*AW101+(1-EXP(-LN(2)/2))/(LN(2)/2)*AQ102*AT102*VLOOKUP('Données projet'!$B$10,Paramètres!$A$1:$I$89,3,0)*0.475*44/12</f>
        <v>4.8808345436505665</v>
      </c>
      <c r="AX102" s="21">
        <f t="shared" si="60"/>
        <v>87.594270060069789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-4.2632564145606011E-14</v>
      </c>
      <c r="O103" s="13">
        <f>N103*VLOOKUP('Données projet'!$B$9,Paramètres!$A$1:$I$89,3,0)*VLOOKUP('Données projet'!$B$9,Paramètres!$A$1:$I$89,5,0)</f>
        <v>-3.8573944038944318E-14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167.24886661350195</v>
      </c>
      <c r="T103" s="59">
        <f t="shared" si="88"/>
        <v>234.73100822629613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1.5354779984178459</v>
      </c>
      <c r="AA103" s="21">
        <f>EXP(-LN(2)/25)*AA102+(1-EXP(-LN(2)/25))/(LN(2)/25)*Calculateur!V103*Calculateur!X103*VLOOKUP('Données projet'!$B$9,Paramètres!$A$1:$I$89,3,0)*0.475*44/12</f>
        <v>3.8500268667230744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5.3855048651409199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9.1833333333333318</v>
      </c>
      <c r="AI103" s="13">
        <f>IF('Données projet'!$A$62&gt;35,AI102+AH103-AQ102,IF(A103&lt;'Données projet'!$A$62,$AF$205^A103,IF(A103='Données projet'!$A$62,'Données projet'!$B$62,AI102+AH103-AQ102)))</f>
        <v>388.70999999999992</v>
      </c>
      <c r="AJ103" s="13">
        <f>AI103*VLOOKUP('Données projet'!$B$10,Paramètres!$A$1:$I$89,3,0)*VLOOKUP('Données projet'!$B$10,Paramètres!$A$1:$I$89,5,0)</f>
        <v>181.91627999999997</v>
      </c>
      <c r="AK103" s="13">
        <f t="shared" si="89"/>
        <v>45.748260044655694</v>
      </c>
      <c r="AL103" s="20">
        <f t="shared" si="58"/>
        <v>396.51574057777526</v>
      </c>
      <c r="AM103" s="59">
        <f t="shared" si="59"/>
        <v>689.84907391110858</v>
      </c>
      <c r="AN103" s="59">
        <f ca="1">AVERAGE(OFFSET($AM$3,0,0,'Données projet'!$E$10+1,1))-AVERAGE(OFFSET($H$3,0,0,'Données projet'!$E$10+1,1))</f>
        <v>337.10499990421835</v>
      </c>
      <c r="AO103" s="59">
        <f t="shared" si="90"/>
        <v>277.4254079562175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59.669330338568905</v>
      </c>
      <c r="AV103" s="21">
        <f>EXP(-LN(2)/25)*AV102+(1-EXP(-LN(2)/25))/(LN(2)/25)*Calculateur!AQ103*Calculateur!AS103*VLOOKUP('Données projet'!$B$10,Paramètres!$A$1:$I$89,3,0)*0.475*44/12</f>
        <v>21.253116115618013</v>
      </c>
      <c r="AW103" s="21">
        <f>EXP(-LN(2)/2)*AW102+(1-EXP(-LN(2)/2))/(LN(2)/2)*AQ103*AT103*VLOOKUP('Données projet'!$B$10,Paramètres!$A$1:$I$89,3,0)*0.475*44/12</f>
        <v>3.4512712036648638</v>
      </c>
      <c r="AX103" s="21">
        <f t="shared" si="60"/>
        <v>84.37371765785177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-4.2632564145606011E-14</v>
      </c>
      <c r="O104" s="13">
        <f>N104*VLOOKUP('Données projet'!$B$9,Paramètres!$A$1:$I$89,3,0)*VLOOKUP('Données projet'!$B$9,Paramètres!$A$1:$I$89,5,0)</f>
        <v>-3.8573944038944318E-14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167.24886661350195</v>
      </c>
      <c r="T104" s="59">
        <f t="shared" si="88"/>
        <v>234.73100822629613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1.5053682114179745</v>
      </c>
      <c r="AA104" s="21">
        <f>EXP(-LN(2)/25)*AA103+(1-EXP(-LN(2)/25))/(LN(2)/25)*Calculateur!V104*Calculateur!X104*VLOOKUP('Données projet'!$B$9,Paramètres!$A$1:$I$89,3,0)*0.475*44/12</f>
        <v>3.7447476795884183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5.2501158910063932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9.1833333333333318</v>
      </c>
      <c r="AI104" s="13">
        <f>IF('Données projet'!$A$62&gt;35,AI103+AH104-AQ103,IF(A104&lt;'Données projet'!$A$62,$AF$205^A104,IF(A104='Données projet'!$A$62,'Données projet'!$B$62,AI103+AH104-AQ103)))</f>
        <v>397.89333333333326</v>
      </c>
      <c r="AJ104" s="13">
        <f>AI104*VLOOKUP('Données projet'!$B$10,Paramètres!$A$1:$I$89,3,0)*VLOOKUP('Données projet'!$B$10,Paramètres!$A$1:$I$89,5,0)</f>
        <v>186.21407999999997</v>
      </c>
      <c r="AK104" s="13">
        <f t="shared" si="89"/>
        <v>46.70196174472121</v>
      </c>
      <c r="AL104" s="20">
        <f t="shared" si="58"/>
        <v>405.6621060387227</v>
      </c>
      <c r="AM104" s="59">
        <f t="shared" si="59"/>
        <v>698.99543937205601</v>
      </c>
      <c r="AN104" s="59">
        <f ca="1">AVERAGE(OFFSET($AM$3,0,0,'Données projet'!$E$10+1,1))-AVERAGE(OFFSET($H$3,0,0,'Données projet'!$E$10+1,1))</f>
        <v>337.10499990421835</v>
      </c>
      <c r="AO104" s="59">
        <f t="shared" si="90"/>
        <v>277.4254079562175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58.499251165327401</v>
      </c>
      <c r="AV104" s="21">
        <f>EXP(-LN(2)/25)*AV103+(1-EXP(-LN(2)/25))/(LN(2)/25)*Calculateur!AQ104*Calculateur!AS104*VLOOKUP('Données projet'!$B$10,Paramètres!$A$1:$I$89,3,0)*0.475*44/12</f>
        <v>20.671948537783638</v>
      </c>
      <c r="AW104" s="21">
        <f>EXP(-LN(2)/2)*AW103+(1-EXP(-LN(2)/2))/(LN(2)/2)*AQ104*AT104*VLOOKUP('Données projet'!$B$10,Paramètres!$A$1:$I$89,3,0)*0.475*44/12</f>
        <v>2.4404172718252837</v>
      </c>
      <c r="AX104" s="21">
        <f t="shared" si="60"/>
        <v>81.611616974936325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-4.2632564145606011E-14</v>
      </c>
      <c r="O105" s="13">
        <f>N105*VLOOKUP('Données projet'!$B$9,Paramètres!$A$1:$I$89,3,0)*VLOOKUP('Données projet'!$B$9,Paramètres!$A$1:$I$89,5,0)</f>
        <v>-3.8573944038944318E-14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167.24886661350195</v>
      </c>
      <c r="T105" s="59">
        <f t="shared" si="88"/>
        <v>234.73100822629613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1.4758488589760139</v>
      </c>
      <c r="AA105" s="21">
        <f>EXP(-LN(2)/25)*AA104+(1-EXP(-LN(2)/25))/(LN(2)/25)*Calculateur!V105*Calculateur!X105*VLOOKUP('Données projet'!$B$9,Paramètres!$A$1:$I$89,3,0)*0.475*44/12</f>
        <v>3.6423473573623513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5.1181962163383652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9.1833333333333318</v>
      </c>
      <c r="AI105" s="13">
        <f>IF('Données projet'!$A$62&gt;35,AI104+AH105-AQ104,IF(A105&lt;'Données projet'!$A$62,$AF$205^A105,IF(A105='Données projet'!$A$62,'Données projet'!$B$62,AI104+AH105-AQ104)))</f>
        <v>407.0766666666666</v>
      </c>
      <c r="AJ105" s="13">
        <f>AI105*VLOOKUP('Données projet'!$B$10,Paramètres!$A$1:$I$89,3,0)*VLOOKUP('Données projet'!$B$10,Paramètres!$A$1:$I$89,5,0)</f>
        <v>190.51187999999996</v>
      </c>
      <c r="AK105" s="13">
        <f t="shared" si="89"/>
        <v>47.653104524596984</v>
      </c>
      <c r="AL105" s="20">
        <f t="shared" si="58"/>
        <v>414.80401471367298</v>
      </c>
      <c r="AM105" s="59">
        <f t="shared" si="59"/>
        <v>708.1373480470063</v>
      </c>
      <c r="AN105" s="59">
        <f ca="1">AVERAGE(OFFSET($AM$3,0,0,'Données projet'!$E$10+1,1))-AVERAGE(OFFSET($H$3,0,0,'Données projet'!$E$10+1,1))</f>
        <v>337.10499990421835</v>
      </c>
      <c r="AO105" s="59">
        <f t="shared" si="90"/>
        <v>277.4254079562175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57.352116530995332</v>
      </c>
      <c r="AV105" s="21">
        <f>EXP(-LN(2)/25)*AV104+(1-EXP(-LN(2)/25))/(LN(2)/25)*Calculateur!AQ105*Calculateur!AS105*VLOOKUP('Données projet'!$B$10,Paramètres!$A$1:$I$89,3,0)*0.475*44/12</f>
        <v>20.106673017927417</v>
      </c>
      <c r="AW105" s="21">
        <f>EXP(-LN(2)/2)*AW104+(1-EXP(-LN(2)/2))/(LN(2)/2)*AQ105*AT105*VLOOKUP('Données projet'!$B$10,Paramètres!$A$1:$I$89,3,0)*0.475*44/12</f>
        <v>1.7256356018324321</v>
      </c>
      <c r="AX105" s="21">
        <f t="shared" si="60"/>
        <v>79.184425150755189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-4.2632564145606011E-14</v>
      </c>
      <c r="O106" s="13">
        <f>N106*VLOOKUP('Données projet'!$B$9,Paramètres!$A$1:$I$89,3,0)*VLOOKUP('Données projet'!$B$9,Paramètres!$A$1:$I$89,5,0)</f>
        <v>-3.8573944038944318E-14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167.24886661350195</v>
      </c>
      <c r="T106" s="59">
        <f t="shared" si="88"/>
        <v>234.73100822629613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1.4469083630304129</v>
      </c>
      <c r="AA106" s="21">
        <f>EXP(-LN(2)/25)*AA105+(1-EXP(-LN(2)/25))/(LN(2)/25)*Calculateur!V106*Calculateur!X106*VLOOKUP('Données projet'!$B$9,Paramètres!$A$1:$I$89,3,0)*0.475*44/12</f>
        <v>3.5427471773325547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4.9896555403629677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9.1833333333333318</v>
      </c>
      <c r="AI106" s="13">
        <f>IF('Données projet'!$A$62&gt;35,AI105+AH106-AQ105,IF(A106&lt;'Données projet'!$A$62,$AF$205^A106,IF(A106='Données projet'!$A$62,'Données projet'!$B$62,AI105+AH106-AQ105)))</f>
        <v>416.25999999999993</v>
      </c>
      <c r="AJ106" s="13">
        <f>AI106*VLOOKUP('Données projet'!$B$10,Paramètres!$A$1:$I$89,3,0)*VLOOKUP('Données projet'!$B$10,Paramètres!$A$1:$I$89,5,0)</f>
        <v>194.80967999999996</v>
      </c>
      <c r="AK106" s="13">
        <f t="shared" si="89"/>
        <v>48.601752757478572</v>
      </c>
      <c r="AL106" s="20">
        <f t="shared" si="58"/>
        <v>423.94157871927513</v>
      </c>
      <c r="AM106" s="59">
        <f t="shared" si="59"/>
        <v>717.27491205260844</v>
      </c>
      <c r="AN106" s="59">
        <f ca="1">AVERAGE(OFFSET($AM$3,0,0,'Données projet'!$E$10+1,1))-AVERAGE(OFFSET($H$3,0,0,'Données projet'!$E$10+1,1))</f>
        <v>337.10499990421835</v>
      </c>
      <c r="AO106" s="59">
        <f t="shared" si="90"/>
        <v>277.4254079562175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56.22747650715948</v>
      </c>
      <c r="AV106" s="21">
        <f>EXP(-LN(2)/25)*AV105+(1-EXP(-LN(2)/25))/(LN(2)/25)*Calculateur!AQ106*Calculateur!AS106*VLOOKUP('Données projet'!$B$10,Paramètres!$A$1:$I$89,3,0)*0.475*44/12</f>
        <v>19.556854986888212</v>
      </c>
      <c r="AW106" s="21">
        <f>EXP(-LN(2)/2)*AW105+(1-EXP(-LN(2)/2))/(LN(2)/2)*AQ106*AT106*VLOOKUP('Données projet'!$B$10,Paramètres!$A$1:$I$89,3,0)*0.475*44/12</f>
        <v>1.2202086359126418</v>
      </c>
      <c r="AX106" s="21">
        <f t="shared" si="60"/>
        <v>77.004540129960333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-4.2632564145606011E-14</v>
      </c>
      <c r="O107" s="13">
        <f>N107*VLOOKUP('Données projet'!$B$9,Paramètres!$A$1:$I$89,3,0)*VLOOKUP('Données projet'!$B$9,Paramètres!$A$1:$I$89,5,0)</f>
        <v>-3.8573944038944318E-14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167.24886661350195</v>
      </c>
      <c r="T107" s="59">
        <f t="shared" si="88"/>
        <v>234.73100822629613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1.4185353725583456</v>
      </c>
      <c r="AA107" s="21">
        <f>EXP(-LN(2)/25)*AA106+(1-EXP(-LN(2)/25))/(LN(2)/25)*Calculateur!V107*Calculateur!X107*VLOOKUP('Données projet'!$B$9,Paramètres!$A$1:$I$89,3,0)*0.475*44/12</f>
        <v>3.4458705694634189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4.8644059420217642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9.1833333333333318</v>
      </c>
      <c r="AI107" s="13">
        <f>IF('Données projet'!$A$62&gt;35,AI106+AH107-AQ106,IF(A107&lt;'Données projet'!$A$62,$AF$205^A107,IF(A107='Données projet'!$A$62,'Données projet'!$B$62,AI106+AH107-AQ106)))</f>
        <v>425.44333333333327</v>
      </c>
      <c r="AJ107" s="13">
        <f>AI107*VLOOKUP('Données projet'!$B$10,Paramètres!$A$1:$I$89,3,0)*VLOOKUP('Données projet'!$B$10,Paramètres!$A$1:$I$89,5,0)</f>
        <v>199.10747999999998</v>
      </c>
      <c r="AK107" s="13">
        <f t="shared" si="89"/>
        <v>49.547967814034735</v>
      </c>
      <c r="AL107" s="20">
        <f t="shared" si="58"/>
        <v>433.0749049427771</v>
      </c>
      <c r="AM107" s="59">
        <f t="shared" si="59"/>
        <v>726.40823827611041</v>
      </c>
      <c r="AN107" s="59">
        <f ca="1">AVERAGE(OFFSET($AM$3,0,0,'Données projet'!$E$10+1,1))-AVERAGE(OFFSET($H$3,0,0,'Données projet'!$E$10+1,1))</f>
        <v>337.10499990421835</v>
      </c>
      <c r="AO107" s="59">
        <f t="shared" si="90"/>
        <v>277.4254079562175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55.124889988228368</v>
      </c>
      <c r="AV107" s="21">
        <f>EXP(-LN(2)/25)*AV106+(1-EXP(-LN(2)/25))/(LN(2)/25)*Calculateur!AQ107*Calculateur!AS107*VLOOKUP('Données projet'!$B$10,Paramètres!$A$1:$I$89,3,0)*0.475*44/12</f>
        <v>19.022071758821447</v>
      </c>
      <c r="AW107" s="21">
        <f>EXP(-LN(2)/2)*AW106+(1-EXP(-LN(2)/2))/(LN(2)/2)*AQ107*AT107*VLOOKUP('Données projet'!$B$10,Paramètres!$A$1:$I$89,3,0)*0.475*44/12</f>
        <v>0.86281780091621607</v>
      </c>
      <c r="AX107" s="21">
        <f t="shared" si="60"/>
        <v>75.009779547966033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-4.2632564145606011E-14</v>
      </c>
      <c r="O108" s="13">
        <f>N108*VLOOKUP('Données projet'!$B$9,Paramètres!$A$1:$I$89,3,0)*VLOOKUP('Données projet'!$B$9,Paramètres!$A$1:$I$89,5,0)</f>
        <v>-3.8573944038944318E-14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167.24886661350195</v>
      </c>
      <c r="T108" s="59">
        <f t="shared" si="88"/>
        <v>234.73100822629613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1.3907187591236203</v>
      </c>
      <c r="AA108" s="21">
        <f>EXP(-LN(2)/25)*AA107+(1-EXP(-LN(2)/25))/(LN(2)/25)*Calculateur!V108*Calculateur!X108*VLOOKUP('Données projet'!$B$9,Paramètres!$A$1:$I$89,3,0)*0.475*44/12</f>
        <v>3.3516430575309841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4.7423618166546042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9.1833333333333318</v>
      </c>
      <c r="AI108" s="13">
        <f>IF('Données projet'!$A$62&gt;35,AI107+AH108-AQ107,IF(A108&lt;'Données projet'!$A$62,$AF$205^A108,IF(A108='Données projet'!$A$62,'Données projet'!$B$62,AI107+AH108-AQ107)))</f>
        <v>434.62666666666661</v>
      </c>
      <c r="AJ108" s="13">
        <f>AI108*VLOOKUP('Données projet'!$B$10,Paramètres!$A$1:$I$89,3,0)*VLOOKUP('Données projet'!$B$10,Paramètres!$A$1:$I$89,5,0)</f>
        <v>203.40527999999998</v>
      </c>
      <c r="AK108" s="13">
        <f t="shared" si="89"/>
        <v>50.491808264192287</v>
      </c>
      <c r="AL108" s="20">
        <f t="shared" si="58"/>
        <v>442.20409539346821</v>
      </c>
      <c r="AM108" s="59">
        <f t="shared" si="59"/>
        <v>735.53742872680152</v>
      </c>
      <c r="AN108" s="59">
        <f ca="1">AVERAGE(OFFSET($AM$3,0,0,'Données projet'!$E$10+1,1))-AVERAGE(OFFSET($H$3,0,0,'Données projet'!$E$10+1,1))</f>
        <v>337.10499990421835</v>
      </c>
      <c r="AO108" s="59">
        <f t="shared" si="90"/>
        <v>277.4254079562175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54.043924518422124</v>
      </c>
      <c r="AV108" s="21">
        <f>EXP(-LN(2)/25)*AV107+(1-EXP(-LN(2)/25))/(LN(2)/25)*Calculateur!AQ108*Calculateur!AS108*VLOOKUP('Données projet'!$B$10,Paramètres!$A$1:$I$89,3,0)*0.475*44/12</f>
        <v>18.501912206249195</v>
      </c>
      <c r="AW108" s="21">
        <f>EXP(-LN(2)/2)*AW107+(1-EXP(-LN(2)/2))/(LN(2)/2)*AQ108*AT108*VLOOKUP('Données projet'!$B$10,Paramètres!$A$1:$I$89,3,0)*0.475*44/12</f>
        <v>0.61010431795632092</v>
      </c>
      <c r="AX108" s="21">
        <f t="shared" si="60"/>
        <v>73.155941042627646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-4.2632564145606011E-14</v>
      </c>
      <c r="O109" s="13">
        <f>N109*VLOOKUP('Données projet'!$B$9,Paramètres!$A$1:$I$89,3,0)*VLOOKUP('Données projet'!$B$9,Paramètres!$A$1:$I$89,5,0)</f>
        <v>-3.8573944038944318E-14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167.24886661350195</v>
      </c>
      <c r="T109" s="59">
        <f t="shared" si="88"/>
        <v>234.73100822629613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1.3634476125118911</v>
      </c>
      <c r="AA109" s="21">
        <f>EXP(-LN(2)/25)*AA108+(1-EXP(-LN(2)/25))/(LN(2)/25)*Calculateur!V109*Calculateur!X109*VLOOKUP('Données projet'!$B$9,Paramètres!$A$1:$I$89,3,0)*0.475*44/12</f>
        <v>3.2599922018675511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4.6234398143794424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9.1833333333333318</v>
      </c>
      <c r="AI109" s="13">
        <f>IF('Données projet'!$A$62&gt;35,AI108+AH109-AQ108,IF(A109&lt;'Données projet'!$A$62,$AF$205^A109,IF(A109='Données projet'!$A$62,'Données projet'!$B$62,AI108+AH109-AQ108)))</f>
        <v>443.80999999999995</v>
      </c>
      <c r="AJ109" s="13">
        <f>AI109*VLOOKUP('Données projet'!$B$10,Paramètres!$A$1:$I$89,3,0)*VLOOKUP('Données projet'!$B$10,Paramètres!$A$1:$I$89,5,0)</f>
        <v>207.70307999999997</v>
      </c>
      <c r="AK109" s="13">
        <f t="shared" si="89"/>
        <v>51.433330061385618</v>
      </c>
      <c r="AL109" s="20">
        <f t="shared" si="58"/>
        <v>451.32924752357991</v>
      </c>
      <c r="AM109" s="59">
        <f t="shared" si="59"/>
        <v>744.66258085691322</v>
      </c>
      <c r="AN109" s="59">
        <f ca="1">AVERAGE(OFFSET($AM$3,0,0,'Données projet'!$E$10+1,1))-AVERAGE(OFFSET($H$3,0,0,'Données projet'!$E$10+1,1))</f>
        <v>337.10499990421835</v>
      </c>
      <c r="AO109" s="59">
        <f t="shared" si="90"/>
        <v>277.4254079562175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52.984156122154943</v>
      </c>
      <c r="AV109" s="21">
        <f>EXP(-LN(2)/25)*AV108+(1-EXP(-LN(2)/25))/(LN(2)/25)*Calculateur!AQ109*Calculateur!AS109*VLOOKUP('Données projet'!$B$10,Paramètres!$A$1:$I$89,3,0)*0.475*44/12</f>
        <v>17.995976443996035</v>
      </c>
      <c r="AW109" s="21">
        <f>EXP(-LN(2)/2)*AW108+(1-EXP(-LN(2)/2))/(LN(2)/2)*AQ109*AT109*VLOOKUP('Données projet'!$B$10,Paramètres!$A$1:$I$89,3,0)*0.475*44/12</f>
        <v>0.43140890045810804</v>
      </c>
      <c r="AX109" s="21">
        <f t="shared" si="60"/>
        <v>71.411541466609094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-4.2632564145606011E-14</v>
      </c>
      <c r="O110" s="13">
        <f>N110*VLOOKUP('Données projet'!$B$9,Paramètres!$A$1:$I$89,3,0)*VLOOKUP('Données projet'!$B$9,Paramètres!$A$1:$I$89,5,0)</f>
        <v>-3.8573944038944318E-14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167.24886661350195</v>
      </c>
      <c r="T110" s="59">
        <f t="shared" si="88"/>
        <v>234.73100822629613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1.3367112364514608</v>
      </c>
      <c r="AA110" s="21">
        <f>EXP(-LN(2)/25)*AA109+(1-EXP(-LN(2)/25))/(LN(2)/25)*Calculateur!V110*Calculateur!X110*VLOOKUP('Données projet'!$B$9,Paramètres!$A$1:$I$89,3,0)*0.475*44/12</f>
        <v>3.1708475436719437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4.5075587801234045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9.1833333333333318</v>
      </c>
      <c r="AI110" s="13">
        <f>IF('Données projet'!$A$62&gt;35,AI109+AH110-AQ109,IF(A110&lt;'Données projet'!$A$62,$AF$205^A110,IF(A110='Données projet'!$A$62,'Données projet'!$B$62,AI109+AH110-AQ109)))</f>
        <v>452.99333333333328</v>
      </c>
      <c r="AJ110" s="13">
        <f>AI110*VLOOKUP('Données projet'!$B$10,Paramètres!$A$1:$I$89,3,0)*VLOOKUP('Données projet'!$B$10,Paramètres!$A$1:$I$89,5,0)</f>
        <v>212.00088</v>
      </c>
      <c r="AK110" s="13">
        <f t="shared" si="89"/>
        <v>52.372586711125109</v>
      </c>
      <c r="AL110" s="20">
        <f t="shared" si="58"/>
        <v>460.45045452187622</v>
      </c>
      <c r="AM110" s="59">
        <f t="shared" si="59"/>
        <v>753.78378785520954</v>
      </c>
      <c r="AN110" s="59">
        <f ca="1">AVERAGE(OFFSET($AM$3,0,0,'Données projet'!$E$10+1,1))-AVERAGE(OFFSET($H$3,0,0,'Données projet'!$E$10+1,1))</f>
        <v>337.10499990421835</v>
      </c>
      <c r="AO110" s="59">
        <f t="shared" si="90"/>
        <v>277.4254079562175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51.945169137743669</v>
      </c>
      <c r="AV110" s="21">
        <f>EXP(-LN(2)/25)*AV109+(1-EXP(-LN(2)/25))/(LN(2)/25)*Calculateur!AQ110*Calculateur!AS110*VLOOKUP('Données projet'!$B$10,Paramètres!$A$1:$I$89,3,0)*0.475*44/12</f>
        <v>17.503875521767693</v>
      </c>
      <c r="AW110" s="21">
        <f>EXP(-LN(2)/2)*AW109+(1-EXP(-LN(2)/2))/(LN(2)/2)*AQ110*AT110*VLOOKUP('Données projet'!$B$10,Paramètres!$A$1:$I$89,3,0)*0.475*44/12</f>
        <v>0.30505215897816046</v>
      </c>
      <c r="AX110" s="21">
        <f t="shared" si="60"/>
        <v>69.754096818489515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-4.2632564145606011E-14</v>
      </c>
      <c r="O111" s="13">
        <f>N111*VLOOKUP('Données projet'!$B$9,Paramètres!$A$1:$I$89,3,0)*VLOOKUP('Données projet'!$B$9,Paramètres!$A$1:$I$89,5,0)</f>
        <v>-3.8573944038944318E-14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167.24886661350195</v>
      </c>
      <c r="T111" s="59">
        <f t="shared" si="88"/>
        <v>234.73100822629613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1.3104991444179963</v>
      </c>
      <c r="AA111" s="21">
        <f>EXP(-LN(2)/25)*AA110+(1-EXP(-LN(2)/25))/(LN(2)/25)*Calculateur!V111*Calculateur!X111*VLOOKUP('Données projet'!$B$9,Paramètres!$A$1:$I$89,3,0)*0.475*44/12</f>
        <v>3.084140550842609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4.3946396952606053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9.1833333333333318</v>
      </c>
      <c r="AI111" s="13">
        <f>IF('Données projet'!$A$62&gt;35,AI110+AH111-AQ110,IF(A111&lt;'Données projet'!$A$62,$AF$205^A111,IF(A111='Données projet'!$A$62,'Données projet'!$B$62,AI110+AH111-AQ110)))</f>
        <v>462.17666666666662</v>
      </c>
      <c r="AJ111" s="13">
        <f>AI111*VLOOKUP('Données projet'!$B$10,Paramètres!$A$1:$I$89,3,0)*VLOOKUP('Données projet'!$B$10,Paramètres!$A$1:$I$89,5,0)</f>
        <v>216.29867999999996</v>
      </c>
      <c r="AK111" s="13">
        <f t="shared" si="89"/>
        <v>53.309629425511069</v>
      </c>
      <c r="AL111" s="20">
        <f t="shared" si="58"/>
        <v>469.567805582765</v>
      </c>
      <c r="AM111" s="59">
        <f t="shared" si="59"/>
        <v>762.90113891609826</v>
      </c>
      <c r="AN111" s="59">
        <f ca="1">AVERAGE(OFFSET($AM$3,0,0,'Données projet'!$E$10+1,1))-AVERAGE(OFFSET($H$3,0,0,'Données projet'!$E$10+1,1))</f>
        <v>337.10499990421835</v>
      </c>
      <c r="AO111" s="59">
        <f t="shared" si="90"/>
        <v>277.4254079562175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50.926556054377208</v>
      </c>
      <c r="AV111" s="21">
        <f>EXP(-LN(2)/25)*AV110+(1-EXP(-LN(2)/25))/(LN(2)/25)*Calculateur!AQ111*Calculateur!AS111*VLOOKUP('Données projet'!$B$10,Paramètres!$A$1:$I$89,3,0)*0.475*44/12</f>
        <v>17.025231125136148</v>
      </c>
      <c r="AW111" s="21">
        <f>EXP(-LN(2)/2)*AW110+(1-EXP(-LN(2)/2))/(LN(2)/2)*AQ111*AT111*VLOOKUP('Données projet'!$B$10,Paramètres!$A$1:$I$89,3,0)*0.475*44/12</f>
        <v>0.21570445022905402</v>
      </c>
      <c r="AX111" s="21">
        <f t="shared" si="60"/>
        <v>68.167491629742415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-4.2632564145606011E-14</v>
      </c>
      <c r="O112" s="13">
        <f>N112*VLOOKUP('Données projet'!$B$9,Paramètres!$A$1:$I$89,3,0)*VLOOKUP('Données projet'!$B$9,Paramètres!$A$1:$I$89,5,0)</f>
        <v>-3.8573944038944318E-14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167.24886661350195</v>
      </c>
      <c r="T112" s="59">
        <f t="shared" si="88"/>
        <v>234.73100822629613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1.2848010555215106</v>
      </c>
      <c r="AA112" s="21">
        <f>EXP(-LN(2)/25)*AA111+(1-EXP(-LN(2)/25))/(LN(2)/25)*Calculateur!V112*Calculateur!X112*VLOOKUP('Données projet'!$B$9,Paramètres!$A$1:$I$89,3,0)*0.475*44/12</f>
        <v>2.9998045652919152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4.2846056208134256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471.36</v>
      </c>
      <c r="AG112" s="12">
        <f>VLOOKUP(A112,'Données projet'!$A$61:$I$81,9,0)</f>
        <v>9.1833333333333318</v>
      </c>
      <c r="AH112" s="12">
        <f t="array" ref="AH112">INDEX(AG:AG,MIN(IF(ISNUMBER(AG112:AG308),ROW(AG112:AG308),"")))</f>
        <v>9.1833333333333318</v>
      </c>
      <c r="AI112" s="13">
        <f>IF('Données projet'!$A$62&gt;35,AI111+AH112-AQ111,IF(A112&lt;'Données projet'!$A$62,$AF$205^A112,IF(A112='Données projet'!$A$62,'Données projet'!$B$62,AI111+AH112-AQ111)))</f>
        <v>471.35999999999996</v>
      </c>
      <c r="AJ112" s="13">
        <f>AI112*VLOOKUP('Données projet'!$B$10,Paramètres!$A$1:$I$89,3,0)*VLOOKUP('Données projet'!$B$10,Paramètres!$A$1:$I$89,5,0)</f>
        <v>220.59647999999999</v>
      </c>
      <c r="AK112" s="13">
        <f t="shared" si="89"/>
        <v>54.244507265119324</v>
      </c>
      <c r="AL112" s="20">
        <f t="shared" si="58"/>
        <v>478.6813861534161</v>
      </c>
      <c r="AM112" s="59">
        <f t="shared" si="59"/>
        <v>772.01471948674941</v>
      </c>
      <c r="AN112" s="59">
        <f ca="1">AVERAGE(OFFSET($AM$3,0,0,'Données projet'!$E$10+1,1))-AVERAGE(OFFSET($H$3,0,0,'Données projet'!$E$10+1,1))</f>
        <v>337.10499990421835</v>
      </c>
      <c r="AO112" s="59">
        <f t="shared" si="90"/>
        <v>277.4254079562175</v>
      </c>
      <c r="AP112" s="15">
        <f>IF(ISNA(VLOOKUP(A112,'Données projet'!$A$61:$I$81,3,0)),0,VLOOKUP(A112,'Données projet'!$A$61:$I$81,3,0))</f>
        <v>6</v>
      </c>
      <c r="AQ112" s="15">
        <f>IF(ISNA(VLOOKUP(A112,'Données projet'!$A$61:$I$81,4,0)),0,VLOOKUP(A112,'Données projet'!$A$61:$I$81,4,0))</f>
        <v>92.199999999999989</v>
      </c>
      <c r="AR112" s="16">
        <f>IF(ISNA(VLOOKUP(A112,'Données projet'!$A$61:$I$81,5,0)),0%,VLOOKUP(A112,'Données projet'!$A$61:$I$81,5,0)*VLOOKUP('Données projet'!$B$10,Paramètres!$A$1:$I$89,7,0))</f>
        <v>0.33</v>
      </c>
      <c r="AS112" s="16">
        <f>IF(ISNA(VLOOKUP(A112,'Données projet'!$A$61:$I$81,6,0)),0%,VLOOKUP(A112,'Données projet'!$A$61:$I$81,6,0)*VLOOKUP('Données projet'!$B$10,Paramètres!$A$1:$I$89,7,0))</f>
        <v>0.11000000000000001</v>
      </c>
      <c r="AT112" s="16">
        <f>IF(ISNA(VLOOKUP(A112,'Données projet'!$A$61:$I$81,7,0)),0%,VLOOKUP(A112,'Données projet'!$A$61:$I$81,7,0))</f>
        <v>0.2</v>
      </c>
      <c r="AU112" s="21">
        <f>EXP(-LN(2)/35)*AU111+(1-EXP(-LN(2)/35))/(LN(2)/35)*AQ112*AR112*VLOOKUP('Données projet'!$B$10,Paramètres!$A$1:$I$89,3,0)*0.475*44/12</f>
        <v>68.817356809006142</v>
      </c>
      <c r="AV112" s="21">
        <f>EXP(-LN(2)/25)*AV111+(1-EXP(-LN(2)/25))/(LN(2)/25)*Calculateur!AQ112*Calculateur!AS112*VLOOKUP('Données projet'!$B$10,Paramètres!$A$1:$I$89,3,0)*0.475*44/12</f>
        <v>22.831363463415105</v>
      </c>
      <c r="AW112" s="21">
        <f>EXP(-LN(2)/2)*AW111+(1-EXP(-LN(2)/2))/(LN(2)/2)*AQ112*AT112*VLOOKUP('Données projet'!$B$10,Paramètres!$A$1:$I$89,3,0)*0.475*44/12</f>
        <v>9.9236002285586764</v>
      </c>
      <c r="AX112" s="21">
        <f t="shared" si="60"/>
        <v>101.57232050097991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-4.2632564145606011E-14</v>
      </c>
      <c r="O113" s="13">
        <f>N113*VLOOKUP('Données projet'!$B$9,Paramètres!$A$1:$I$89,3,0)*VLOOKUP('Données projet'!$B$9,Paramètres!$A$1:$I$89,5,0)</f>
        <v>-3.8573944038944318E-14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167.24886661350195</v>
      </c>
      <c r="T113" s="59">
        <f t="shared" si="88"/>
        <v>234.73100822629613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1.2596068904739985</v>
      </c>
      <c r="AA113" s="21">
        <f>EXP(-LN(2)/25)*AA112+(1-EXP(-LN(2)/25))/(LN(2)/25)*Calculateur!V113*Calculateur!X113*VLOOKUP('Données projet'!$B$9,Paramètres!$A$1:$I$89,3,0)*0.475*44/12</f>
        <v>2.9177747517011419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4.1773816421751402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8.2299999999999986</v>
      </c>
      <c r="AI113" s="13">
        <f>IF('Données projet'!$A$62&gt;35,AI112+AH113-AQ112,IF(A113&lt;'Données projet'!$A$62,$AF$205^A113,IF(A113='Données projet'!$A$62,'Données projet'!$B$62,AI112+AH113-AQ112)))</f>
        <v>387.39</v>
      </c>
      <c r="AJ113" s="13">
        <f>AI113*VLOOKUP('Données projet'!$B$10,Paramètres!$A$1:$I$89,3,0)*VLOOKUP('Données projet'!$B$10,Paramètres!$A$1:$I$89,5,0)</f>
        <v>181.29852</v>
      </c>
      <c r="AK113" s="13">
        <f t="shared" si="89"/>
        <v>45.610961972441139</v>
      </c>
      <c r="AL113" s="20">
        <f t="shared" si="58"/>
        <v>395.20068110200162</v>
      </c>
      <c r="AM113" s="59">
        <f t="shared" si="59"/>
        <v>688.53401443533494</v>
      </c>
      <c r="AN113" s="59">
        <f ca="1">AVERAGE(OFFSET($AM$3,0,0,'Données projet'!$E$10+1,1))-AVERAGE(OFFSET($H$3,0,0,'Données projet'!$E$10+1,1))</f>
        <v>337.10499990421835</v>
      </c>
      <c r="AO113" s="59">
        <f t="shared" si="90"/>
        <v>277.4254079562175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67.467890416424552</v>
      </c>
      <c r="AV113" s="21">
        <f>EXP(-LN(2)/25)*AV112+(1-EXP(-LN(2)/25))/(LN(2)/25)*Calculateur!AQ113*Calculateur!AS113*VLOOKUP('Données projet'!$B$10,Paramètres!$A$1:$I$89,3,0)*0.475*44/12</f>
        <v>22.207038628858797</v>
      </c>
      <c r="AW113" s="21">
        <f>EXP(-LN(2)/2)*AW112+(1-EXP(-LN(2)/2))/(LN(2)/2)*AQ113*AT113*VLOOKUP('Données projet'!$B$10,Paramètres!$A$1:$I$89,3,0)*0.475*44/12</f>
        <v>7.0170450153982138</v>
      </c>
      <c r="AX113" s="21">
        <f t="shared" si="60"/>
        <v>96.691974060681559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-4.2632564145606011E-14</v>
      </c>
      <c r="O114" s="13">
        <f>N114*VLOOKUP('Données projet'!$B$9,Paramètres!$A$1:$I$89,3,0)*VLOOKUP('Données projet'!$B$9,Paramètres!$A$1:$I$89,5,0)</f>
        <v>-3.8573944038944318E-14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167.24886661350195</v>
      </c>
      <c r="T114" s="59">
        <f t="shared" si="88"/>
        <v>234.73100822629613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1.2349067676361449</v>
      </c>
      <c r="AA114" s="21">
        <f>EXP(-LN(2)/25)*AA113+(1-EXP(-LN(2)/25))/(LN(2)/25)*Calculateur!V114*Calculateur!X114*VLOOKUP('Données projet'!$B$9,Paramètres!$A$1:$I$89,3,0)*0.475*44/12</f>
        <v>2.8379880476767685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4.0728948153129139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8.2299999999999986</v>
      </c>
      <c r="AI114" s="13">
        <f>IF('Données projet'!$A$62&gt;35,AI113+AH114-AQ113,IF(A114&lt;'Données projet'!$A$62,$AF$205^A114,IF(A114='Données projet'!$A$62,'Données projet'!$B$62,AI113+AH114-AQ113)))</f>
        <v>395.62</v>
      </c>
      <c r="AJ114" s="13">
        <f>AI114*VLOOKUP('Données projet'!$B$10,Paramètres!$A$1:$I$89,3,0)*VLOOKUP('Données projet'!$B$10,Paramètres!$A$1:$I$89,5,0)</f>
        <v>185.15016000000003</v>
      </c>
      <c r="AK114" s="13">
        <f t="shared" si="89"/>
        <v>46.466113860658915</v>
      </c>
      <c r="AL114" s="20">
        <f t="shared" si="58"/>
        <v>403.39834364064762</v>
      </c>
      <c r="AM114" s="59">
        <f t="shared" si="59"/>
        <v>696.73167697398094</v>
      </c>
      <c r="AN114" s="59">
        <f ca="1">AVERAGE(OFFSET($AM$3,0,0,'Données projet'!$E$10+1,1))-AVERAGE(OFFSET($H$3,0,0,'Données projet'!$E$10+1,1))</f>
        <v>337.10499990421835</v>
      </c>
      <c r="AO114" s="59">
        <f t="shared" si="90"/>
        <v>277.4254079562175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66.14488623670826</v>
      </c>
      <c r="AV114" s="21">
        <f>EXP(-LN(2)/25)*AV113+(1-EXP(-LN(2)/25))/(LN(2)/25)*Calculateur!AQ114*Calculateur!AS114*VLOOKUP('Données projet'!$B$10,Paramètres!$A$1:$I$89,3,0)*0.475*44/12</f>
        <v>21.599785989735246</v>
      </c>
      <c r="AW114" s="21">
        <f>EXP(-LN(2)/2)*AW113+(1-EXP(-LN(2)/2))/(LN(2)/2)*AQ114*AT114*VLOOKUP('Données projet'!$B$10,Paramètres!$A$1:$I$89,3,0)*0.475*44/12</f>
        <v>4.9618001142793391</v>
      </c>
      <c r="AX114" s="21">
        <f t="shared" si="60"/>
        <v>92.70647234072284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-4.2632564145606011E-14</v>
      </c>
      <c r="O115" s="13">
        <f>N115*VLOOKUP('Données projet'!$B$9,Paramètres!$A$1:$I$89,3,0)*VLOOKUP('Données projet'!$B$9,Paramètres!$A$1:$I$89,5,0)</f>
        <v>-3.8573944038944318E-14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167.24886661350195</v>
      </c>
      <c r="T115" s="59">
        <f t="shared" si="88"/>
        <v>234.73100822629613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1.2106909991415542</v>
      </c>
      <c r="AA115" s="21">
        <f>EXP(-LN(2)/25)*AA114+(1-EXP(-LN(2)/25))/(LN(2)/25)*Calculateur!V115*Calculateur!X115*VLOOKUP('Données projet'!$B$9,Paramètres!$A$1:$I$89,3,0)*0.475*44/12</f>
        <v>2.7603831152697422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3.9710741144112962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8.2299999999999986</v>
      </c>
      <c r="AI115" s="13">
        <f>IF('Données projet'!$A$62&gt;35,AI114+AH115-AQ114,IF(A115&lt;'Données projet'!$A$62,$AF$205^A115,IF(A115='Données projet'!$A$62,'Données projet'!$B$62,AI114+AH115-AQ114)))</f>
        <v>403.85</v>
      </c>
      <c r="AJ115" s="13">
        <f>AI115*VLOOKUP('Données projet'!$B$10,Paramètres!$A$1:$I$89,3,0)*VLOOKUP('Données projet'!$B$10,Paramètres!$A$1:$I$89,5,0)</f>
        <v>189.0018</v>
      </c>
      <c r="AK115" s="13">
        <f t="shared" si="89"/>
        <v>47.319197393100204</v>
      </c>
      <c r="AL115" s="20">
        <f t="shared" si="58"/>
        <v>411.59240379298285</v>
      </c>
      <c r="AM115" s="59">
        <f t="shared" si="59"/>
        <v>704.92573712631611</v>
      </c>
      <c r="AN115" s="59">
        <f ca="1">AVERAGE(OFFSET($AM$3,0,0,'Données projet'!$E$10+1,1))-AVERAGE(OFFSET($H$3,0,0,'Données projet'!$E$10+1,1))</f>
        <v>337.10499990421835</v>
      </c>
      <c r="AO115" s="59">
        <f t="shared" si="90"/>
        <v>277.4254079562175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64.847825362003334</v>
      </c>
      <c r="AV115" s="21">
        <f>EXP(-LN(2)/25)*AV114+(1-EXP(-LN(2)/25))/(LN(2)/25)*Calculateur!AQ115*Calculateur!AS115*VLOOKUP('Données projet'!$B$10,Paramètres!$A$1:$I$89,3,0)*0.475*44/12</f>
        <v>21.009138705962556</v>
      </c>
      <c r="AW115" s="21">
        <f>EXP(-LN(2)/2)*AW114+(1-EXP(-LN(2)/2))/(LN(2)/2)*AQ115*AT115*VLOOKUP('Données projet'!$B$10,Paramètres!$A$1:$I$89,3,0)*0.475*44/12</f>
        <v>3.5085225076991073</v>
      </c>
      <c r="AX115" s="21">
        <f t="shared" si="60"/>
        <v>89.365486575665003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-4.2632564145606011E-14</v>
      </c>
      <c r="O116" s="13">
        <f>N116*VLOOKUP('Données projet'!$B$9,Paramètres!$A$1:$I$89,3,0)*VLOOKUP('Données projet'!$B$9,Paramètres!$A$1:$I$89,5,0)</f>
        <v>-3.8573944038944318E-14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167.24886661350195</v>
      </c>
      <c r="T116" s="59">
        <f t="shared" si="88"/>
        <v>234.73100822629613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1.186950087096982</v>
      </c>
      <c r="AA116" s="21">
        <f>EXP(-LN(2)/25)*AA115+(1-EXP(-LN(2)/25))/(LN(2)/25)*Calculateur!V116*Calculateur!X116*VLOOKUP('Données projet'!$B$9,Paramètres!$A$1:$I$89,3,0)*0.475*44/12</f>
        <v>2.6849002938204523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3.8718503809174343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8.2299999999999986</v>
      </c>
      <c r="AI116" s="13">
        <f>IF('Données projet'!$A$62&gt;35,AI115+AH116-AQ115,IF(A116&lt;'Données projet'!$A$62,$AF$205^A116,IF(A116='Données projet'!$A$62,'Données projet'!$B$62,AI115+AH116-AQ115)))</f>
        <v>412.08000000000004</v>
      </c>
      <c r="AJ116" s="13">
        <f>AI116*VLOOKUP('Données projet'!$B$10,Paramètres!$A$1:$I$89,3,0)*VLOOKUP('Données projet'!$B$10,Paramètres!$A$1:$I$89,5,0)</f>
        <v>192.85344000000003</v>
      </c>
      <c r="AK116" s="13">
        <f t="shared" si="89"/>
        <v>48.170259577628116</v>
      </c>
      <c r="AL116" s="20">
        <f t="shared" si="58"/>
        <v>419.78294343103568</v>
      </c>
      <c r="AM116" s="59">
        <f t="shared" si="59"/>
        <v>713.11627676436899</v>
      </c>
      <c r="AN116" s="59">
        <f ca="1">AVERAGE(OFFSET($AM$3,0,0,'Données projet'!$E$10+1,1))-AVERAGE(OFFSET($H$3,0,0,'Données projet'!$E$10+1,1))</f>
        <v>337.10499990421835</v>
      </c>
      <c r="AO116" s="59">
        <f t="shared" si="90"/>
        <v>277.4254079562175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63.576199059922359</v>
      </c>
      <c r="AV116" s="21">
        <f>EXP(-LN(2)/25)*AV115+(1-EXP(-LN(2)/25))/(LN(2)/25)*Calculateur!AQ116*Calculateur!AS116*VLOOKUP('Données projet'!$B$10,Paramètres!$A$1:$I$89,3,0)*0.475*44/12</f>
        <v>20.434642703225421</v>
      </c>
      <c r="AW116" s="21">
        <f>EXP(-LN(2)/2)*AW115+(1-EXP(-LN(2)/2))/(LN(2)/2)*AQ116*AT116*VLOOKUP('Données projet'!$B$10,Paramètres!$A$1:$I$89,3,0)*0.475*44/12</f>
        <v>2.48090005713967</v>
      </c>
      <c r="AX116" s="21">
        <f t="shared" si="60"/>
        <v>86.491741820287444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-4.2632564145606011E-14</v>
      </c>
      <c r="O117" s="13">
        <f>N117*VLOOKUP('Données projet'!$B$9,Paramètres!$A$1:$I$89,3,0)*VLOOKUP('Données projet'!$B$9,Paramètres!$A$1:$I$89,5,0)</f>
        <v>-3.8573944038944318E-14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167.24886661350195</v>
      </c>
      <c r="T117" s="59">
        <f t="shared" si="88"/>
        <v>234.73100822629613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1.1636747198570774</v>
      </c>
      <c r="AA117" s="21">
        <f>EXP(-LN(2)/25)*AA116+(1-EXP(-LN(2)/25))/(LN(2)/25)*Calculateur!V117*Calculateur!X117*VLOOKUP('Données projet'!$B$9,Paramètres!$A$1:$I$89,3,0)*0.475*44/12</f>
        <v>2.611481554093162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3.7751562739502393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8.2299999999999986</v>
      </c>
      <c r="AI117" s="13">
        <f>IF('Données projet'!$A$62&gt;35,AI116+AH117-AQ116,IF(A117&lt;'Données projet'!$A$62,$AF$205^A117,IF(A117='Données projet'!$A$62,'Données projet'!$B$62,AI116+AH117-AQ116)))</f>
        <v>420.31000000000006</v>
      </c>
      <c r="AJ117" s="13">
        <f>AI117*VLOOKUP('Données projet'!$B$10,Paramètres!$A$1:$I$89,3,0)*VLOOKUP('Données projet'!$B$10,Paramètres!$A$1:$I$89,5,0)</f>
        <v>196.70508000000004</v>
      </c>
      <c r="AK117" s="13">
        <f t="shared" si="89"/>
        <v>49.019345437069703</v>
      </c>
      <c r="AL117" s="20">
        <f t="shared" si="58"/>
        <v>427.97004096956312</v>
      </c>
      <c r="AM117" s="59">
        <f t="shared" si="59"/>
        <v>721.30337430289637</v>
      </c>
      <c r="AN117" s="59">
        <f ca="1">AVERAGE(OFFSET($AM$3,0,0,'Données projet'!$E$10+1,1))-AVERAGE(OFFSET($H$3,0,0,'Données projet'!$E$10+1,1))</f>
        <v>337.10499990421835</v>
      </c>
      <c r="AO117" s="59">
        <f t="shared" si="90"/>
        <v>277.4254079562175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62.329508574009736</v>
      </c>
      <c r="AV117" s="21">
        <f>EXP(-LN(2)/25)*AV116+(1-EXP(-LN(2)/25))/(LN(2)/25)*Calculateur!AQ117*Calculateur!AS117*VLOOKUP('Données projet'!$B$10,Paramètres!$A$1:$I$89,3,0)*0.475*44/12</f>
        <v>19.875856323894567</v>
      </c>
      <c r="AW117" s="21">
        <f>EXP(-LN(2)/2)*AW116+(1-EXP(-LN(2)/2))/(LN(2)/2)*AQ117*AT117*VLOOKUP('Données projet'!$B$10,Paramètres!$A$1:$I$89,3,0)*0.475*44/12</f>
        <v>1.7542612538495539</v>
      </c>
      <c r="AX117" s="21">
        <f t="shared" si="60"/>
        <v>83.959626151753852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-4.2632564145606011E-14</v>
      </c>
      <c r="O118" s="13">
        <f>N118*VLOOKUP('Données projet'!$B$9,Paramètres!$A$1:$I$89,3,0)*VLOOKUP('Données projet'!$B$9,Paramètres!$A$1:$I$89,5,0)</f>
        <v>-3.8573944038944318E-14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167.24886661350195</v>
      </c>
      <c r="T118" s="59">
        <f t="shared" si="88"/>
        <v>234.73100822629613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1.1408557683721752</v>
      </c>
      <c r="AA118" s="21">
        <f>EXP(-LN(2)/25)*AA117+(1-EXP(-LN(2)/25))/(LN(2)/25)*Calculateur!V118*Calculateur!X118*VLOOKUP('Données projet'!$B$9,Paramètres!$A$1:$I$89,3,0)*0.475*44/12</f>
        <v>2.5400704536646384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3.6809262220368133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8.2299999999999986</v>
      </c>
      <c r="AI118" s="13">
        <f>IF('Données projet'!$A$62&gt;35,AI117+AH118-AQ117,IF(A118&lt;'Données projet'!$A$62,$AF$205^A118,IF(A118='Données projet'!$A$62,'Données projet'!$B$62,AI117+AH118-AQ117)))</f>
        <v>428.54000000000008</v>
      </c>
      <c r="AJ118" s="13">
        <f>AI118*VLOOKUP('Données projet'!$B$10,Paramètres!$A$1:$I$89,3,0)*VLOOKUP('Données projet'!$B$10,Paramètres!$A$1:$I$89,5,0)</f>
        <v>200.55672000000001</v>
      </c>
      <c r="AK118" s="13">
        <f t="shared" si="89"/>
        <v>49.866498130238412</v>
      </c>
      <c r="AL118" s="20">
        <f t="shared" si="58"/>
        <v>436.15377157683184</v>
      </c>
      <c r="AM118" s="59">
        <f t="shared" si="59"/>
        <v>729.48710491016516</v>
      </c>
      <c r="AN118" s="59">
        <f ca="1">AVERAGE(OFFSET($AM$3,0,0,'Données projet'!$E$10+1,1))-AVERAGE(OFFSET($H$3,0,0,'Données projet'!$E$10+1,1))</f>
        <v>337.10499990421835</v>
      </c>
      <c r="AO118" s="59">
        <f t="shared" si="90"/>
        <v>277.4254079562175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61.107264928119747</v>
      </c>
      <c r="AV118" s="21">
        <f>EXP(-LN(2)/25)*AV117+(1-EXP(-LN(2)/25))/(LN(2)/25)*Calculateur!AQ118*Calculateur!AS118*VLOOKUP('Données projet'!$B$10,Paramètres!$A$1:$I$89,3,0)*0.475*44/12</f>
        <v>19.332349987491813</v>
      </c>
      <c r="AW118" s="21">
        <f>EXP(-LN(2)/2)*AW117+(1-EXP(-LN(2)/2))/(LN(2)/2)*AQ118*AT118*VLOOKUP('Données projet'!$B$10,Paramètres!$A$1:$I$89,3,0)*0.475*44/12</f>
        <v>1.240450028569835</v>
      </c>
      <c r="AX118" s="21">
        <f t="shared" si="60"/>
        <v>81.680064944181396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-4.2632564145606011E-14</v>
      </c>
      <c r="O119" s="13">
        <f>N119*VLOOKUP('Données projet'!$B$9,Paramètres!$A$1:$I$89,3,0)*VLOOKUP('Données projet'!$B$9,Paramètres!$A$1:$I$89,5,0)</f>
        <v>-3.8573944038944318E-14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167.24886661350195</v>
      </c>
      <c r="T119" s="59">
        <f t="shared" si="88"/>
        <v>234.73100822629613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1.1184842826077057</v>
      </c>
      <c r="AA119" s="21">
        <f>EXP(-LN(2)/25)*AA118+(1-EXP(-LN(2)/25))/(LN(2)/25)*Calculateur!V119*Calculateur!X119*VLOOKUP('Données projet'!$B$9,Paramètres!$A$1:$I$89,3,0)*0.475*44/12</f>
        <v>2.470612093532679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3.5890963761403847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8.2299999999999986</v>
      </c>
      <c r="AI119" s="13">
        <f>IF('Données projet'!$A$62&gt;35,AI118+AH119-AQ118,IF(A119&lt;'Données projet'!$A$62,$AF$205^A119,IF(A119='Données projet'!$A$62,'Données projet'!$B$62,AI118+AH119-AQ118)))</f>
        <v>436.7700000000001</v>
      </c>
      <c r="AJ119" s="13">
        <f>AI119*VLOOKUP('Données projet'!$B$10,Paramètres!$A$1:$I$89,3,0)*VLOOKUP('Données projet'!$B$10,Paramètres!$A$1:$I$89,5,0)</f>
        <v>204.40836000000004</v>
      </c>
      <c r="AK119" s="13">
        <f t="shared" si="89"/>
        <v>50.71175906339802</v>
      </c>
      <c r="AL119" s="20">
        <f t="shared" si="58"/>
        <v>444.33420736875161</v>
      </c>
      <c r="AM119" s="59">
        <f t="shared" si="59"/>
        <v>737.66754070208492</v>
      </c>
      <c r="AN119" s="59">
        <f ca="1">AVERAGE(OFFSET($AM$3,0,0,'Données projet'!$E$10+1,1))-AVERAGE(OFFSET($H$3,0,0,'Données projet'!$E$10+1,1))</f>
        <v>337.10499990421835</v>
      </c>
      <c r="AO119" s="59">
        <f t="shared" si="90"/>
        <v>277.4254079562175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59.908988734630647</v>
      </c>
      <c r="AV119" s="21">
        <f>EXP(-LN(2)/25)*AV118+(1-EXP(-LN(2)/25))/(LN(2)/25)*Calculateur!AQ119*Calculateur!AS119*VLOOKUP('Données projet'!$B$10,Paramètres!$A$1:$I$89,3,0)*0.475*44/12</f>
        <v>18.803705860439749</v>
      </c>
      <c r="AW119" s="21">
        <f>EXP(-LN(2)/2)*AW118+(1-EXP(-LN(2)/2))/(LN(2)/2)*AQ119*AT119*VLOOKUP('Données projet'!$B$10,Paramètres!$A$1:$I$89,3,0)*0.475*44/12</f>
        <v>0.87713062692477695</v>
      </c>
      <c r="AX119" s="21">
        <f t="shared" si="60"/>
        <v>79.58982522199517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-4.2632564145606011E-14</v>
      </c>
      <c r="O120" s="13">
        <f>N120*VLOOKUP('Données projet'!$B$9,Paramètres!$A$1:$I$89,3,0)*VLOOKUP('Données projet'!$B$9,Paramètres!$A$1:$I$89,5,0)</f>
        <v>-3.8573944038944318E-14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167.24886661350195</v>
      </c>
      <c r="T120" s="59">
        <f t="shared" si="88"/>
        <v>234.73100822629613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1.0965514880338185</v>
      </c>
      <c r="AA120" s="21">
        <f>EXP(-LN(2)/25)*AA119+(1-EXP(-LN(2)/25))/(LN(2)/25)*Calculateur!V120*Calculateur!X120*VLOOKUP('Données projet'!$B$9,Paramètres!$A$1:$I$89,3,0)*0.475*44/12</f>
        <v>2.4030530759111843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3.4996045639450029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8.2299999999999986</v>
      </c>
      <c r="AI120" s="13">
        <f>IF('Données projet'!$A$62&gt;35,AI119+AH120-AQ119,IF(A120&lt;'Données projet'!$A$62,$AF$205^A120,IF(A120='Données projet'!$A$62,'Données projet'!$B$62,AI119+AH120-AQ119)))</f>
        <v>445.00000000000011</v>
      </c>
      <c r="AJ120" s="13">
        <f>AI120*VLOOKUP('Données projet'!$B$10,Paramètres!$A$1:$I$89,3,0)*VLOOKUP('Données projet'!$B$10,Paramètres!$A$1:$I$89,5,0)</f>
        <v>208.26000000000008</v>
      </c>
      <c r="AK120" s="13">
        <f t="shared" si="89"/>
        <v>51.555167993086684</v>
      </c>
      <c r="AL120" s="20">
        <f t="shared" si="58"/>
        <v>452.51141758795944</v>
      </c>
      <c r="AM120" s="59">
        <f t="shared" si="59"/>
        <v>745.84475092129276</v>
      </c>
      <c r="AN120" s="59">
        <f ca="1">AVERAGE(OFFSET($AM$3,0,0,'Données projet'!$E$10+1,1))-AVERAGE(OFFSET($H$3,0,0,'Données projet'!$E$10+1,1))</f>
        <v>337.10499990421835</v>
      </c>
      <c r="AO120" s="59">
        <f t="shared" si="90"/>
        <v>277.4254079562175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58.734210006419559</v>
      </c>
      <c r="AV120" s="21">
        <f>EXP(-LN(2)/25)*AV119+(1-EXP(-LN(2)/25))/(LN(2)/25)*Calculateur!AQ120*Calculateur!AS120*VLOOKUP('Données projet'!$B$10,Paramètres!$A$1:$I$89,3,0)*0.475*44/12</f>
        <v>18.289517534842108</v>
      </c>
      <c r="AW120" s="21">
        <f>EXP(-LN(2)/2)*AW119+(1-EXP(-LN(2)/2))/(LN(2)/2)*AQ120*AT120*VLOOKUP('Données projet'!$B$10,Paramètres!$A$1:$I$89,3,0)*0.475*44/12</f>
        <v>0.6202250142849175</v>
      </c>
      <c r="AX120" s="21">
        <f t="shared" si="60"/>
        <v>77.643952555546576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-4.2632564145606011E-14</v>
      </c>
      <c r="O121" s="13">
        <f>N121*VLOOKUP('Données projet'!$B$9,Paramètres!$A$1:$I$89,3,0)*VLOOKUP('Données projet'!$B$9,Paramètres!$A$1:$I$89,5,0)</f>
        <v>-3.8573944038944318E-14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167.24886661350195</v>
      </c>
      <c r="T121" s="59">
        <f t="shared" si="88"/>
        <v>234.73100822629613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1.0750487821838415</v>
      </c>
      <c r="AA121" s="21">
        <f>EXP(-LN(2)/25)*AA120+(1-EXP(-LN(2)/25))/(LN(2)/25)*Calculateur!V121*Calculateur!X121*VLOOKUP('Données projet'!$B$9,Paramètres!$A$1:$I$89,3,0)*0.475*44/12</f>
        <v>2.3373414631793241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3.4123902453631656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8.2299999999999986</v>
      </c>
      <c r="AI121" s="13">
        <f>IF('Données projet'!$A$62&gt;35,AI120+AH121-AQ120,IF(A121&lt;'Données projet'!$A$62,$AF$205^A121,IF(A121='Données projet'!$A$62,'Données projet'!$B$62,AI120+AH121-AQ120)))</f>
        <v>453.23000000000013</v>
      </c>
      <c r="AJ121" s="13">
        <f>AI121*VLOOKUP('Données projet'!$B$10,Paramètres!$A$1:$I$89,3,0)*VLOOKUP('Données projet'!$B$10,Paramètres!$A$1:$I$89,5,0)</f>
        <v>212.11164000000005</v>
      </c>
      <c r="AK121" s="13">
        <f t="shared" si="89"/>
        <v>52.396763121120088</v>
      </c>
      <c r="AL121" s="20">
        <f t="shared" si="58"/>
        <v>460.68546876928417</v>
      </c>
      <c r="AM121" s="59">
        <f t="shared" si="59"/>
        <v>754.01880210261743</v>
      </c>
      <c r="AN121" s="59">
        <f ca="1">AVERAGE(OFFSET($AM$3,0,0,'Données projet'!$E$10+1,1))-AVERAGE(OFFSET($H$3,0,0,'Données projet'!$E$10+1,1))</f>
        <v>337.10499990421835</v>
      </c>
      <c r="AO121" s="59">
        <f t="shared" si="90"/>
        <v>277.4254079562175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57.58246797252442</v>
      </c>
      <c r="AV121" s="21">
        <f>EXP(-LN(2)/25)*AV120+(1-EXP(-LN(2)/25))/(LN(2)/25)*Calculateur!AQ121*Calculateur!AS121*VLOOKUP('Données projet'!$B$10,Paramètres!$A$1:$I$89,3,0)*0.475*44/12</f>
        <v>17.789389716047925</v>
      </c>
      <c r="AW121" s="21">
        <f>EXP(-LN(2)/2)*AW120+(1-EXP(-LN(2)/2))/(LN(2)/2)*AQ121*AT121*VLOOKUP('Données projet'!$B$10,Paramètres!$A$1:$I$89,3,0)*0.475*44/12</f>
        <v>0.43856531346238847</v>
      </c>
      <c r="AX121" s="21">
        <f t="shared" si="60"/>
        <v>75.810423002034739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-4.2632564145606011E-14</v>
      </c>
      <c r="O122" s="13">
        <f>N122*VLOOKUP('Données projet'!$B$9,Paramètres!$A$1:$I$89,3,0)*VLOOKUP('Données projet'!$B$9,Paramètres!$A$1:$I$89,5,0)</f>
        <v>-3.8573944038944318E-14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167.24886661350195</v>
      </c>
      <c r="T122" s="59">
        <f t="shared" si="88"/>
        <v>234.73100822629613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1.0539677312802269</v>
      </c>
      <c r="AA122" s="21">
        <f>EXP(-LN(2)/25)*AA121+(1-EXP(-LN(2)/25))/(LN(2)/25)*Calculateur!V122*Calculateur!X122*VLOOKUP('Données projet'!$B$9,Paramètres!$A$1:$I$89,3,0)*0.475*44/12</f>
        <v>2.27342673795324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3.3273944692334672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8.2299999999999986</v>
      </c>
      <c r="AI122" s="13">
        <f>IF('Données projet'!$A$62&gt;35,AI121+AH122-AQ121,IF(A122&lt;'Données projet'!$A$62,$AF$205^A122,IF(A122='Données projet'!$A$62,'Données projet'!$B$62,AI121+AH122-AQ121)))</f>
        <v>461.46000000000015</v>
      </c>
      <c r="AJ122" s="13">
        <f>AI122*VLOOKUP('Données projet'!$B$10,Paramètres!$A$1:$I$89,3,0)*VLOOKUP('Données projet'!$B$10,Paramètres!$A$1:$I$89,5,0)</f>
        <v>215.96328000000008</v>
      </c>
      <c r="AK122" s="13">
        <f t="shared" si="89"/>
        <v>53.236581182498291</v>
      </c>
      <c r="AL122" s="20">
        <f t="shared" si="58"/>
        <v>468.85642489285124</v>
      </c>
      <c r="AM122" s="59">
        <f t="shared" si="59"/>
        <v>762.18975822618449</v>
      </c>
      <c r="AN122" s="59">
        <f ca="1">AVERAGE(OFFSET($AM$3,0,0,'Données projet'!$E$10+1,1))-AVERAGE(OFFSET($H$3,0,0,'Données projet'!$E$10+1,1))</f>
        <v>337.10499990421835</v>
      </c>
      <c r="AO122" s="59">
        <f t="shared" si="90"/>
        <v>277.4254079562175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56.453310897420685</v>
      </c>
      <c r="AV122" s="21">
        <f>EXP(-LN(2)/25)*AV121+(1-EXP(-LN(2)/25))/(LN(2)/25)*Calculateur!AQ122*Calculateur!AS122*VLOOKUP('Données projet'!$B$10,Paramètres!$A$1:$I$89,3,0)*0.475*44/12</f>
        <v>17.302937918759248</v>
      </c>
      <c r="AW122" s="21">
        <f>EXP(-LN(2)/2)*AW121+(1-EXP(-LN(2)/2))/(LN(2)/2)*AQ122*AT122*VLOOKUP('Données projet'!$B$10,Paramètres!$A$1:$I$89,3,0)*0.475*44/12</f>
        <v>0.31011250714245875</v>
      </c>
      <c r="AX122" s="21">
        <f t="shared" si="60"/>
        <v>74.066361323322397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-4.2632564145606011E-14</v>
      </c>
      <c r="O123" s="13">
        <f>N123*VLOOKUP('Données projet'!$B$9,Paramètres!$A$1:$I$89,3,0)*VLOOKUP('Données projet'!$B$9,Paramètres!$A$1:$I$89,5,0)</f>
        <v>-3.8573944038944318E-14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167.24886661350195</v>
      </c>
      <c r="T123" s="59">
        <f t="shared" si="88"/>
        <v>234.73100822629613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1.033300066926661</v>
      </c>
      <c r="AA123" s="21">
        <f>EXP(-LN(2)/25)*AA122+(1-EXP(-LN(2)/25))/(LN(2)/25)*Calculateur!V123*Calculateur!X123*VLOOKUP('Données projet'!$B$9,Paramètres!$A$1:$I$89,3,0)*0.475*44/12</f>
        <v>2.2112597642495926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3.2445598311762538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8.2299999999999986</v>
      </c>
      <c r="AI123" s="13">
        <f>IF('Données projet'!$A$62&gt;35,AI122+AH123-AQ122,IF(A123&lt;'Données projet'!$A$62,$AF$205^A123,IF(A123='Données projet'!$A$62,'Données projet'!$B$62,AI122+AH123-AQ122)))</f>
        <v>469.69000000000017</v>
      </c>
      <c r="AJ123" s="13">
        <f>AI123*VLOOKUP('Données projet'!$B$10,Paramètres!$A$1:$I$89,3,0)*VLOOKUP('Données projet'!$B$10,Paramètres!$A$1:$I$89,5,0)</f>
        <v>219.81492000000009</v>
      </c>
      <c r="AK123" s="13">
        <f t="shared" si="89"/>
        <v>54.074657526864193</v>
      </c>
      <c r="AL123" s="20">
        <f t="shared" si="58"/>
        <v>477.02434752595531</v>
      </c>
      <c r="AM123" s="59">
        <f t="shared" si="59"/>
        <v>770.35768085928862</v>
      </c>
      <c r="AN123" s="59">
        <f ca="1">AVERAGE(OFFSET($AM$3,0,0,'Données projet'!$E$10+1,1))-AVERAGE(OFFSET($H$3,0,0,'Données projet'!$E$10+1,1))</f>
        <v>337.10499990421835</v>
      </c>
      <c r="AO123" s="59">
        <f t="shared" si="90"/>
        <v>277.4254079562175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55.346295903841927</v>
      </c>
      <c r="AV123" s="21">
        <f>EXP(-LN(2)/25)*AV122+(1-EXP(-LN(2)/25))/(LN(2)/25)*Calculateur!AQ123*Calculateur!AS123*VLOOKUP('Données projet'!$B$10,Paramètres!$A$1:$I$89,3,0)*0.475*44/12</f>
        <v>16.829788171448818</v>
      </c>
      <c r="AW123" s="21">
        <f>EXP(-LN(2)/2)*AW122+(1-EXP(-LN(2)/2))/(LN(2)/2)*AQ123*AT123*VLOOKUP('Données projet'!$B$10,Paramètres!$A$1:$I$89,3,0)*0.475*44/12</f>
        <v>0.21928265673119424</v>
      </c>
      <c r="AX123" s="21">
        <f t="shared" si="60"/>
        <v>72.395366732021941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-4.2632564145606011E-14</v>
      </c>
      <c r="O124" s="13">
        <f>N124*VLOOKUP('Données projet'!$B$9,Paramètres!$A$1:$I$89,3,0)*VLOOKUP('Données projet'!$B$9,Paramètres!$A$1:$I$89,5,0)</f>
        <v>-3.8573944038944318E-14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167.24886661350195</v>
      </c>
      <c r="T124" s="59">
        <f t="shared" si="88"/>
        <v>234.73100822629613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1.0130376828650378</v>
      </c>
      <c r="AA124" s="21">
        <f>EXP(-LN(2)/25)*AA123+(1-EXP(-LN(2)/25))/(LN(2)/25)*Calculateur!V124*Calculateur!X124*VLOOKUP('Données projet'!$B$9,Paramètres!$A$1:$I$89,3,0)*0.475*44/12</f>
        <v>2.1507927497110906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3.1638304325761286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>
        <f>VLOOKUP(A124,'Données projet'!$A$61:$I$81,2,0)</f>
        <v>477.92</v>
      </c>
      <c r="AG124" s="12">
        <f>VLOOKUP(A124,'Données projet'!$A$61:$I$81,9,0)</f>
        <v>8.2299999999999986</v>
      </c>
      <c r="AH124" s="12">
        <f t="array" ref="AH124">INDEX(AG:AG,MIN(IF(ISNUMBER(AG124:AG320),ROW(AG124:AG320),"")))</f>
        <v>8.2299999999999986</v>
      </c>
      <c r="AI124" s="13">
        <f>IF('Données projet'!$A$62&gt;35,AI123+AH124-AQ123,IF(A124&lt;'Données projet'!$A$62,$AF$205^A124,IF(A124='Données projet'!$A$62,'Données projet'!$B$62,AI123+AH124-AQ123)))</f>
        <v>477.92000000000019</v>
      </c>
      <c r="AJ124" s="13">
        <f>AI124*VLOOKUP('Données projet'!$B$10,Paramètres!$A$1:$I$89,3,0)*VLOOKUP('Données projet'!$B$10,Paramètres!$A$1:$I$89,5,0)</f>
        <v>223.66656000000006</v>
      </c>
      <c r="AK124" s="13">
        <f t="shared" si="89"/>
        <v>54.911026194090759</v>
      </c>
      <c r="AL124" s="20">
        <f t="shared" si="58"/>
        <v>485.18929595470814</v>
      </c>
      <c r="AM124" s="59">
        <f t="shared" si="59"/>
        <v>778.52262928804146</v>
      </c>
      <c r="AN124" s="59">
        <f ca="1">AVERAGE(OFFSET($AM$3,0,0,'Données projet'!$E$10+1,1))-AVERAGE(OFFSET($H$3,0,0,'Données projet'!$E$10+1,1))</f>
        <v>337.10499990421835</v>
      </c>
      <c r="AO124" s="59">
        <f t="shared" si="90"/>
        <v>277.4254079562175</v>
      </c>
      <c r="AP124" s="15">
        <f>IF(ISNA(VLOOKUP(A124,'Données projet'!$A$61:$I$81,3,0)),0,VLOOKUP(A124,'Données projet'!$A$61:$I$81,3,0))</f>
        <v>7</v>
      </c>
      <c r="AQ124" s="15">
        <f>IF(ISNA(VLOOKUP(A124,'Données projet'!$A$61:$I$81,4,0)),0,VLOOKUP(A124,'Données projet'!$A$61:$I$81,4,0))</f>
        <v>236.89000000000001</v>
      </c>
      <c r="AR124" s="16">
        <f>IF(ISNA(VLOOKUP(A124,'Données projet'!$A$61:$I$81,5,0)),0%,VLOOKUP(A124,'Données projet'!$A$61:$I$81,5,0)*VLOOKUP('Données projet'!$B$10,Paramètres!$A$1:$I$89,7,0))</f>
        <v>0.33</v>
      </c>
      <c r="AS124" s="16">
        <f>IF(ISNA(VLOOKUP(A124,'Données projet'!$A$61:$I$81,6,0)),0%,VLOOKUP(A124,'Données projet'!$A$61:$I$81,6,0)*VLOOKUP('Données projet'!$B$10,Paramètres!$A$1:$I$89,7,0))</f>
        <v>0.11000000000000001</v>
      </c>
      <c r="AT124" s="16">
        <f>IF(ISNA(VLOOKUP(A124,'Données projet'!$A$61:$I$81,7,0)),0%,VLOOKUP(A124,'Données projet'!$A$61:$I$81,7,0))</f>
        <v>0.2</v>
      </c>
      <c r="AU124" s="21">
        <f>EXP(-LN(2)/35)*AU123+(1-EXP(-LN(2)/35))/(LN(2)/35)*AQ124*AR124*VLOOKUP('Données projet'!$B$10,Paramètres!$A$1:$I$89,3,0)*0.475*44/12</f>
        <v>102.79373622752556</v>
      </c>
      <c r="AV124" s="21">
        <f>EXP(-LN(2)/25)*AV123+(1-EXP(-LN(2)/25))/(LN(2)/25)*Calculateur!AQ124*Calculateur!AS124*VLOOKUP('Données projet'!$B$10,Paramètres!$A$1:$I$89,3,0)*0.475*44/12</f>
        <v>32.483461898659932</v>
      </c>
      <c r="AW124" s="21">
        <f>EXP(-LN(2)/2)*AW123+(1-EXP(-LN(2)/2))/(LN(2)/2)*AQ124*AT124*VLOOKUP('Données projet'!$B$10,Paramètres!$A$1:$I$89,3,0)*0.475*44/12</f>
        <v>25.259934292324992</v>
      </c>
      <c r="AX124" s="21">
        <f t="shared" si="60"/>
        <v>160.53713241851048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-4.2632564145606011E-14</v>
      </c>
      <c r="O125" s="13">
        <f>N125*VLOOKUP('Données projet'!$B$9,Paramètres!$A$1:$I$89,3,0)*VLOOKUP('Données projet'!$B$9,Paramètres!$A$1:$I$89,5,0)</f>
        <v>-3.8573944038944318E-14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167.24886661350195</v>
      </c>
      <c r="T125" s="59">
        <f t="shared" si="88"/>
        <v>234.73100822629613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0.99317263179602921</v>
      </c>
      <c r="AA125" s="21">
        <f>EXP(-LN(2)/25)*AA124+(1-EXP(-LN(2)/25))/(LN(2)/25)*Calculateur!V125*Calculateur!X125*VLOOKUP('Données projet'!$B$9,Paramètres!$A$1:$I$89,3,0)*0.475*44/12</f>
        <v>2.091979208864966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3.0851518406609952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5.7330000000000014</v>
      </c>
      <c r="AI125" s="13">
        <f>IF('Données projet'!$A$62&gt;35,AI124+AH125-AQ124,IF(A125&lt;'Données projet'!$A$62,$AF$205^A125,IF(A125='Données projet'!$A$62,'Données projet'!$B$62,AI124+AH125-AQ124)))</f>
        <v>246.76300000000018</v>
      </c>
      <c r="AJ125" s="13">
        <f>AI125*VLOOKUP('Données projet'!$B$10,Paramètres!$A$1:$I$89,3,0)*VLOOKUP('Données projet'!$B$10,Paramètres!$A$1:$I$89,5,0)</f>
        <v>115.48508400000009</v>
      </c>
      <c r="AK125" s="13">
        <f t="shared" si="89"/>
        <v>30.619630481516761</v>
      </c>
      <c r="AL125" s="20">
        <f t="shared" si="58"/>
        <v>254.46571105530847</v>
      </c>
      <c r="AM125" s="59">
        <f t="shared" si="59"/>
        <v>547.79904438864173</v>
      </c>
      <c r="AN125" s="59">
        <f ca="1">AVERAGE(OFFSET($AM$3,0,0,'Données projet'!$E$10+1,1))-AVERAGE(OFFSET($H$3,0,0,'Données projet'!$E$10+1,1))</f>
        <v>337.10499990421835</v>
      </c>
      <c r="AO125" s="59">
        <f t="shared" si="90"/>
        <v>277.4254079562175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100.77801375809197</v>
      </c>
      <c r="AV125" s="21">
        <f>EXP(-LN(2)/25)*AV124+(1-EXP(-LN(2)/25))/(LN(2)/25)*Calculateur!AQ125*Calculateur!AS125*VLOOKUP('Données projet'!$B$10,Paramètres!$A$1:$I$89,3,0)*0.475*44/12</f>
        <v>31.595199924810057</v>
      </c>
      <c r="AW125" s="21">
        <f>EXP(-LN(2)/2)*AW124+(1-EXP(-LN(2)/2))/(LN(2)/2)*AQ125*AT125*VLOOKUP('Données projet'!$B$10,Paramètres!$A$1:$I$89,3,0)*0.475*44/12</f>
        <v>17.861470830429617</v>
      </c>
      <c r="AX125" s="21">
        <f t="shared" si="60"/>
        <v>150.23468451333164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-4.2632564145606011E-14</v>
      </c>
      <c r="O126" s="13">
        <f>N126*VLOOKUP('Données projet'!$B$9,Paramètres!$A$1:$I$89,3,0)*VLOOKUP('Données projet'!$B$9,Paramètres!$A$1:$I$89,5,0)</f>
        <v>-3.8573944038944318E-14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167.24886661350195</v>
      </c>
      <c r="T126" s="59">
        <f t="shared" si="88"/>
        <v>234.73100822629613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0.97369712226199912</v>
      </c>
      <c r="AA126" s="21">
        <f>EXP(-LN(2)/25)*AA125+(1-EXP(-LN(2)/25))/(LN(2)/25)*Calculateur!V126*Calculateur!X126*VLOOKUP('Données projet'!$B$9,Paramètres!$A$1:$I$89,3,0)*0.475*44/12</f>
        <v>2.0347739273861483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3.0084710496481475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5.7330000000000014</v>
      </c>
      <c r="AI126" s="13">
        <f>IF('Données projet'!$A$62&gt;35,AI125+AH126-AQ125,IF(A126&lt;'Données projet'!$A$62,$AF$205^A126,IF(A126='Données projet'!$A$62,'Données projet'!$B$62,AI125+AH126-AQ125)))</f>
        <v>252.49600000000018</v>
      </c>
      <c r="AJ126" s="13">
        <f>AI126*VLOOKUP('Données projet'!$B$10,Paramètres!$A$1:$I$89,3,0)*VLOOKUP('Données projet'!$B$10,Paramètres!$A$1:$I$89,5,0)</f>
        <v>118.16812800000008</v>
      </c>
      <c r="AK126" s="13">
        <f t="shared" si="89"/>
        <v>31.247363461606096</v>
      </c>
      <c r="AL126" s="20">
        <f t="shared" si="58"/>
        <v>260.23198096229737</v>
      </c>
      <c r="AM126" s="59">
        <f t="shared" si="59"/>
        <v>553.56531429563074</v>
      </c>
      <c r="AN126" s="59">
        <f ca="1">AVERAGE(OFFSET($AM$3,0,0,'Données projet'!$E$10+1,1))-AVERAGE(OFFSET($H$3,0,0,'Données projet'!$E$10+1,1))</f>
        <v>337.10499990421835</v>
      </c>
      <c r="AO126" s="59">
        <f t="shared" si="90"/>
        <v>277.4254079562175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98.801818376814666</v>
      </c>
      <c r="AV126" s="21">
        <f>EXP(-LN(2)/25)*AV125+(1-EXP(-LN(2)/25))/(LN(2)/25)*Calculateur!AQ126*Calculateur!AS126*VLOOKUP('Données projet'!$B$10,Paramètres!$A$1:$I$89,3,0)*0.475*44/12</f>
        <v>30.731227521346774</v>
      </c>
      <c r="AW126" s="21">
        <f>EXP(-LN(2)/2)*AW125+(1-EXP(-LN(2)/2))/(LN(2)/2)*AQ126*AT126*VLOOKUP('Données projet'!$B$10,Paramètres!$A$1:$I$89,3,0)*0.475*44/12</f>
        <v>12.629967146162498</v>
      </c>
      <c r="AX126" s="21">
        <f t="shared" si="60"/>
        <v>142.16301304432395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-4.2632564145606011E-14</v>
      </c>
      <c r="O127" s="13">
        <f>N127*VLOOKUP('Données projet'!$B$9,Paramètres!$A$1:$I$89,3,0)*VLOOKUP('Données projet'!$B$9,Paramètres!$A$1:$I$89,5,0)</f>
        <v>-3.8573944038944318E-14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167.24886661350195</v>
      </c>
      <c r="T127" s="59">
        <f t="shared" si="88"/>
        <v>234.73100822629613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0.95460351559104351</v>
      </c>
      <c r="AA127" s="21">
        <f>EXP(-LN(2)/25)*AA126+(1-EXP(-LN(2)/25))/(LN(2)/25)*Calculateur!V127*Calculateur!X127*VLOOKUP('Données projet'!$B$9,Paramètres!$A$1:$I$89,3,0)*0.475*44/12</f>
        <v>1.9791329273376637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2.9337364429287072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5.7330000000000014</v>
      </c>
      <c r="AI127" s="13">
        <f>IF('Données projet'!$A$62&gt;35,AI126+AH127-AQ126,IF(A127&lt;'Données projet'!$A$62,$AF$205^A127,IF(A127='Données projet'!$A$62,'Données projet'!$B$62,AI126+AH127-AQ126)))</f>
        <v>258.22900000000016</v>
      </c>
      <c r="AJ127" s="13">
        <f>AI127*VLOOKUP('Données projet'!$B$10,Paramètres!$A$1:$I$89,3,0)*VLOOKUP('Données projet'!$B$10,Paramètres!$A$1:$I$89,5,0)</f>
        <v>120.85117200000008</v>
      </c>
      <c r="AK127" s="13">
        <f t="shared" si="89"/>
        <v>31.873439447313004</v>
      </c>
      <c r="AL127" s="20">
        <f t="shared" si="58"/>
        <v>265.99536493740356</v>
      </c>
      <c r="AM127" s="59">
        <f t="shared" si="59"/>
        <v>559.32869827073682</v>
      </c>
      <c r="AN127" s="59">
        <f ca="1">AVERAGE(OFFSET($AM$3,0,0,'Données projet'!$E$10+1,1))-AVERAGE(OFFSET($H$3,0,0,'Données projet'!$E$10+1,1))</f>
        <v>337.10499990421835</v>
      </c>
      <c r="AO127" s="59">
        <f t="shared" si="90"/>
        <v>277.4254079562175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96.864374981604044</v>
      </c>
      <c r="AV127" s="21">
        <f>EXP(-LN(2)/25)*AV126+(1-EXP(-LN(2)/25))/(LN(2)/25)*Calculateur!AQ127*Calculateur!AS127*VLOOKUP('Données projet'!$B$10,Paramètres!$A$1:$I$89,3,0)*0.475*44/12</f>
        <v>29.890880488690527</v>
      </c>
      <c r="AW127" s="21">
        <f>EXP(-LN(2)/2)*AW126+(1-EXP(-LN(2)/2))/(LN(2)/2)*AQ127*AT127*VLOOKUP('Données projet'!$B$10,Paramètres!$A$1:$I$89,3,0)*0.475*44/12</f>
        <v>8.9307354152148104</v>
      </c>
      <c r="AX127" s="21">
        <f t="shared" si="60"/>
        <v>135.68599088550937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-4.2632564145606011E-14</v>
      </c>
      <c r="O128" s="13">
        <f>N128*VLOOKUP('Données projet'!$B$9,Paramètres!$A$1:$I$89,3,0)*VLOOKUP('Données projet'!$B$9,Paramètres!$A$1:$I$89,5,0)</f>
        <v>-3.8573944038944318E-14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167.24886661350195</v>
      </c>
      <c r="T128" s="59">
        <f t="shared" si="88"/>
        <v>234.73100822629613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0.93588432290095513</v>
      </c>
      <c r="AA128" s="21">
        <f>EXP(-LN(2)/25)*AA127+(1-EXP(-LN(2)/25))/(LN(2)/25)*Calculateur!V128*Calculateur!X128*VLOOKUP('Données projet'!$B$9,Paramètres!$A$1:$I$89,3,0)*0.475*44/12</f>
        <v>1.9250134333615381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2.8608977562624931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5.7330000000000014</v>
      </c>
      <c r="AI128" s="13">
        <f>IF('Données projet'!$A$62&gt;35,AI127+AH128-AQ127,IF(A128&lt;'Données projet'!$A$62,$AF$205^A128,IF(A128='Données projet'!$A$62,'Données projet'!$B$62,AI127+AH128-AQ127)))</f>
        <v>263.96200000000016</v>
      </c>
      <c r="AJ128" s="13">
        <f>AI128*VLOOKUP('Données projet'!$B$10,Paramètres!$A$1:$I$89,3,0)*VLOOKUP('Données projet'!$B$10,Paramètres!$A$1:$I$89,5,0)</f>
        <v>123.53421600000007</v>
      </c>
      <c r="AK128" s="13">
        <f t="shared" si="89"/>
        <v>32.497899461772079</v>
      </c>
      <c r="AL128" s="20">
        <f t="shared" si="58"/>
        <v>271.75593442925316</v>
      </c>
      <c r="AM128" s="59">
        <f t="shared" si="59"/>
        <v>565.08926776258647</v>
      </c>
      <c r="AN128" s="59">
        <f ca="1">AVERAGE(OFFSET($AM$3,0,0,'Données projet'!$E$10+1,1))-AVERAGE(OFFSET($H$3,0,0,'Données projet'!$E$10+1,1))</f>
        <v>337.10499990421835</v>
      </c>
      <c r="AO128" s="59">
        <f t="shared" si="90"/>
        <v>277.4254079562175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94.964923669649721</v>
      </c>
      <c r="AV128" s="21">
        <f>EXP(-LN(2)/25)*AV127+(1-EXP(-LN(2)/25))/(LN(2)/25)*Calculateur!AQ128*Calculateur!AS128*VLOOKUP('Données projet'!$B$10,Paramètres!$A$1:$I$89,3,0)*0.475*44/12</f>
        <v>29.073512789834197</v>
      </c>
      <c r="AW128" s="21">
        <f>EXP(-LN(2)/2)*AW127+(1-EXP(-LN(2)/2))/(LN(2)/2)*AQ128*AT128*VLOOKUP('Données projet'!$B$10,Paramètres!$A$1:$I$89,3,0)*0.475*44/12</f>
        <v>6.3149835730812498</v>
      </c>
      <c r="AX128" s="21">
        <f t="shared" si="60"/>
        <v>130.35342003256517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-4.2632564145606011E-14</v>
      </c>
      <c r="O129" s="13">
        <f>N129*VLOOKUP('Données projet'!$B$9,Paramètres!$A$1:$I$89,3,0)*VLOOKUP('Données projet'!$B$9,Paramètres!$A$1:$I$89,5,0)</f>
        <v>-3.8573944038944318E-14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167.24886661350195</v>
      </c>
      <c r="T129" s="59">
        <f t="shared" si="88"/>
        <v>234.73100822629613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0.91753220216193931</v>
      </c>
      <c r="AA129" s="21">
        <f>EXP(-LN(2)/25)*AA128+(1-EXP(-LN(2)/25))/(LN(2)/25)*Calculateur!V129*Calculateur!X129*VLOOKUP('Données projet'!$B$9,Paramètres!$A$1:$I$89,3,0)*0.475*44/12</f>
        <v>1.87237383979421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2.7899060419561494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5.7330000000000014</v>
      </c>
      <c r="AI129" s="13">
        <f>IF('Données projet'!$A$62&gt;35,AI128+AH129-AQ128,IF(A129&lt;'Données projet'!$A$62,$AF$205^A129,IF(A129='Données projet'!$A$62,'Données projet'!$B$62,AI128+AH129-AQ128)))</f>
        <v>269.69500000000016</v>
      </c>
      <c r="AJ129" s="13">
        <f>AI129*VLOOKUP('Données projet'!$B$10,Paramètres!$A$1:$I$89,3,0)*VLOOKUP('Données projet'!$B$10,Paramètres!$A$1:$I$89,5,0)</f>
        <v>126.21726000000007</v>
      </c>
      <c r="AK129" s="13">
        <f t="shared" si="89"/>
        <v>33.120782644378309</v>
      </c>
      <c r="AL129" s="20">
        <f t="shared" si="58"/>
        <v>277.5137576056257</v>
      </c>
      <c r="AM129" s="59">
        <f t="shared" si="59"/>
        <v>570.84709093895901</v>
      </c>
      <c r="AN129" s="59">
        <f ca="1">AVERAGE(OFFSET($AM$3,0,0,'Données projet'!$E$10+1,1))-AVERAGE(OFFSET($H$3,0,0,'Données projet'!$E$10+1,1))</f>
        <v>337.10499990421835</v>
      </c>
      <c r="AO129" s="59">
        <f t="shared" si="90"/>
        <v>277.4254079562175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93.102719439371924</v>
      </c>
      <c r="AV129" s="21">
        <f>EXP(-LN(2)/25)*AV128+(1-EXP(-LN(2)/25))/(LN(2)/25)*Calculateur!AQ129*Calculateur!AS129*VLOOKUP('Données projet'!$B$10,Paramètres!$A$1:$I$89,3,0)*0.475*44/12</f>
        <v>28.278496053686592</v>
      </c>
      <c r="AW129" s="21">
        <f>EXP(-LN(2)/2)*AW128+(1-EXP(-LN(2)/2))/(LN(2)/2)*AQ129*AT129*VLOOKUP('Données projet'!$B$10,Paramètres!$A$1:$I$89,3,0)*0.475*44/12</f>
        <v>4.4653677076074061</v>
      </c>
      <c r="AX129" s="21">
        <f t="shared" si="60"/>
        <v>125.84658320066592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-4.2632564145606011E-14</v>
      </c>
      <c r="O130" s="13">
        <f>N130*VLOOKUP('Données projet'!$B$9,Paramètres!$A$1:$I$89,3,0)*VLOOKUP('Données projet'!$B$9,Paramètres!$A$1:$I$89,5,0)</f>
        <v>-3.8573944038944318E-14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167.24886661350195</v>
      </c>
      <c r="T130" s="59">
        <f t="shared" si="88"/>
        <v>234.73100822629613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0.89953995531692721</v>
      </c>
      <c r="AA130" s="21">
        <f>EXP(-LN(2)/25)*AA129+(1-EXP(-LN(2)/25))/(LN(2)/25)*Calculateur!V130*Calculateur!X130*VLOOKUP('Données projet'!$B$9,Paramètres!$A$1:$I$89,3,0)*0.475*44/12</f>
        <v>1.8211736786811765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2.7207136339981037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5.7330000000000014</v>
      </c>
      <c r="AI130" s="13">
        <f>IF('Données projet'!$A$62&gt;35,AI129+AH130-AQ129,IF(A130&lt;'Données projet'!$A$62,$AF$205^A130,IF(A130='Données projet'!$A$62,'Données projet'!$B$62,AI129+AH130-AQ129)))</f>
        <v>275.42800000000017</v>
      </c>
      <c r="AJ130" s="13">
        <f>AI130*VLOOKUP('Données projet'!$B$10,Paramètres!$A$1:$I$89,3,0)*VLOOKUP('Données projet'!$B$10,Paramètres!$A$1:$I$89,5,0)</f>
        <v>128.90030400000006</v>
      </c>
      <c r="AK130" s="13">
        <f t="shared" si="89"/>
        <v>33.74212637546124</v>
      </c>
      <c r="AL130" s="20">
        <f t="shared" si="58"/>
        <v>283.26889957059507</v>
      </c>
      <c r="AM130" s="59">
        <f t="shared" si="59"/>
        <v>576.60223290392832</v>
      </c>
      <c r="AN130" s="59">
        <f ca="1">AVERAGE(OFFSET($AM$3,0,0,'Données projet'!$E$10+1,1))-AVERAGE(OFFSET($H$3,0,0,'Données projet'!$E$10+1,1))</f>
        <v>337.10499990421835</v>
      </c>
      <c r="AO130" s="59">
        <f t="shared" si="90"/>
        <v>277.4254079562175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91.277031898217444</v>
      </c>
      <c r="AV130" s="21">
        <f>EXP(-LN(2)/25)*AV129+(1-EXP(-LN(2)/25))/(LN(2)/25)*Calculateur!AQ130*Calculateur!AS130*VLOOKUP('Données projet'!$B$10,Paramètres!$A$1:$I$89,3,0)*0.475*44/12</f>
        <v>27.505219091997056</v>
      </c>
      <c r="AW130" s="21">
        <f>EXP(-LN(2)/2)*AW129+(1-EXP(-LN(2)/2))/(LN(2)/2)*AQ130*AT130*VLOOKUP('Données projet'!$B$10,Paramètres!$A$1:$I$89,3,0)*0.475*44/12</f>
        <v>3.1574917865406258</v>
      </c>
      <c r="AX130" s="21">
        <f t="shared" si="60"/>
        <v>121.93974277675512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-4.2632564145606011E-14</v>
      </c>
      <c r="O131" s="13">
        <f>N131*VLOOKUP('Données projet'!$B$9,Paramètres!$A$1:$I$89,3,0)*VLOOKUP('Données projet'!$B$9,Paramètres!$A$1:$I$89,5,0)</f>
        <v>-3.8573944038944318E-14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167.24886661350195</v>
      </c>
      <c r="T131" s="59">
        <f t="shared" si="88"/>
        <v>234.73100822629613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0.88190052545835884</v>
      </c>
      <c r="AA131" s="21">
        <f>EXP(-LN(2)/25)*AA130+(1-EXP(-LN(2)/25))/(LN(2)/25)*Calculateur!V131*Calculateur!X131*VLOOKUP('Données projet'!$B$9,Paramètres!$A$1:$I$89,3,0)*0.475*44/12</f>
        <v>1.7713735886662783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2.653274114124637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5.7330000000000014</v>
      </c>
      <c r="AI131" s="13">
        <f>IF('Données projet'!$A$62&gt;35,AI130+AH131-AQ130,IF(A131&lt;'Données projet'!$A$62,$AF$205^A131,IF(A131='Données projet'!$A$62,'Données projet'!$B$62,AI130+AH131-AQ130)))</f>
        <v>281.16100000000017</v>
      </c>
      <c r="AJ131" s="13">
        <f>AI131*VLOOKUP('Données projet'!$B$10,Paramètres!$A$1:$I$89,3,0)*VLOOKUP('Données projet'!$B$10,Paramètres!$A$1:$I$89,5,0)</f>
        <v>131.58334800000009</v>
      </c>
      <c r="AK131" s="13">
        <f t="shared" si="89"/>
        <v>34.361966390286234</v>
      </c>
      <c r="AL131" s="20">
        <f t="shared" si="58"/>
        <v>289.02142256308201</v>
      </c>
      <c r="AM131" s="59">
        <f t="shared" si="59"/>
        <v>582.35475589641533</v>
      </c>
      <c r="AN131" s="59">
        <f ca="1">AVERAGE(OFFSET($AM$3,0,0,'Données projet'!$E$10+1,1))-AVERAGE(OFFSET($H$3,0,0,'Données projet'!$E$10+1,1))</f>
        <v>337.10499990421835</v>
      </c>
      <c r="AO131" s="59">
        <f t="shared" si="90"/>
        <v>277.4254079562175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89.487144976185562</v>
      </c>
      <c r="AV131" s="21">
        <f>EXP(-LN(2)/25)*AV130+(1-EXP(-LN(2)/25))/(LN(2)/25)*Calculateur!AQ131*Calculateur!AS131*VLOOKUP('Données projet'!$B$10,Paramètres!$A$1:$I$89,3,0)*0.475*44/12</f>
        <v>26.753087429489788</v>
      </c>
      <c r="AW131" s="21">
        <f>EXP(-LN(2)/2)*AW130+(1-EXP(-LN(2)/2))/(LN(2)/2)*AQ131*AT131*VLOOKUP('Données projet'!$B$10,Paramètres!$A$1:$I$89,3,0)*0.475*44/12</f>
        <v>2.2326838538037035</v>
      </c>
      <c r="AX131" s="21">
        <f t="shared" si="60"/>
        <v>118.47291625947906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-4.2632564145606011E-14</v>
      </c>
      <c r="O132" s="13">
        <f>N132*VLOOKUP('Données projet'!$B$9,Paramètres!$A$1:$I$89,3,0)*VLOOKUP('Données projet'!$B$9,Paramètres!$A$1:$I$89,5,0)</f>
        <v>-3.8573944038944318E-14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167.24886661350195</v>
      </c>
      <c r="T132" s="59">
        <f t="shared" si="88"/>
        <v>234.73100822629613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0.86460699406032715</v>
      </c>
      <c r="AA132" s="21">
        <f>EXP(-LN(2)/25)*AA131+(1-EXP(-LN(2)/25))/(LN(2)/25)*Calculateur!V132*Calculateur!X132*VLOOKUP('Données projet'!$B$9,Paramètres!$A$1:$I$89,3,0)*0.475*44/12</f>
        <v>1.7229352847317103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2.5875422787920375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5.7330000000000014</v>
      </c>
      <c r="AI132" s="13">
        <f>IF('Données projet'!$A$62&gt;35,AI131+AH132-AQ131,IF(A132&lt;'Données projet'!$A$62,$AF$205^A132,IF(A132='Données projet'!$A$62,'Données projet'!$B$62,AI131+AH132-AQ131)))</f>
        <v>286.89400000000018</v>
      </c>
      <c r="AJ132" s="13">
        <f>AI132*VLOOKUP('Données projet'!$B$10,Paramètres!$A$1:$I$89,3,0)*VLOOKUP('Données projet'!$B$10,Paramètres!$A$1:$I$89,5,0)</f>
        <v>134.26639200000008</v>
      </c>
      <c r="AK132" s="13">
        <f t="shared" si="89"/>
        <v>34.980336883494694</v>
      </c>
      <c r="AL132" s="20">
        <f t="shared" ref="AL132:AL153" si="112">(AJ132+AK132)*0.475*44/12</f>
        <v>294.77138613875337</v>
      </c>
      <c r="AM132" s="59">
        <f t="shared" ref="AM132:AM195" si="113">AL132+(AD132+AE132)*44/12</f>
        <v>588.10471947208669</v>
      </c>
      <c r="AN132" s="59">
        <f ca="1">AVERAGE(OFFSET($AM$3,0,0,'Données projet'!$E$10+1,1))-AVERAGE(OFFSET($H$3,0,0,'Données projet'!$E$10+1,1))</f>
        <v>337.10499990421835</v>
      </c>
      <c r="AO132" s="59">
        <f t="shared" si="90"/>
        <v>277.4254079562175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87.732356644971503</v>
      </c>
      <c r="AV132" s="21">
        <f>EXP(-LN(2)/25)*AV131+(1-EXP(-LN(2)/25))/(LN(2)/25)*Calculateur!AQ132*Calculateur!AS132*VLOOKUP('Données projet'!$B$10,Paramètres!$A$1:$I$89,3,0)*0.475*44/12</f>
        <v>26.021522846846668</v>
      </c>
      <c r="AW132" s="21">
        <f>EXP(-LN(2)/2)*AW131+(1-EXP(-LN(2)/2))/(LN(2)/2)*AQ132*AT132*VLOOKUP('Données projet'!$B$10,Paramètres!$A$1:$I$89,3,0)*0.475*44/12</f>
        <v>1.5787458932703131</v>
      </c>
      <c r="AX132" s="21">
        <f t="shared" ref="AX132:AX153" si="114">SUM(AU132:AW132)</f>
        <v>115.33262538508848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-4.2632564145606011E-14</v>
      </c>
      <c r="O133" s="13">
        <f>N133*VLOOKUP('Données projet'!$B$9,Paramètres!$A$1:$I$89,3,0)*VLOOKUP('Données projet'!$B$9,Paramètres!$A$1:$I$89,5,0)</f>
        <v>-3.8573944038944318E-14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167.24886661350195</v>
      </c>
      <c r="T133" s="59">
        <f t="shared" ref="T133:T196" si="142">$T$3</f>
        <v>234.73100822629613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0.84765257826499818</v>
      </c>
      <c r="AA133" s="21">
        <f>EXP(-LN(2)/25)*AA132+(1-EXP(-LN(2)/25))/(LN(2)/25)*Calculateur!V133*Calculateur!X133*VLOOKUP('Données projet'!$B$9,Paramètres!$A$1:$I$89,3,0)*0.475*44/12</f>
        <v>1.675821528765493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2.5234741070304914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5.7330000000000014</v>
      </c>
      <c r="AI133" s="13">
        <f>IF('Données projet'!$A$62&gt;35,AI132+AH133-AQ132,IF(A133&lt;'Données projet'!$A$62,$AF$205^A133,IF(A133='Données projet'!$A$62,'Données projet'!$B$62,AI132+AH133-AQ132)))</f>
        <v>292.62700000000018</v>
      </c>
      <c r="AJ133" s="13">
        <f>AI133*VLOOKUP('Données projet'!$B$10,Paramètres!$A$1:$I$89,3,0)*VLOOKUP('Données projet'!$B$10,Paramètres!$A$1:$I$89,5,0)</f>
        <v>136.94943600000008</v>
      </c>
      <c r="AK133" s="13">
        <f t="shared" ref="AK133:AK153" si="143">EXP(-1.0587+0.8836*LN(AJ133)+0.284)</f>
        <v>35.59727060496035</v>
      </c>
      <c r="AL133" s="20">
        <f t="shared" si="112"/>
        <v>300.51884733697273</v>
      </c>
      <c r="AM133" s="59">
        <f t="shared" si="113"/>
        <v>593.8521806703061</v>
      </c>
      <c r="AN133" s="59">
        <f ca="1">AVERAGE(OFFSET($AM$3,0,0,'Données projet'!$E$10+1,1))-AVERAGE(OFFSET($H$3,0,0,'Données projet'!$E$10+1,1))</f>
        <v>337.10499990421835</v>
      </c>
      <c r="AO133" s="59">
        <f t="shared" ref="AO133:AO196" si="144">$AO$3</f>
        <v>277.4254079562175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86.01197864261735</v>
      </c>
      <c r="AV133" s="21">
        <f>EXP(-LN(2)/25)*AV132+(1-EXP(-LN(2)/25))/(LN(2)/25)*Calculateur!AQ133*Calculateur!AS133*VLOOKUP('Données projet'!$B$10,Paramètres!$A$1:$I$89,3,0)*0.475*44/12</f>
        <v>25.309962936187233</v>
      </c>
      <c r="AW133" s="21">
        <f>EXP(-LN(2)/2)*AW132+(1-EXP(-LN(2)/2))/(LN(2)/2)*AQ133*AT133*VLOOKUP('Données projet'!$B$10,Paramètres!$A$1:$I$89,3,0)*0.475*44/12</f>
        <v>1.116341926901852</v>
      </c>
      <c r="AX133" s="21">
        <f t="shared" si="114"/>
        <v>112.43828350570644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-4.2632564145606011E-14</v>
      </c>
      <c r="O134" s="13">
        <f>N134*VLOOKUP('Données projet'!$B$9,Paramètres!$A$1:$I$89,3,0)*VLOOKUP('Données projet'!$B$9,Paramètres!$A$1:$I$89,5,0)</f>
        <v>-3.8573944038944318E-14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167.24886661350195</v>
      </c>
      <c r="T134" s="59">
        <f t="shared" si="142"/>
        <v>234.73100822629613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0.83103062822224316</v>
      </c>
      <c r="AA134" s="21">
        <f>EXP(-LN(2)/25)*AA133+(1-EXP(-LN(2)/25))/(LN(2)/25)*Calculateur!V134*Calculateur!X134*VLOOKUP('Données projet'!$B$9,Paramètres!$A$1:$I$89,3,0)*0.475*44/12</f>
        <v>1.6299961009337764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2.4610267291560195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298.36</v>
      </c>
      <c r="AG134" s="12">
        <f>VLOOKUP(A134,'Données projet'!$A$61:$I$81,9,0)</f>
        <v>5.7330000000000014</v>
      </c>
      <c r="AH134" s="12">
        <f t="array" ref="AH134">INDEX(AG:AG,MIN(IF(ISNUMBER(AG134:AG330),ROW(AG134:AG330),"")))</f>
        <v>5.7330000000000014</v>
      </c>
      <c r="AI134" s="13">
        <f>IF('Données projet'!$A$62&gt;35,AI133+AH134-AQ133,IF(A134&lt;'Données projet'!$A$62,$AF$205^A134,IF(A134='Données projet'!$A$62,'Données projet'!$B$62,AI133+AH134-AQ133)))</f>
        <v>298.36000000000018</v>
      </c>
      <c r="AJ134" s="13">
        <f>AI134*VLOOKUP('Données projet'!$B$10,Paramètres!$A$1:$I$89,3,0)*VLOOKUP('Données projet'!$B$10,Paramètres!$A$1:$I$89,5,0)</f>
        <v>139.6324800000001</v>
      </c>
      <c r="AK134" s="13">
        <f t="shared" si="143"/>
        <v>36.212798947921591</v>
      </c>
      <c r="AL134" s="20">
        <f t="shared" si="112"/>
        <v>306.26386083429691</v>
      </c>
      <c r="AM134" s="59">
        <f t="shared" si="113"/>
        <v>599.59719416763028</v>
      </c>
      <c r="AN134" s="59">
        <f ca="1">AVERAGE(OFFSET($AM$3,0,0,'Données projet'!$E$10+1,1))-AVERAGE(OFFSET($H$3,0,0,'Données projet'!$E$10+1,1))</f>
        <v>337.10499990421835</v>
      </c>
      <c r="AO134" s="59">
        <f t="shared" si="144"/>
        <v>277.4254079562175</v>
      </c>
      <c r="AP134" s="15">
        <f>IF(ISNA(VLOOKUP(A134,'Données projet'!$A$61:$I$81,3,0)),0,VLOOKUP(A134,'Données projet'!$A$61:$I$81,3,0))</f>
        <v>8</v>
      </c>
      <c r="AQ134" s="15">
        <f>IF(ISNA(VLOOKUP(A134,'Données projet'!$A$61:$I$81,4,0)),0,VLOOKUP(A134,'Données projet'!$A$61:$I$81,4,0))</f>
        <v>298.36</v>
      </c>
      <c r="AR134" s="16">
        <f>IF(ISNA(VLOOKUP(A134,'Données projet'!$A$61:$I$81,5,0)),0%,VLOOKUP(A134,'Données projet'!$A$61:$I$81,5,0)*VLOOKUP('Données projet'!$B$10,Paramètres!$A$1:$I$89,7,0))</f>
        <v>0.33</v>
      </c>
      <c r="AS134" s="16">
        <f>IF(ISNA(VLOOKUP(A134,'Données projet'!$A$61:$I$81,6,0)),0%,VLOOKUP(A134,'Données projet'!$A$61:$I$81,6,0)*VLOOKUP('Données projet'!$B$10,Paramètres!$A$1:$I$89,7,0))</f>
        <v>0.11000000000000001</v>
      </c>
      <c r="AT134" s="16">
        <f>IF(ISNA(VLOOKUP(A134,'Données projet'!$A$61:$I$81,7,0)),0%,VLOOKUP(A134,'Données projet'!$A$61:$I$81,7,0))</f>
        <v>0.2</v>
      </c>
      <c r="AU134" s="21">
        <f>EXP(-LN(2)/35)*AU133+(1-EXP(-LN(2)/35))/(LN(2)/35)*AQ134*AR134*VLOOKUP('Données projet'!$B$10,Paramètres!$A$1:$I$89,3,0)*0.475*44/12</f>
        <v>145.4517261852103</v>
      </c>
      <c r="AV134" s="21">
        <f>EXP(-LN(2)/25)*AV133+(1-EXP(-LN(2)/25))/(LN(2)/25)*Calculateur!AQ134*Calculateur!AS134*VLOOKUP('Données projet'!$B$10,Paramètres!$A$1:$I$89,3,0)*0.475*44/12</f>
        <v>44.913098033140628</v>
      </c>
      <c r="AW134" s="21">
        <f>EXP(-LN(2)/2)*AW133+(1-EXP(-LN(2)/2))/(LN(2)/2)*AQ134*AT134*VLOOKUP('Données projet'!$B$10,Paramètres!$A$1:$I$89,3,0)*0.475*44/12</f>
        <v>32.408653674578815</v>
      </c>
      <c r="AX134" s="21">
        <f t="shared" si="114"/>
        <v>222.77347789292975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-4.2632564145606011E-14</v>
      </c>
      <c r="O135" s="13">
        <f>N135*VLOOKUP('Données projet'!$B$9,Paramètres!$A$1:$I$89,3,0)*VLOOKUP('Données projet'!$B$9,Paramètres!$A$1:$I$89,5,0)</f>
        <v>-3.8573944038944318E-14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167.24886661350195</v>
      </c>
      <c r="T135" s="59">
        <f t="shared" si="142"/>
        <v>234.73100822629613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0.81473462448143807</v>
      </c>
      <c r="AA135" s="21">
        <f>EXP(-LN(2)/25)*AA134+(1-EXP(-LN(2)/25))/(LN(2)/25)*Calculateur!V135*Calculateur!X135*VLOOKUP('Données projet'!$B$9,Paramètres!$A$1:$I$89,3,0)*0.475*44/12</f>
        <v>1.5854237718359727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2.4001583963174107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1.7053025658242404E-13</v>
      </c>
      <c r="AJ135" s="13">
        <f>AI135*VLOOKUP('Données projet'!$B$10,Paramètres!$A$1:$I$89,3,0)*VLOOKUP('Données projet'!$B$10,Paramètres!$A$1:$I$89,5,0)</f>
        <v>7.9808160080574461E-14</v>
      </c>
      <c r="AK135" s="13">
        <f t="shared" si="143"/>
        <v>1.2308384591775343E-12</v>
      </c>
      <c r="AL135" s="20">
        <f t="shared" si="112"/>
        <v>2.282709528541206E-12</v>
      </c>
      <c r="AM135" s="59">
        <f t="shared" si="113"/>
        <v>293.33333333333559</v>
      </c>
      <c r="AN135" s="59">
        <f ca="1">AVERAGE(OFFSET($AM$3,0,0,'Données projet'!$E$10+1,1))-AVERAGE(OFFSET($H$3,0,0,'Données projet'!$E$10+1,1))</f>
        <v>337.10499990421835</v>
      </c>
      <c r="AO135" s="59">
        <f t="shared" si="144"/>
        <v>277.4254079562175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142.59950655151124</v>
      </c>
      <c r="AV135" s="21">
        <f>EXP(-LN(2)/25)*AV134+(1-EXP(-LN(2)/25))/(LN(2)/25)*Calculateur!AQ135*Calculateur!AS135*VLOOKUP('Données projet'!$B$10,Paramètres!$A$1:$I$89,3,0)*0.475*44/12</f>
        <v>43.684947005547222</v>
      </c>
      <c r="AW135" s="21">
        <f>EXP(-LN(2)/2)*AW134+(1-EXP(-LN(2)/2))/(LN(2)/2)*AQ135*AT135*VLOOKUP('Données projet'!$B$10,Paramètres!$A$1:$I$89,3,0)*0.475*44/12</f>
        <v>22.916378782421003</v>
      </c>
      <c r="AX135" s="21">
        <f t="shared" si="114"/>
        <v>209.20083233947946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-4.2632564145606011E-14</v>
      </c>
      <c r="O136" s="13">
        <f>N136*VLOOKUP('Données projet'!$B$9,Paramètres!$A$1:$I$89,3,0)*VLOOKUP('Données projet'!$B$9,Paramètres!$A$1:$I$89,5,0)</f>
        <v>-3.8573944038944318E-14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167.24886661350195</v>
      </c>
      <c r="T136" s="59">
        <f t="shared" si="142"/>
        <v>234.73100822629613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0.7987581754344093</v>
      </c>
      <c r="AA136" s="21">
        <f>EXP(-LN(2)/25)*AA135+(1-EXP(-LN(2)/25))/(LN(2)/25)*Calculateur!V136*Calculateur!X136*VLOOKUP('Données projet'!$B$9,Paramètres!$A$1:$I$89,3,0)*0.475*44/12</f>
        <v>1.5420702754213054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2.3408284508557147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1.7053025658242404E-13</v>
      </c>
      <c r="AJ136" s="13">
        <f>AI136*VLOOKUP('Données projet'!$B$10,Paramètres!$A$1:$I$89,3,0)*VLOOKUP('Données projet'!$B$10,Paramètres!$A$1:$I$89,5,0)</f>
        <v>7.9808160080574461E-14</v>
      </c>
      <c r="AK136" s="13">
        <f t="shared" si="143"/>
        <v>1.2308384591775343E-12</v>
      </c>
      <c r="AL136" s="20">
        <f t="shared" si="112"/>
        <v>2.282709528541206E-12</v>
      </c>
      <c r="AM136" s="59">
        <f t="shared" si="113"/>
        <v>293.33333333333559</v>
      </c>
      <c r="AN136" s="59">
        <f ca="1">AVERAGE(OFFSET($AM$3,0,0,'Données projet'!$E$10+1,1))-AVERAGE(OFFSET($H$3,0,0,'Données projet'!$E$10+1,1))</f>
        <v>337.10499990421835</v>
      </c>
      <c r="AO136" s="59">
        <f t="shared" si="144"/>
        <v>277.4254079562175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139.80321720514684</v>
      </c>
      <c r="AV136" s="21">
        <f>EXP(-LN(2)/25)*AV135+(1-EXP(-LN(2)/25))/(LN(2)/25)*Calculateur!AQ136*Calculateur!AS136*VLOOKUP('Données projet'!$B$10,Paramètres!$A$1:$I$89,3,0)*0.475*44/12</f>
        <v>42.490379832389017</v>
      </c>
      <c r="AW136" s="21">
        <f>EXP(-LN(2)/2)*AW135+(1-EXP(-LN(2)/2))/(LN(2)/2)*AQ136*AT136*VLOOKUP('Données projet'!$B$10,Paramètres!$A$1:$I$89,3,0)*0.475*44/12</f>
        <v>16.204326837289408</v>
      </c>
      <c r="AX136" s="21">
        <f t="shared" si="114"/>
        <v>198.49792387482526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-4.2632564145606011E-14</v>
      </c>
      <c r="O137" s="13">
        <f>N137*VLOOKUP('Données projet'!$B$9,Paramètres!$A$1:$I$89,3,0)*VLOOKUP('Données projet'!$B$9,Paramètres!$A$1:$I$89,5,0)</f>
        <v>-3.8573944038944318E-14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167.24886661350195</v>
      </c>
      <c r="T137" s="59">
        <f t="shared" si="142"/>
        <v>234.73100822629613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0.78309501480852106</v>
      </c>
      <c r="AA137" s="21">
        <f>EXP(-LN(2)/25)*AA136+(1-EXP(-LN(2)/25))/(LN(2)/25)*Calculateur!V137*Calculateur!X137*VLOOKUP('Données projet'!$B$9,Paramètres!$A$1:$I$89,3,0)*0.475*44/12</f>
        <v>1.4999022826459585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2.2829972974544797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1.7053025658242404E-13</v>
      </c>
      <c r="AJ137" s="13">
        <f>AI137*VLOOKUP('Données projet'!$B$10,Paramètres!$A$1:$I$89,3,0)*VLOOKUP('Données projet'!$B$10,Paramètres!$A$1:$I$89,5,0)</f>
        <v>7.9808160080574461E-14</v>
      </c>
      <c r="AK137" s="13">
        <f t="shared" si="143"/>
        <v>1.2308384591775343E-12</v>
      </c>
      <c r="AL137" s="20">
        <f t="shared" si="112"/>
        <v>2.282709528541206E-12</v>
      </c>
      <c r="AM137" s="59">
        <f t="shared" si="113"/>
        <v>293.33333333333559</v>
      </c>
      <c r="AN137" s="59">
        <f ca="1">AVERAGE(OFFSET($AM$3,0,0,'Données projet'!$E$10+1,1))-AVERAGE(OFFSET($H$3,0,0,'Données projet'!$E$10+1,1))</f>
        <v>337.10499990421835</v>
      </c>
      <c r="AO137" s="59">
        <f t="shared" si="144"/>
        <v>277.4254079562175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137.06176138729654</v>
      </c>
      <c r="AV137" s="21">
        <f>EXP(-LN(2)/25)*AV136+(1-EXP(-LN(2)/25))/(LN(2)/25)*Calculateur!AQ137*Calculateur!AS137*VLOOKUP('Données projet'!$B$10,Paramètres!$A$1:$I$89,3,0)*0.475*44/12</f>
        <v>41.328478161400376</v>
      </c>
      <c r="AW137" s="21">
        <f>EXP(-LN(2)/2)*AW136+(1-EXP(-LN(2)/2))/(LN(2)/2)*AQ137*AT137*VLOOKUP('Données projet'!$B$10,Paramètres!$A$1:$I$89,3,0)*0.475*44/12</f>
        <v>11.458189391210501</v>
      </c>
      <c r="AX137" s="21">
        <f t="shared" si="114"/>
        <v>189.84842893990742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-4.2632564145606011E-14</v>
      </c>
      <c r="O138" s="13">
        <f>N138*VLOOKUP('Données projet'!$B$9,Paramètres!$A$1:$I$89,3,0)*VLOOKUP('Données projet'!$B$9,Paramètres!$A$1:$I$89,5,0)</f>
        <v>-3.8573944038944318E-14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167.24886661350195</v>
      </c>
      <c r="T138" s="59">
        <f t="shared" si="142"/>
        <v>234.73100822629613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0.76773899920892186</v>
      </c>
      <c r="AA138" s="21">
        <f>EXP(-LN(2)/25)*AA137+(1-EXP(-LN(2)/25))/(LN(2)/25)*Calculateur!V138*Calculateur!X138*VLOOKUP('Données projet'!$B$9,Paramètres!$A$1:$I$89,3,0)*0.475*44/12</f>
        <v>1.4588873758505718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2.2266263750594937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1.7053025658242404E-13</v>
      </c>
      <c r="AJ138" s="13">
        <f>AI138*VLOOKUP('Données projet'!$B$10,Paramètres!$A$1:$I$89,3,0)*VLOOKUP('Données projet'!$B$10,Paramètres!$A$1:$I$89,5,0)</f>
        <v>7.9808160080574461E-14</v>
      </c>
      <c r="AK138" s="13">
        <f t="shared" si="143"/>
        <v>1.2308384591775343E-12</v>
      </c>
      <c r="AL138" s="20">
        <f t="shared" si="112"/>
        <v>2.282709528541206E-12</v>
      </c>
      <c r="AM138" s="59">
        <f t="shared" si="113"/>
        <v>293.33333333333559</v>
      </c>
      <c r="AN138" s="59">
        <f ca="1">AVERAGE(OFFSET($AM$3,0,0,'Données projet'!$E$10+1,1))-AVERAGE(OFFSET($H$3,0,0,'Données projet'!$E$10+1,1))</f>
        <v>337.10499990421835</v>
      </c>
      <c r="AO138" s="59">
        <f t="shared" si="144"/>
        <v>277.4254079562175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134.37406384591134</v>
      </c>
      <c r="AV138" s="21">
        <f>EXP(-LN(2)/25)*AV137+(1-EXP(-LN(2)/25))/(LN(2)/25)*Calculateur!AQ138*Calculateur!AS138*VLOOKUP('Données projet'!$B$10,Paramètres!$A$1:$I$89,3,0)*0.475*44/12</f>
        <v>40.198348752706671</v>
      </c>
      <c r="AW138" s="21">
        <f>EXP(-LN(2)/2)*AW137+(1-EXP(-LN(2)/2))/(LN(2)/2)*AQ138*AT138*VLOOKUP('Données projet'!$B$10,Paramètres!$A$1:$I$89,3,0)*0.475*44/12</f>
        <v>8.1021634186447038</v>
      </c>
      <c r="AX138" s="21">
        <f t="shared" si="114"/>
        <v>182.67457601726269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-4.2632564145606011E-14</v>
      </c>
      <c r="O139" s="13">
        <f>N139*VLOOKUP('Données projet'!$B$9,Paramètres!$A$1:$I$89,3,0)*VLOOKUP('Données projet'!$B$9,Paramètres!$A$1:$I$89,5,0)</f>
        <v>-3.8573944038944318E-14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167.24886661350195</v>
      </c>
      <c r="T139" s="59">
        <f t="shared" si="142"/>
        <v>234.73100822629613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0.75268410570898614</v>
      </c>
      <c r="AA139" s="21">
        <f>EXP(-LN(2)/25)*AA138+(1-EXP(-LN(2)/25))/(LN(2)/25)*Calculateur!V139*Calculateur!X139*VLOOKUP('Données projet'!$B$9,Paramètres!$A$1:$I$89,3,0)*0.475*44/12</f>
        <v>1.4189940238383851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2.1716781295473711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1.7053025658242404E-13</v>
      </c>
      <c r="AJ139" s="13">
        <f>AI139*VLOOKUP('Données projet'!$B$10,Paramètres!$A$1:$I$89,3,0)*VLOOKUP('Données projet'!$B$10,Paramètres!$A$1:$I$89,5,0)</f>
        <v>7.9808160080574461E-14</v>
      </c>
      <c r="AK139" s="13">
        <f t="shared" si="143"/>
        <v>1.2308384591775343E-12</v>
      </c>
      <c r="AL139" s="20">
        <f t="shared" si="112"/>
        <v>2.282709528541206E-12</v>
      </c>
      <c r="AM139" s="59">
        <f t="shared" si="113"/>
        <v>293.33333333333559</v>
      </c>
      <c r="AN139" s="59">
        <f ca="1">AVERAGE(OFFSET($AM$3,0,0,'Données projet'!$E$10+1,1))-AVERAGE(OFFSET($H$3,0,0,'Données projet'!$E$10+1,1))</f>
        <v>337.10499990421835</v>
      </c>
      <c r="AO139" s="59">
        <f t="shared" si="144"/>
        <v>277.4254079562175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131.73907041397908</v>
      </c>
      <c r="AV139" s="21">
        <f>EXP(-LN(2)/25)*AV138+(1-EXP(-LN(2)/25))/(LN(2)/25)*Calculateur!AQ139*Calculateur!AS139*VLOOKUP('Données projet'!$B$10,Paramètres!$A$1:$I$89,3,0)*0.475*44/12</f>
        <v>39.099122792124618</v>
      </c>
      <c r="AW139" s="21">
        <f>EXP(-LN(2)/2)*AW138+(1-EXP(-LN(2)/2))/(LN(2)/2)*AQ139*AT139*VLOOKUP('Données projet'!$B$10,Paramètres!$A$1:$I$89,3,0)*0.475*44/12</f>
        <v>5.7290946956052506</v>
      </c>
      <c r="AX139" s="21">
        <f t="shared" si="114"/>
        <v>176.56728790170897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-4.2632564145606011E-14</v>
      </c>
      <c r="O140" s="13">
        <f>N140*VLOOKUP('Données projet'!$B$9,Paramètres!$A$1:$I$89,3,0)*VLOOKUP('Données projet'!$B$9,Paramètres!$A$1:$I$89,5,0)</f>
        <v>-3.8573944038944318E-14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167.24886661350195</v>
      </c>
      <c r="T140" s="59">
        <f t="shared" si="142"/>
        <v>234.73100822629613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0.73792442948800585</v>
      </c>
      <c r="AA140" s="21">
        <f>EXP(-LN(2)/25)*AA139+(1-EXP(-LN(2)/25))/(LN(2)/25)*Calculateur!V140*Calculateur!X140*VLOOKUP('Données projet'!$B$9,Paramètres!$A$1:$I$89,3,0)*0.475*44/12</f>
        <v>1.380191557634872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2.1181159871228781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1.7053025658242404E-13</v>
      </c>
      <c r="AJ140" s="13">
        <f>AI140*VLOOKUP('Données projet'!$B$10,Paramètres!$A$1:$I$89,3,0)*VLOOKUP('Données projet'!$B$10,Paramètres!$A$1:$I$89,5,0)</f>
        <v>7.9808160080574461E-14</v>
      </c>
      <c r="AK140" s="13">
        <f t="shared" si="143"/>
        <v>1.2308384591775343E-12</v>
      </c>
      <c r="AL140" s="20">
        <f t="shared" si="112"/>
        <v>2.282709528541206E-12</v>
      </c>
      <c r="AM140" s="59">
        <f t="shared" si="113"/>
        <v>293.33333333333559</v>
      </c>
      <c r="AN140" s="59">
        <f ca="1">AVERAGE(OFFSET($AM$3,0,0,'Données projet'!$E$10+1,1))-AVERAGE(OFFSET($H$3,0,0,'Données projet'!$E$10+1,1))</f>
        <v>337.10499990421835</v>
      </c>
      <c r="AO140" s="59">
        <f t="shared" si="144"/>
        <v>277.4254079562175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129.15574759605971</v>
      </c>
      <c r="AV140" s="21">
        <f>EXP(-LN(2)/25)*AV139+(1-EXP(-LN(2)/25))/(LN(2)/25)*Calculateur!AQ140*Calculateur!AS140*VLOOKUP('Données projet'!$B$10,Paramètres!$A$1:$I$89,3,0)*0.475*44/12</f>
        <v>38.029955223240464</v>
      </c>
      <c r="AW140" s="21">
        <f>EXP(-LN(2)/2)*AW139+(1-EXP(-LN(2)/2))/(LN(2)/2)*AQ140*AT140*VLOOKUP('Données projet'!$B$10,Paramètres!$A$1:$I$89,3,0)*0.475*44/12</f>
        <v>4.0510817093223519</v>
      </c>
      <c r="AX140" s="21">
        <f t="shared" si="114"/>
        <v>171.23678452862251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-4.2632564145606011E-14</v>
      </c>
      <c r="O141" s="13">
        <f>N141*VLOOKUP('Données projet'!$B$9,Paramètres!$A$1:$I$89,3,0)*VLOOKUP('Données projet'!$B$9,Paramètres!$A$1:$I$89,5,0)</f>
        <v>-3.8573944038944318E-14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167.24886661350195</v>
      </c>
      <c r="T141" s="59">
        <f t="shared" si="142"/>
        <v>234.73100822629613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0.72345418151520535</v>
      </c>
      <c r="AA141" s="21">
        <f>EXP(-LN(2)/25)*AA140+(1-EXP(-LN(2)/25))/(LN(2)/25)*Calculateur!V141*Calculateur!X141*VLOOKUP('Données projet'!$B$9,Paramètres!$A$1:$I$89,3,0)*0.475*44/12</f>
        <v>1.3424501469102268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2.0659043284254324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1.7053025658242404E-13</v>
      </c>
      <c r="AJ141" s="13">
        <f>AI141*VLOOKUP('Données projet'!$B$10,Paramètres!$A$1:$I$89,3,0)*VLOOKUP('Données projet'!$B$10,Paramètres!$A$1:$I$89,5,0)</f>
        <v>7.9808160080574461E-14</v>
      </c>
      <c r="AK141" s="13">
        <f t="shared" si="143"/>
        <v>1.2308384591775343E-12</v>
      </c>
      <c r="AL141" s="20">
        <f t="shared" si="112"/>
        <v>2.282709528541206E-12</v>
      </c>
      <c r="AM141" s="59">
        <f t="shared" si="113"/>
        <v>293.33333333333559</v>
      </c>
      <c r="AN141" s="59">
        <f ca="1">AVERAGE(OFFSET($AM$3,0,0,'Données projet'!$E$10+1,1))-AVERAGE(OFFSET($H$3,0,0,'Données projet'!$E$10+1,1))</f>
        <v>337.10499990421835</v>
      </c>
      <c r="AO141" s="59">
        <f t="shared" si="144"/>
        <v>277.4254079562175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126.62308216292841</v>
      </c>
      <c r="AV141" s="21">
        <f>EXP(-LN(2)/25)*AV140+(1-EXP(-LN(2)/25))/(LN(2)/25)*Calculateur!AQ141*Calculateur!AS141*VLOOKUP('Données projet'!$B$10,Paramètres!$A$1:$I$89,3,0)*0.475*44/12</f>
        <v>36.990024097752524</v>
      </c>
      <c r="AW141" s="21">
        <f>EXP(-LN(2)/2)*AW140+(1-EXP(-LN(2)/2))/(LN(2)/2)*AQ141*AT141*VLOOKUP('Données projet'!$B$10,Paramètres!$A$1:$I$89,3,0)*0.475*44/12</f>
        <v>2.8645473478026253</v>
      </c>
      <c r="AX141" s="21">
        <f t="shared" si="114"/>
        <v>166.47765360848354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-4.2632564145606011E-14</v>
      </c>
      <c r="O142" s="13">
        <f>N142*VLOOKUP('Données projet'!$B$9,Paramètres!$A$1:$I$89,3,0)*VLOOKUP('Données projet'!$B$9,Paramètres!$A$1:$I$89,5,0)</f>
        <v>-3.8573944038944318E-14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167.24886661350195</v>
      </c>
      <c r="T142" s="59">
        <f t="shared" si="142"/>
        <v>234.73100822629613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0.70926768627917181</v>
      </c>
      <c r="AA142" s="21">
        <f>EXP(-LN(2)/25)*AA141+(1-EXP(-LN(2)/25))/(LN(2)/25)*Calculateur!V142*Calculateur!X142*VLOOKUP('Données projet'!$B$9,Paramètres!$A$1:$I$89,3,0)*0.475*44/12</f>
        <v>1.3057407770465816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2.0150084633257537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1.7053025658242404E-13</v>
      </c>
      <c r="AJ142" s="13">
        <f>AI142*VLOOKUP('Données projet'!$B$10,Paramètres!$A$1:$I$89,3,0)*VLOOKUP('Données projet'!$B$10,Paramètres!$A$1:$I$89,5,0)</f>
        <v>7.9808160080574461E-14</v>
      </c>
      <c r="AK142" s="13">
        <f t="shared" si="143"/>
        <v>1.2308384591775343E-12</v>
      </c>
      <c r="AL142" s="20">
        <f t="shared" si="112"/>
        <v>2.282709528541206E-12</v>
      </c>
      <c r="AM142" s="59">
        <f t="shared" si="113"/>
        <v>293.33333333333559</v>
      </c>
      <c r="AN142" s="59">
        <f ca="1">AVERAGE(OFFSET($AM$3,0,0,'Données projet'!$E$10+1,1))-AVERAGE(OFFSET($H$3,0,0,'Données projet'!$E$10+1,1))</f>
        <v>337.10499990421835</v>
      </c>
      <c r="AO142" s="59">
        <f t="shared" si="144"/>
        <v>277.4254079562175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124.14008075416743</v>
      </c>
      <c r="AV142" s="21">
        <f>EXP(-LN(2)/25)*AV141+(1-EXP(-LN(2)/25))/(LN(2)/25)*Calculateur!AQ142*Calculateur!AS142*VLOOKUP('Données projet'!$B$10,Paramètres!$A$1:$I$89,3,0)*0.475*44/12</f>
        <v>35.978529943578657</v>
      </c>
      <c r="AW142" s="21">
        <f>EXP(-LN(2)/2)*AW141+(1-EXP(-LN(2)/2))/(LN(2)/2)*AQ142*AT142*VLOOKUP('Données projet'!$B$10,Paramètres!$A$1:$I$89,3,0)*0.475*44/12</f>
        <v>2.0255408546611759</v>
      </c>
      <c r="AX142" s="21">
        <f t="shared" si="114"/>
        <v>162.14415155240727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-4.2632564145606011E-14</v>
      </c>
      <c r="O143" s="13">
        <f>N143*VLOOKUP('Données projet'!$B$9,Paramètres!$A$1:$I$89,3,0)*VLOOKUP('Données projet'!$B$9,Paramètres!$A$1:$I$89,5,0)</f>
        <v>-3.8573944038944318E-14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167.24886661350195</v>
      </c>
      <c r="T143" s="59">
        <f t="shared" si="142"/>
        <v>234.73100822629613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0.69535937956180915</v>
      </c>
      <c r="AA143" s="21">
        <f>EXP(-LN(2)/25)*AA142+(1-EXP(-LN(2)/25))/(LN(2)/25)*Calculateur!V143*Calculateur!X143*VLOOKUP('Données projet'!$B$9,Paramètres!$A$1:$I$89,3,0)*0.475*44/12</f>
        <v>1.2700352268323196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1.9653946063941288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1.7053025658242404E-13</v>
      </c>
      <c r="AJ143" s="13">
        <f>AI143*VLOOKUP('Données projet'!$B$10,Paramètres!$A$1:$I$89,3,0)*VLOOKUP('Données projet'!$B$10,Paramètres!$A$1:$I$89,5,0)</f>
        <v>7.9808160080574461E-14</v>
      </c>
      <c r="AK143" s="13">
        <f t="shared" si="143"/>
        <v>1.2308384591775343E-12</v>
      </c>
      <c r="AL143" s="20">
        <f t="shared" si="112"/>
        <v>2.282709528541206E-12</v>
      </c>
      <c r="AM143" s="59">
        <f t="shared" si="113"/>
        <v>293.33333333333559</v>
      </c>
      <c r="AN143" s="59">
        <f ca="1">AVERAGE(OFFSET($AM$3,0,0,'Données projet'!$E$10+1,1))-AVERAGE(OFFSET($H$3,0,0,'Données projet'!$E$10+1,1))</f>
        <v>337.10499990421835</v>
      </c>
      <c r="AO143" s="59">
        <f t="shared" si="144"/>
        <v>277.4254079562175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121.70576948855094</v>
      </c>
      <c r="AV143" s="21">
        <f>EXP(-LN(2)/25)*AV142+(1-EXP(-LN(2)/25))/(LN(2)/25)*Calculateur!AQ143*Calculateur!AS143*VLOOKUP('Données projet'!$B$10,Paramètres!$A$1:$I$89,3,0)*0.475*44/12</f>
        <v>34.99469515024284</v>
      </c>
      <c r="AW143" s="21">
        <f>EXP(-LN(2)/2)*AW142+(1-EXP(-LN(2)/2))/(LN(2)/2)*AQ143*AT143*VLOOKUP('Données projet'!$B$10,Paramètres!$A$1:$I$89,3,0)*0.475*44/12</f>
        <v>1.4322736739013127</v>
      </c>
      <c r="AX143" s="21">
        <f t="shared" si="114"/>
        <v>158.1327383126951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-4.2632564145606011E-14</v>
      </c>
      <c r="O144" s="13">
        <f>N144*VLOOKUP('Données projet'!$B$9,Paramètres!$A$1:$I$89,3,0)*VLOOKUP('Données projet'!$B$9,Paramètres!$A$1:$I$89,5,0)</f>
        <v>-3.8573944038944318E-14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167.24886661350195</v>
      </c>
      <c r="T144" s="59">
        <f t="shared" si="142"/>
        <v>234.73100822629613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0.68172380625594453</v>
      </c>
      <c r="AA144" s="21">
        <f>EXP(-LN(2)/25)*AA143+(1-EXP(-LN(2)/25))/(LN(2)/25)*Calculateur!V144*Calculateur!X144*VLOOKUP('Données projet'!$B$9,Paramètres!$A$1:$I$89,3,0)*0.475*44/12</f>
        <v>1.2353060467663399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1.9170298530222845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1.7053025658242404E-13</v>
      </c>
      <c r="AJ144" s="13">
        <f>AI144*VLOOKUP('Données projet'!$B$10,Paramètres!$A$1:$I$89,3,0)*VLOOKUP('Données projet'!$B$10,Paramètres!$A$1:$I$89,5,0)</f>
        <v>7.9808160080574461E-14</v>
      </c>
      <c r="AK144" s="13">
        <f t="shared" si="143"/>
        <v>1.2308384591775343E-12</v>
      </c>
      <c r="AL144" s="20">
        <f t="shared" si="112"/>
        <v>2.282709528541206E-12</v>
      </c>
      <c r="AM144" s="59">
        <f t="shared" si="113"/>
        <v>293.33333333333559</v>
      </c>
      <c r="AN144" s="59">
        <f ca="1">AVERAGE(OFFSET($AM$3,0,0,'Données projet'!$E$10+1,1))-AVERAGE(OFFSET($H$3,0,0,'Données projet'!$E$10+1,1))</f>
        <v>337.10499990421835</v>
      </c>
      <c r="AO144" s="59">
        <f t="shared" si="144"/>
        <v>277.4254079562175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119.31919358206993</v>
      </c>
      <c r="AV144" s="21">
        <f>EXP(-LN(2)/25)*AV143+(1-EXP(-LN(2)/25))/(LN(2)/25)*Calculateur!AQ144*Calculateur!AS144*VLOOKUP('Données projet'!$B$10,Paramètres!$A$1:$I$89,3,0)*0.475*44/12</f>
        <v>34.037763371068415</v>
      </c>
      <c r="AW144" s="21">
        <f>EXP(-LN(2)/2)*AW143+(1-EXP(-LN(2)/2))/(LN(2)/2)*AQ144*AT144*VLOOKUP('Données projet'!$B$10,Paramètres!$A$1:$I$89,3,0)*0.475*44/12</f>
        <v>1.012770427330588</v>
      </c>
      <c r="AX144" s="21">
        <f t="shared" si="114"/>
        <v>154.36972738046893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-4.2632564145606011E-14</v>
      </c>
      <c r="O145" s="13">
        <f>N145*VLOOKUP('Données projet'!$B$9,Paramètres!$A$1:$I$89,3,0)*VLOOKUP('Données projet'!$B$9,Paramètres!$A$1:$I$89,5,0)</f>
        <v>-3.8573944038944318E-14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167.24886661350195</v>
      </c>
      <c r="T145" s="59">
        <f t="shared" si="142"/>
        <v>234.73100822629613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0.66835561822572942</v>
      </c>
      <c r="AA145" s="21">
        <f>EXP(-LN(2)/25)*AA144+(1-EXP(-LN(2)/25))/(LN(2)/25)*Calculateur!V145*Calculateur!X145*VLOOKUP('Données projet'!$B$9,Paramètres!$A$1:$I$89,3,0)*0.475*44/12</f>
        <v>1.2015265379555926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1.8698821561813221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1.7053025658242404E-13</v>
      </c>
      <c r="AJ145" s="13">
        <f>AI145*VLOOKUP('Données projet'!$B$10,Paramètres!$A$1:$I$89,3,0)*VLOOKUP('Données projet'!$B$10,Paramètres!$A$1:$I$89,5,0)</f>
        <v>7.9808160080574461E-14</v>
      </c>
      <c r="AK145" s="13">
        <f t="shared" si="143"/>
        <v>1.2308384591775343E-12</v>
      </c>
      <c r="AL145" s="20">
        <f t="shared" si="112"/>
        <v>2.282709528541206E-12</v>
      </c>
      <c r="AM145" s="59">
        <f t="shared" si="113"/>
        <v>293.33333333333559</v>
      </c>
      <c r="AN145" s="59">
        <f ca="1">AVERAGE(OFFSET($AM$3,0,0,'Données projet'!$E$10+1,1))-AVERAGE(OFFSET($H$3,0,0,'Données projet'!$E$10+1,1))</f>
        <v>337.10499990421835</v>
      </c>
      <c r="AO145" s="59">
        <f t="shared" si="144"/>
        <v>277.4254079562175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116.97941697344744</v>
      </c>
      <c r="AV145" s="21">
        <f>EXP(-LN(2)/25)*AV144+(1-EXP(-LN(2)/25))/(LN(2)/25)*Calculateur!AQ145*Calculateur!AS145*VLOOKUP('Données projet'!$B$10,Paramètres!$A$1:$I$89,3,0)*0.475*44/12</f>
        <v>33.106998941718366</v>
      </c>
      <c r="AW145" s="21">
        <f>EXP(-LN(2)/2)*AW144+(1-EXP(-LN(2)/2))/(LN(2)/2)*AQ145*AT145*VLOOKUP('Données projet'!$B$10,Paramètres!$A$1:$I$89,3,0)*0.475*44/12</f>
        <v>0.71613683695065633</v>
      </c>
      <c r="AX145" s="21">
        <f t="shared" si="114"/>
        <v>150.80255275211647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-4.2632564145606011E-14</v>
      </c>
      <c r="O146" s="13">
        <f>N146*VLOOKUP('Données projet'!$B$9,Paramètres!$A$1:$I$89,3,0)*VLOOKUP('Données projet'!$B$9,Paramètres!$A$1:$I$89,5,0)</f>
        <v>-3.8573944038944318E-14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167.24886661350195</v>
      </c>
      <c r="T146" s="59">
        <f t="shared" si="142"/>
        <v>234.73100822629613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0.65524957220899727</v>
      </c>
      <c r="AA146" s="21">
        <f>EXP(-LN(2)/25)*AA145+(1-EXP(-LN(2)/25))/(LN(2)/25)*Calculateur!V146*Calculateur!X146*VLOOKUP('Données projet'!$B$9,Paramètres!$A$1:$I$89,3,0)*0.475*44/12</f>
        <v>1.1686707315896625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1.8239203037986598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1.7053025658242404E-13</v>
      </c>
      <c r="AJ146" s="13">
        <f>AI146*VLOOKUP('Données projet'!$B$10,Paramètres!$A$1:$I$89,3,0)*VLOOKUP('Données projet'!$B$10,Paramètres!$A$1:$I$89,5,0)</f>
        <v>7.9808160080574461E-14</v>
      </c>
      <c r="AK146" s="13">
        <f t="shared" si="143"/>
        <v>1.2308384591775343E-12</v>
      </c>
      <c r="AL146" s="20">
        <f t="shared" si="112"/>
        <v>2.282709528541206E-12</v>
      </c>
      <c r="AM146" s="59">
        <f t="shared" si="113"/>
        <v>293.33333333333559</v>
      </c>
      <c r="AN146" s="59">
        <f ca="1">AVERAGE(OFFSET($AM$3,0,0,'Données projet'!$E$10+1,1))-AVERAGE(OFFSET($H$3,0,0,'Données projet'!$E$10+1,1))</f>
        <v>337.10499990421835</v>
      </c>
      <c r="AO146" s="59">
        <f t="shared" si="144"/>
        <v>277.4254079562175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114.68552195699722</v>
      </c>
      <c r="AV146" s="21">
        <f>EXP(-LN(2)/25)*AV145+(1-EXP(-LN(2)/25))/(LN(2)/25)*Calculateur!AQ146*Calculateur!AS146*VLOOKUP('Données projet'!$B$10,Paramètres!$A$1:$I$89,3,0)*0.475*44/12</f>
        <v>32.201686314635673</v>
      </c>
      <c r="AW146" s="21">
        <f>EXP(-LN(2)/2)*AW145+(1-EXP(-LN(2)/2))/(LN(2)/2)*AQ146*AT146*VLOOKUP('Données projet'!$B$10,Paramètres!$A$1:$I$89,3,0)*0.475*44/12</f>
        <v>0.50638521366529399</v>
      </c>
      <c r="AX146" s="21">
        <f t="shared" si="114"/>
        <v>147.39359348529817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-4.2632564145606011E-14</v>
      </c>
      <c r="O147" s="13">
        <f>N147*VLOOKUP('Données projet'!$B$9,Paramètres!$A$1:$I$89,3,0)*VLOOKUP('Données projet'!$B$9,Paramètres!$A$1:$I$89,5,0)</f>
        <v>-3.8573944038944318E-14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167.24886661350195</v>
      </c>
      <c r="T147" s="59">
        <f t="shared" si="142"/>
        <v>234.73100822629613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0.6424005277607544</v>
      </c>
      <c r="AA147" s="21">
        <f>EXP(-LN(2)/25)*AA146+(1-EXP(-LN(2)/25))/(LN(2)/25)*Calculateur!V147*Calculateur!X147*VLOOKUP('Données projet'!$B$9,Paramètres!$A$1:$I$89,3,0)*0.475*44/12</f>
        <v>1.1367133689766205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1.7791138967373747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1.7053025658242404E-13</v>
      </c>
      <c r="AJ147" s="13">
        <f>AI147*VLOOKUP('Données projet'!$B$10,Paramètres!$A$1:$I$89,3,0)*VLOOKUP('Données projet'!$B$10,Paramètres!$A$1:$I$89,5,0)</f>
        <v>7.9808160080574461E-14</v>
      </c>
      <c r="AK147" s="13">
        <f t="shared" si="143"/>
        <v>1.2308384591775343E-12</v>
      </c>
      <c r="AL147" s="20">
        <f t="shared" si="112"/>
        <v>2.282709528541206E-12</v>
      </c>
      <c r="AM147" s="59">
        <f t="shared" si="113"/>
        <v>293.33333333333559</v>
      </c>
      <c r="AN147" s="59">
        <f ca="1">AVERAGE(OFFSET($AM$3,0,0,'Données projet'!$E$10+1,1))-AVERAGE(OFFSET($H$3,0,0,'Données projet'!$E$10+1,1))</f>
        <v>337.10499990421835</v>
      </c>
      <c r="AO147" s="59">
        <f t="shared" si="144"/>
        <v>277.4254079562175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112.43660882268179</v>
      </c>
      <c r="AV147" s="21">
        <f>EXP(-LN(2)/25)*AV146+(1-EXP(-LN(2)/25))/(LN(2)/25)*Calculateur!AQ147*Calculateur!AS147*VLOOKUP('Données projet'!$B$10,Paramètres!$A$1:$I$89,3,0)*0.475*44/12</f>
        <v>31.321129508948875</v>
      </c>
      <c r="AW147" s="21">
        <f>EXP(-LN(2)/2)*AW146+(1-EXP(-LN(2)/2))/(LN(2)/2)*AQ147*AT147*VLOOKUP('Données projet'!$B$10,Paramètres!$A$1:$I$89,3,0)*0.475*44/12</f>
        <v>0.35806841847532817</v>
      </c>
      <c r="AX147" s="21">
        <f t="shared" si="114"/>
        <v>144.115806750106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-4.2632564145606011E-14</v>
      </c>
      <c r="O148" s="13">
        <f>N148*VLOOKUP('Données projet'!$B$9,Paramètres!$A$1:$I$89,3,0)*VLOOKUP('Données projet'!$B$9,Paramètres!$A$1:$I$89,5,0)</f>
        <v>-3.8573944038944318E-14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167.24886661350195</v>
      </c>
      <c r="T148" s="59">
        <f t="shared" si="142"/>
        <v>234.73100822629613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0.62980344523699838</v>
      </c>
      <c r="AA148" s="21">
        <f>EXP(-LN(2)/25)*AA147+(1-EXP(-LN(2)/25))/(LN(2)/25)*Calculateur!V148*Calculateur!X148*VLOOKUP('Données projet'!$B$9,Paramètres!$A$1:$I$89,3,0)*0.475*44/12</f>
        <v>1.1056298821247967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1.735433327361795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1.7053025658242404E-13</v>
      </c>
      <c r="AJ148" s="13">
        <f>AI148*VLOOKUP('Données projet'!$B$10,Paramètres!$A$1:$I$89,3,0)*VLOOKUP('Données projet'!$B$10,Paramètres!$A$1:$I$89,5,0)</f>
        <v>7.9808160080574461E-14</v>
      </c>
      <c r="AK148" s="13">
        <f t="shared" si="143"/>
        <v>1.2308384591775343E-12</v>
      </c>
      <c r="AL148" s="20">
        <f t="shared" si="112"/>
        <v>2.282709528541206E-12</v>
      </c>
      <c r="AM148" s="59">
        <f t="shared" si="113"/>
        <v>293.33333333333559</v>
      </c>
      <c r="AN148" s="59">
        <f ca="1">AVERAGE(OFFSET($AM$3,0,0,'Données projet'!$E$10+1,1))-AVERAGE(OFFSET($H$3,0,0,'Données projet'!$E$10+1,1))</f>
        <v>337.10499990421835</v>
      </c>
      <c r="AO148" s="59">
        <f t="shared" si="144"/>
        <v>277.4254079562175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110.23179550322871</v>
      </c>
      <c r="AV148" s="21">
        <f>EXP(-LN(2)/25)*AV147+(1-EXP(-LN(2)/25))/(LN(2)/25)*Calculateur!AQ148*Calculateur!AS148*VLOOKUP('Données projet'!$B$10,Paramètres!$A$1:$I$89,3,0)*0.475*44/12</f>
        <v>30.464651575420053</v>
      </c>
      <c r="AW148" s="21">
        <f>EXP(-LN(2)/2)*AW147+(1-EXP(-LN(2)/2))/(LN(2)/2)*AQ148*AT148*VLOOKUP('Données projet'!$B$10,Paramètres!$A$1:$I$89,3,0)*0.475*44/12</f>
        <v>0.25319260683264699</v>
      </c>
      <c r="AX148" s="21">
        <f t="shared" si="114"/>
        <v>140.9496396854814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-4.2632564145606011E-14</v>
      </c>
      <c r="O149" s="13">
        <f>N149*VLOOKUP('Données projet'!$B$9,Paramètres!$A$1:$I$89,3,0)*VLOOKUP('Données projet'!$B$9,Paramètres!$A$1:$I$89,5,0)</f>
        <v>-3.8573944038944318E-14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167.24886661350195</v>
      </c>
      <c r="T149" s="59">
        <f t="shared" si="142"/>
        <v>234.73100822629613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0.61745338381807158</v>
      </c>
      <c r="AA149" s="21">
        <f>EXP(-LN(2)/25)*AA148+(1-EXP(-LN(2)/25))/(LN(2)/25)*Calculateur!V149*Calculateur!X149*VLOOKUP('Données projet'!$B$9,Paramètres!$A$1:$I$89,3,0)*0.475*44/12</f>
        <v>1.0753963748555455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1.6928497586736171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1.7053025658242404E-13</v>
      </c>
      <c r="AJ149" s="13">
        <f>AI149*VLOOKUP('Données projet'!$B$10,Paramètres!$A$1:$I$89,3,0)*VLOOKUP('Données projet'!$B$10,Paramètres!$A$1:$I$89,5,0)</f>
        <v>7.9808160080574461E-14</v>
      </c>
      <c r="AK149" s="13">
        <f t="shared" si="143"/>
        <v>1.2308384591775343E-12</v>
      </c>
      <c r="AL149" s="20">
        <f t="shared" si="112"/>
        <v>2.282709528541206E-12</v>
      </c>
      <c r="AM149" s="59">
        <f t="shared" si="113"/>
        <v>293.33333333333559</v>
      </c>
      <c r="AN149" s="59">
        <f ca="1">AVERAGE(OFFSET($AM$3,0,0,'Données projet'!$E$10+1,1))-AVERAGE(OFFSET($H$3,0,0,'Données projet'!$E$10+1,1))</f>
        <v>337.10499990421835</v>
      </c>
      <c r="AO149" s="59">
        <f t="shared" si="144"/>
        <v>277.4254079562175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108.07021722816677</v>
      </c>
      <c r="AV149" s="21">
        <f>EXP(-LN(2)/25)*AV148+(1-EXP(-LN(2)/25))/(LN(2)/25)*Calculateur!AQ149*Calculateur!AS149*VLOOKUP('Données projet'!$B$10,Paramètres!$A$1:$I$89,3,0)*0.475*44/12</f>
        <v>29.631594076023791</v>
      </c>
      <c r="AW149" s="21">
        <f>EXP(-LN(2)/2)*AW148+(1-EXP(-LN(2)/2))/(LN(2)/2)*AQ149*AT149*VLOOKUP('Données projet'!$B$10,Paramètres!$A$1:$I$89,3,0)*0.475*44/12</f>
        <v>0.17903420923766408</v>
      </c>
      <c r="AX149" s="21">
        <f t="shared" si="114"/>
        <v>137.88084551342823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-4.2632564145606011E-14</v>
      </c>
      <c r="O150" s="13">
        <f>N150*VLOOKUP('Données projet'!$B$9,Paramètres!$A$1:$I$89,3,0)*VLOOKUP('Données projet'!$B$9,Paramètres!$A$1:$I$89,5,0)</f>
        <v>-3.8573944038944318E-14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167.24886661350195</v>
      </c>
      <c r="T150" s="59">
        <f t="shared" si="142"/>
        <v>234.73100822629613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0.60534549957077621</v>
      </c>
      <c r="AA150" s="21">
        <f>EXP(-LN(2)/25)*AA149+(1-EXP(-LN(2)/25))/(LN(2)/25)*Calculateur!V150*Calculateur!X150*VLOOKUP('Données projet'!$B$9,Paramètres!$A$1:$I$89,3,0)*0.475*44/12</f>
        <v>1.045989604432483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1.6513351040032593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1.7053025658242404E-13</v>
      </c>
      <c r="AJ150" s="13">
        <f>AI150*VLOOKUP('Données projet'!$B$10,Paramètres!$A$1:$I$89,3,0)*VLOOKUP('Données projet'!$B$10,Paramètres!$A$1:$I$89,5,0)</f>
        <v>7.9808160080574461E-14</v>
      </c>
      <c r="AK150" s="13">
        <f t="shared" si="143"/>
        <v>1.2308384591775343E-12</v>
      </c>
      <c r="AL150" s="20">
        <f t="shared" si="112"/>
        <v>2.282709528541206E-12</v>
      </c>
      <c r="AM150" s="59">
        <f t="shared" si="113"/>
        <v>293.33333333333559</v>
      </c>
      <c r="AN150" s="59">
        <f ca="1">AVERAGE(OFFSET($AM$3,0,0,'Données projet'!$E$10+1,1))-AVERAGE(OFFSET($H$3,0,0,'Données projet'!$E$10+1,1))</f>
        <v>337.10499990421835</v>
      </c>
      <c r="AO150" s="59">
        <f t="shared" si="144"/>
        <v>277.4254079562175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105.95102618464622</v>
      </c>
      <c r="AV150" s="21">
        <f>EXP(-LN(2)/25)*AV149+(1-EXP(-LN(2)/25))/(LN(2)/25)*Calculateur!AQ150*Calculateur!AS150*VLOOKUP('Données projet'!$B$10,Paramètres!$A$1:$I$89,3,0)*0.475*44/12</f>
        <v>28.821316577757113</v>
      </c>
      <c r="AW150" s="21">
        <f>EXP(-LN(2)/2)*AW149+(1-EXP(-LN(2)/2))/(LN(2)/2)*AQ150*AT150*VLOOKUP('Données projet'!$B$10,Paramètres!$A$1:$I$89,3,0)*0.475*44/12</f>
        <v>0.1265963034163235</v>
      </c>
      <c r="AX150" s="21">
        <f t="shared" si="114"/>
        <v>134.89893906581966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-4.2632564145606011E-14</v>
      </c>
      <c r="O151" s="13">
        <f>N151*VLOOKUP('Données projet'!$B$9,Paramètres!$A$1:$I$89,3,0)*VLOOKUP('Données projet'!$B$9,Paramètres!$A$1:$I$89,5,0)</f>
        <v>-3.8573944038944318E-14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167.24886661350195</v>
      </c>
      <c r="T151" s="59">
        <f t="shared" si="142"/>
        <v>234.73100822629613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0.59347504354849012</v>
      </c>
      <c r="AA151" s="21">
        <f>EXP(-LN(2)/25)*AA150+(1-EXP(-LN(2)/25))/(LN(2)/25)*Calculateur!V151*Calculateur!X151*VLOOKUP('Données projet'!$B$9,Paramètres!$A$1:$I$89,3,0)*0.475*44/12</f>
        <v>1.0173869636930741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1.6108620072415643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1.7053025658242404E-13</v>
      </c>
      <c r="AJ151" s="13">
        <f>AI151*VLOOKUP('Données projet'!$B$10,Paramètres!$A$1:$I$89,3,0)*VLOOKUP('Données projet'!$B$10,Paramètres!$A$1:$I$89,5,0)</f>
        <v>7.9808160080574461E-14</v>
      </c>
      <c r="AK151" s="13">
        <f t="shared" si="143"/>
        <v>1.2308384591775343E-12</v>
      </c>
      <c r="AL151" s="20">
        <f t="shared" si="112"/>
        <v>2.282709528541206E-12</v>
      </c>
      <c r="AM151" s="59">
        <f t="shared" si="113"/>
        <v>293.33333333333559</v>
      </c>
      <c r="AN151" s="59">
        <f ca="1">AVERAGE(OFFSET($AM$3,0,0,'Données projet'!$E$10+1,1))-AVERAGE(OFFSET($H$3,0,0,'Données projet'!$E$10+1,1))</f>
        <v>337.10499990421835</v>
      </c>
      <c r="AO151" s="59">
        <f t="shared" si="144"/>
        <v>277.4254079562175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103.87339118491022</v>
      </c>
      <c r="AV151" s="21">
        <f>EXP(-LN(2)/25)*AV150+(1-EXP(-LN(2)/25))/(LN(2)/25)*Calculateur!AQ151*Calculateur!AS151*VLOOKUP('Données projet'!$B$10,Paramètres!$A$1:$I$89,3,0)*0.475*44/12</f>
        <v>28.033196160291176</v>
      </c>
      <c r="AW151" s="21">
        <f>EXP(-LN(2)/2)*AW150+(1-EXP(-LN(2)/2))/(LN(2)/2)*AQ151*AT151*VLOOKUP('Données projet'!$B$10,Paramètres!$A$1:$I$89,3,0)*0.475*44/12</f>
        <v>8.9517104618832041E-2</v>
      </c>
      <c r="AX151" s="21">
        <f t="shared" si="114"/>
        <v>131.99610444982022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-4.2632564145606011E-14</v>
      </c>
      <c r="O152" s="13">
        <f>N152*VLOOKUP('Données projet'!$B$9,Paramètres!$A$1:$I$89,3,0)*VLOOKUP('Données projet'!$B$9,Paramètres!$A$1:$I$89,5,0)</f>
        <v>-3.8573944038944318E-14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167.24886661350195</v>
      </c>
      <c r="T152" s="59">
        <f t="shared" si="142"/>
        <v>234.73100822629613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0.5818373599285378</v>
      </c>
      <c r="AA152" s="21">
        <f>EXP(-LN(2)/25)*AA151+(1-EXP(-LN(2)/25))/(LN(2)/25)*Calculateur!V152*Calculateur!X152*VLOOKUP('Données projet'!$B$9,Paramètres!$A$1:$I$89,3,0)*0.475*44/12</f>
        <v>0.98956646366883183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1.5714038235973695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1.7053025658242404E-13</v>
      </c>
      <c r="AJ152" s="13">
        <f>AI152*VLOOKUP('Données projet'!$B$10,Paramètres!$A$1:$I$89,3,0)*VLOOKUP('Données projet'!$B$10,Paramètres!$A$1:$I$89,5,0)</f>
        <v>7.9808160080574461E-14</v>
      </c>
      <c r="AK152" s="13">
        <f t="shared" si="143"/>
        <v>1.2308384591775343E-12</v>
      </c>
      <c r="AL152" s="20">
        <f t="shared" si="112"/>
        <v>2.282709528541206E-12</v>
      </c>
      <c r="AM152" s="59">
        <f t="shared" si="113"/>
        <v>293.33333333333559</v>
      </c>
      <c r="AN152" s="59">
        <f ca="1">AVERAGE(OFFSET($AM$3,0,0,'Données projet'!$E$10+1,1))-AVERAGE(OFFSET($H$3,0,0,'Données projet'!$E$10+1,1))</f>
        <v>337.10499990421835</v>
      </c>
      <c r="AO152" s="59">
        <f t="shared" si="144"/>
        <v>277.4254079562175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101.83649734028681</v>
      </c>
      <c r="AV152" s="21">
        <f>EXP(-LN(2)/25)*AV151+(1-EXP(-LN(2)/25))/(LN(2)/25)*Calculateur!AQ152*Calculateur!AS152*VLOOKUP('Données projet'!$B$10,Paramètres!$A$1:$I$89,3,0)*0.475*44/12</f>
        <v>27.266626937086297</v>
      </c>
      <c r="AW152" s="21">
        <f>EXP(-LN(2)/2)*AW151+(1-EXP(-LN(2)/2))/(LN(2)/2)*AQ152*AT152*VLOOKUP('Données projet'!$B$10,Paramètres!$A$1:$I$89,3,0)*0.475*44/12</f>
        <v>6.3298151708161748E-2</v>
      </c>
      <c r="AX152" s="21">
        <f t="shared" si="114"/>
        <v>129.16642242908125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-4.2632564145606011E-14</v>
      </c>
      <c r="O153" s="13">
        <f>N153*VLOOKUP('Données projet'!$B$9,Paramètres!$A$1:$I$89,3,0)*VLOOKUP('Données projet'!$B$9,Paramètres!$A$1:$I$89,5,0)</f>
        <v>-3.8573944038944318E-14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167.24886661350195</v>
      </c>
      <c r="T153" s="59">
        <f t="shared" si="142"/>
        <v>234.73100822629613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0.5704278841860867</v>
      </c>
      <c r="AA153" s="21">
        <f>EXP(-LN(2)/25)*AA152+(1-EXP(-LN(2)/25))/(LN(2)/25)*Calculateur!V153*Calculateur!X153*VLOOKUP('Données projet'!$B$9,Paramètres!$A$1:$I$89,3,0)*0.475*44/12</f>
        <v>0.96250671668076904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1.5329346008668558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1.7053025658242404E-13</v>
      </c>
      <c r="AJ153" s="13">
        <f>AI153*VLOOKUP('Données projet'!$B$10,Paramètres!$A$1:$I$89,3,0)*VLOOKUP('Données projet'!$B$10,Paramètres!$A$1:$I$89,5,0)</f>
        <v>7.9808160080574461E-14</v>
      </c>
      <c r="AK153" s="13">
        <f t="shared" si="143"/>
        <v>1.2308384591775343E-12</v>
      </c>
      <c r="AL153" s="20">
        <f t="shared" si="112"/>
        <v>2.282709528541206E-12</v>
      </c>
      <c r="AM153" s="59">
        <f t="shared" si="113"/>
        <v>293.33333333333559</v>
      </c>
      <c r="AN153" s="59">
        <f ca="1">AVERAGE(OFFSET($AM$3,0,0,'Données projet'!$E$10+1,1))-AVERAGE(OFFSET($H$3,0,0,'Données projet'!$E$10+1,1))</f>
        <v>337.10499990421835</v>
      </c>
      <c r="AO153" s="59">
        <f t="shared" si="144"/>
        <v>277.4254079562175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99.8395457415739</v>
      </c>
      <c r="AV153" s="21">
        <f>EXP(-LN(2)/25)*AV152+(1-EXP(-LN(2)/25))/(LN(2)/25)*Calculateur!AQ153*Calculateur!AS153*VLOOKUP('Données projet'!$B$10,Paramètres!$A$1:$I$89,3,0)*0.475*44/12</f>
        <v>26.52101958960208</v>
      </c>
      <c r="AW153" s="21">
        <f>EXP(-LN(2)/2)*AW152+(1-EXP(-LN(2)/2))/(LN(2)/2)*AQ153*AT153*VLOOKUP('Données projet'!$B$10,Paramètres!$A$1:$I$89,3,0)*0.475*44/12</f>
        <v>4.4758552309416021E-2</v>
      </c>
      <c r="AX153" s="21">
        <f t="shared" si="114"/>
        <v>126.40532388348539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-4.2632564145606011E-14</v>
      </c>
      <c r="O154" s="13">
        <f>N154*VLOOKUP('Données projet'!$B$9,Paramètres!$A$1:$I$89,3,0)*VLOOKUP('Données projet'!$B$9,Paramètres!$A$1:$I$89,5,0)</f>
        <v>-3.8573944038944318E-14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167.24886661350195</v>
      </c>
      <c r="T154" s="59">
        <f t="shared" si="142"/>
        <v>234.73100822629613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0.55924214130385197</v>
      </c>
      <c r="AA154" s="21">
        <f>EXP(-LN(2)/25)*AA153+(1-EXP(-LN(2)/25))/(LN(2)/25)*Calculateur!V154*Calculateur!X154*VLOOKUP('Données projet'!$B$9,Paramètres!$A$1:$I$89,3,0)*0.475*44/12</f>
        <v>0.93618691989710501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1.4954290612009569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1.7053025658242404E-13</v>
      </c>
      <c r="AJ154" s="13">
        <f>AI154*VLOOKUP('Données projet'!$B$10,Paramètres!$A$1:$I$89,3,0)*VLOOKUP('Données projet'!$B$10,Paramètres!$A$1:$I$89,5,0)</f>
        <v>7.9808160080574461E-14</v>
      </c>
      <c r="AK154" s="13">
        <f t="shared" ref="AK154:AK203" si="164">EXP(-1.0587+0.8836*LN(AJ154)+0.284)</f>
        <v>1.2308384591775343E-12</v>
      </c>
      <c r="AL154" s="20">
        <f t="shared" ref="AL154:AL203" si="165">(AJ154+AK154)*0.475*44/12</f>
        <v>2.282709528541206E-12</v>
      </c>
      <c r="AM154" s="59">
        <f t="shared" si="113"/>
        <v>293.33333333333559</v>
      </c>
      <c r="AN154" s="59">
        <f ca="1">AVERAGE(OFFSET($AM$3,0,0,'Données projet'!$E$10+1,1))-AVERAGE(OFFSET($H$3,0,0,'Données projet'!$E$10+1,1))</f>
        <v>337.10499990421835</v>
      </c>
      <c r="AO154" s="59">
        <f t="shared" si="144"/>
        <v>277.4254079562175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97.881753145691548</v>
      </c>
      <c r="AV154" s="21">
        <f>EXP(-LN(2)/25)*AV153+(1-EXP(-LN(2)/25))/(LN(2)/25)*Calculateur!AQ154*Calculateur!AS154*VLOOKUP('Données projet'!$B$10,Paramètres!$A$1:$I$89,3,0)*0.475*44/12</f>
        <v>25.795800914244605</v>
      </c>
      <c r="AW154" s="21">
        <f>EXP(-LN(2)/2)*AW153+(1-EXP(-LN(2)/2))/(LN(2)/2)*AQ154*AT154*VLOOKUP('Données projet'!$B$10,Paramètres!$A$1:$I$89,3,0)*0.475*44/12</f>
        <v>3.1649075854080874E-2</v>
      </c>
      <c r="AX154" s="21">
        <f t="shared" ref="AX154:AX203" si="166">SUM(AU154:AW154)</f>
        <v>123.70920313579023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-4.2632564145606011E-14</v>
      </c>
      <c r="O155" s="13">
        <f>N155*VLOOKUP('Données projet'!$B$9,Paramètres!$A$1:$I$89,3,0)*VLOOKUP('Données projet'!$B$9,Paramètres!$A$1:$I$89,5,0)</f>
        <v>-3.8573944038944318E-14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167.24886661350195</v>
      </c>
      <c r="T155" s="59">
        <f t="shared" si="142"/>
        <v>234.73100822629613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0.54827574401690837</v>
      </c>
      <c r="AA155" s="21">
        <f>EXP(-LN(2)/25)*AA154+(1-EXP(-LN(2)/25))/(LN(2)/25)*Calculateur!V155*Calculateur!X155*VLOOKUP('Données projet'!$B$9,Paramètres!$A$1:$I$89,3,0)*0.475*44/12</f>
        <v>0.91058683934058826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1.4588625833574966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1.7053025658242404E-13</v>
      </c>
      <c r="AJ155" s="13">
        <f>AI155*VLOOKUP('Données projet'!$B$10,Paramètres!$A$1:$I$89,3,0)*VLOOKUP('Données projet'!$B$10,Paramètres!$A$1:$I$89,5,0)</f>
        <v>7.9808160080574461E-14</v>
      </c>
      <c r="AK155" s="13">
        <f t="shared" si="164"/>
        <v>1.2308384591775343E-12</v>
      </c>
      <c r="AL155" s="20">
        <f t="shared" si="165"/>
        <v>2.282709528541206E-12</v>
      </c>
      <c r="AM155" s="59">
        <f t="shared" si="113"/>
        <v>293.33333333333559</v>
      </c>
      <c r="AN155" s="59">
        <f ca="1">AVERAGE(OFFSET($AM$3,0,0,'Données projet'!$E$10+1,1))-AVERAGE(OFFSET($H$3,0,0,'Données projet'!$E$10+1,1))</f>
        <v>337.10499990421835</v>
      </c>
      <c r="AO155" s="59">
        <f t="shared" si="144"/>
        <v>277.4254079562175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95.962351668478874</v>
      </c>
      <c r="AV155" s="21">
        <f>EXP(-LN(2)/25)*AV154+(1-EXP(-LN(2)/25))/(LN(2)/25)*Calculateur!AQ155*Calculateur!AS155*VLOOKUP('Données projet'!$B$10,Paramètres!$A$1:$I$89,3,0)*0.475*44/12</f>
        <v>25.090413381702373</v>
      </c>
      <c r="AW155" s="21">
        <f>EXP(-LN(2)/2)*AW154+(1-EXP(-LN(2)/2))/(LN(2)/2)*AQ155*AT155*VLOOKUP('Données projet'!$B$10,Paramètres!$A$1:$I$89,3,0)*0.475*44/12</f>
        <v>2.237927615470801E-2</v>
      </c>
      <c r="AX155" s="21">
        <f t="shared" si="166"/>
        <v>121.07514432633596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-4.2632564145606011E-14</v>
      </c>
      <c r="O156" s="13">
        <f>N156*VLOOKUP('Données projet'!$B$9,Paramètres!$A$1:$I$89,3,0)*VLOOKUP('Données projet'!$B$9,Paramètres!$A$1:$I$89,5,0)</f>
        <v>-3.8573944038944318E-14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167.24886661350195</v>
      </c>
      <c r="T156" s="59">
        <f t="shared" si="142"/>
        <v>234.73100822629613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0.53752439109191985</v>
      </c>
      <c r="AA156" s="21">
        <f>EXP(-LN(2)/25)*AA155+(1-EXP(-LN(2)/25))/(LN(2)/25)*Calculateur!V156*Calculateur!X156*VLOOKUP('Données projet'!$B$9,Paramètres!$A$1:$I$89,3,0)*0.475*44/12</f>
        <v>0.88568679433313913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1.4232111854250591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1.7053025658242404E-13</v>
      </c>
      <c r="AJ156" s="13">
        <f>AI156*VLOOKUP('Données projet'!$B$10,Paramètres!$A$1:$I$89,3,0)*VLOOKUP('Données projet'!$B$10,Paramètres!$A$1:$I$89,5,0)</f>
        <v>7.9808160080574461E-14</v>
      </c>
      <c r="AK156" s="13">
        <f t="shared" si="164"/>
        <v>1.2308384591775343E-12</v>
      </c>
      <c r="AL156" s="20">
        <f t="shared" si="165"/>
        <v>2.282709528541206E-12</v>
      </c>
      <c r="AM156" s="59">
        <f t="shared" si="113"/>
        <v>293.33333333333559</v>
      </c>
      <c r="AN156" s="59">
        <f ca="1">AVERAGE(OFFSET($AM$3,0,0,'Données projet'!$E$10+1,1))-AVERAGE(OFFSET($H$3,0,0,'Données projet'!$E$10+1,1))</f>
        <v>337.10499990421835</v>
      </c>
      <c r="AO156" s="59">
        <f t="shared" si="144"/>
        <v>277.4254079562175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94.080588483515044</v>
      </c>
      <c r="AV156" s="21">
        <f>EXP(-LN(2)/25)*AV155+(1-EXP(-LN(2)/25))/(LN(2)/25)*Calculateur!AQ156*Calculateur!AS156*VLOOKUP('Données projet'!$B$10,Paramètres!$A$1:$I$89,3,0)*0.475*44/12</f>
        <v>24.404314708332226</v>
      </c>
      <c r="AW156" s="21">
        <f>EXP(-LN(2)/2)*AW155+(1-EXP(-LN(2)/2))/(LN(2)/2)*AQ156*AT156*VLOOKUP('Données projet'!$B$10,Paramètres!$A$1:$I$89,3,0)*0.475*44/12</f>
        <v>1.5824537927040437E-2</v>
      </c>
      <c r="AX156" s="21">
        <f t="shared" si="166"/>
        <v>118.50072772977431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-4.2632564145606011E-14</v>
      </c>
      <c r="O157" s="13">
        <f>N157*VLOOKUP('Données projet'!$B$9,Paramètres!$A$1:$I$89,3,0)*VLOOKUP('Données projet'!$B$9,Paramètres!$A$1:$I$89,5,0)</f>
        <v>-3.8573944038944318E-14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167.24886661350195</v>
      </c>
      <c r="T157" s="59">
        <f t="shared" si="142"/>
        <v>234.73100822629613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0.52698386564011268</v>
      </c>
      <c r="AA157" s="21">
        <f>EXP(-LN(2)/25)*AA156+(1-EXP(-LN(2)/25))/(LN(2)/25)*Calculateur!V157*Calculateur!X157*VLOOKUP('Données projet'!$B$9,Paramètres!$A$1:$I$89,3,0)*0.475*44/12</f>
        <v>0.86146764236585516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1.3884515080059678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1.7053025658242404E-13</v>
      </c>
      <c r="AJ157" s="13">
        <f>AI157*VLOOKUP('Données projet'!$B$10,Paramètres!$A$1:$I$89,3,0)*VLOOKUP('Données projet'!$B$10,Paramètres!$A$1:$I$89,5,0)</f>
        <v>7.9808160080574461E-14</v>
      </c>
      <c r="AK157" s="13">
        <f t="shared" si="164"/>
        <v>1.2308384591775343E-12</v>
      </c>
      <c r="AL157" s="20">
        <f t="shared" si="165"/>
        <v>2.282709528541206E-12</v>
      </c>
      <c r="AM157" s="59">
        <f t="shared" si="113"/>
        <v>293.33333333333559</v>
      </c>
      <c r="AN157" s="59">
        <f ca="1">AVERAGE(OFFSET($AM$3,0,0,'Données projet'!$E$10+1,1))-AVERAGE(OFFSET($H$3,0,0,'Données projet'!$E$10+1,1))</f>
        <v>337.10499990421835</v>
      </c>
      <c r="AO157" s="59">
        <f t="shared" si="144"/>
        <v>277.4254079562175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92.235725526846139</v>
      </c>
      <c r="AV157" s="21">
        <f>EXP(-LN(2)/25)*AV156+(1-EXP(-LN(2)/25))/(LN(2)/25)*Calculateur!AQ157*Calculateur!AS157*VLOOKUP('Données projet'!$B$10,Paramètres!$A$1:$I$89,3,0)*0.475*44/12</f>
        <v>23.736977439265747</v>
      </c>
      <c r="AW157" s="21">
        <f>EXP(-LN(2)/2)*AW156+(1-EXP(-LN(2)/2))/(LN(2)/2)*AQ157*AT157*VLOOKUP('Données projet'!$B$10,Paramètres!$A$1:$I$89,3,0)*0.475*44/12</f>
        <v>1.1189638077354005E-2</v>
      </c>
      <c r="AX157" s="21">
        <f t="shared" si="166"/>
        <v>115.98389260418924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-4.2632564145606011E-14</v>
      </c>
      <c r="O158" s="13">
        <f>N158*VLOOKUP('Données projet'!$B$9,Paramètres!$A$1:$I$89,3,0)*VLOOKUP('Données projet'!$B$9,Paramètres!$A$1:$I$89,5,0)</f>
        <v>-3.8573944038944318E-14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167.24886661350195</v>
      </c>
      <c r="T158" s="59">
        <f t="shared" si="142"/>
        <v>234.73100822629613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0.51665003346332972</v>
      </c>
      <c r="AA158" s="21">
        <f>EXP(-LN(2)/25)*AA157+(1-EXP(-LN(2)/25))/(LN(2)/25)*Calculateur!V158*Calculateur!X158*VLOOKUP('Données projet'!$B$9,Paramètres!$A$1:$I$89,3,0)*0.475*44/12</f>
        <v>0.83791076438274648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1.3545607978460761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1.7053025658242404E-13</v>
      </c>
      <c r="AJ158" s="13">
        <f>AI158*VLOOKUP('Données projet'!$B$10,Paramètres!$A$1:$I$89,3,0)*VLOOKUP('Données projet'!$B$10,Paramètres!$A$1:$I$89,5,0)</f>
        <v>7.9808160080574461E-14</v>
      </c>
      <c r="AK158" s="13">
        <f t="shared" si="164"/>
        <v>1.2308384591775343E-12</v>
      </c>
      <c r="AL158" s="20">
        <f t="shared" si="165"/>
        <v>2.282709528541206E-12</v>
      </c>
      <c r="AM158" s="59">
        <f t="shared" si="113"/>
        <v>293.33333333333559</v>
      </c>
      <c r="AN158" s="59">
        <f ca="1">AVERAGE(OFFSET($AM$3,0,0,'Données projet'!$E$10+1,1))-AVERAGE(OFFSET($H$3,0,0,'Données projet'!$E$10+1,1))</f>
        <v>337.10499990421835</v>
      </c>
      <c r="AO158" s="59">
        <f t="shared" si="144"/>
        <v>277.4254079562175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90.427039207502219</v>
      </c>
      <c r="AV158" s="21">
        <f>EXP(-LN(2)/25)*AV157+(1-EXP(-LN(2)/25))/(LN(2)/25)*Calculateur!AQ158*Calculateur!AS158*VLOOKUP('Données projet'!$B$10,Paramètres!$A$1:$I$89,3,0)*0.475*44/12</f>
        <v>23.087888542915632</v>
      </c>
      <c r="AW158" s="21">
        <f>EXP(-LN(2)/2)*AW157+(1-EXP(-LN(2)/2))/(LN(2)/2)*AQ158*AT158*VLOOKUP('Données projet'!$B$10,Paramètres!$A$1:$I$89,3,0)*0.475*44/12</f>
        <v>7.9122689635202186E-3</v>
      </c>
      <c r="AX158" s="21">
        <f t="shared" si="166"/>
        <v>113.52284001938138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-4.2632564145606011E-14</v>
      </c>
      <c r="O159" s="13">
        <f>N159*VLOOKUP('Données projet'!$B$9,Paramètres!$A$1:$I$89,3,0)*VLOOKUP('Données projet'!$B$9,Paramètres!$A$1:$I$89,5,0)</f>
        <v>-3.8573944038944318E-14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167.24886661350195</v>
      </c>
      <c r="T159" s="59">
        <f t="shared" si="142"/>
        <v>234.73100822629613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0.50651884143251813</v>
      </c>
      <c r="AA159" s="21">
        <f>EXP(-LN(2)/25)*AA158+(1-EXP(-LN(2)/25))/(LN(2)/25)*Calculateur!V159*Calculateur!X159*VLOOKUP('Données projet'!$B$9,Paramètres!$A$1:$I$89,3,0)*0.475*44/12</f>
        <v>0.81499805046688822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1.3215168918994062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1.7053025658242404E-13</v>
      </c>
      <c r="AJ159" s="13">
        <f>AI159*VLOOKUP('Données projet'!$B$10,Paramètres!$A$1:$I$89,3,0)*VLOOKUP('Données projet'!$B$10,Paramètres!$A$1:$I$89,5,0)</f>
        <v>7.9808160080574461E-14</v>
      </c>
      <c r="AK159" s="13">
        <f t="shared" si="164"/>
        <v>1.2308384591775343E-12</v>
      </c>
      <c r="AL159" s="20">
        <f t="shared" si="165"/>
        <v>2.282709528541206E-12</v>
      </c>
      <c r="AM159" s="59">
        <f t="shared" si="113"/>
        <v>293.33333333333559</v>
      </c>
      <c r="AN159" s="59">
        <f ca="1">AVERAGE(OFFSET($AM$3,0,0,'Données projet'!$E$10+1,1))-AVERAGE(OFFSET($H$3,0,0,'Données projet'!$E$10+1,1))</f>
        <v>337.10499990421835</v>
      </c>
      <c r="AO159" s="59">
        <f t="shared" si="144"/>
        <v>277.4254079562175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88.653820123690906</v>
      </c>
      <c r="AV159" s="21">
        <f>EXP(-LN(2)/25)*AV158+(1-EXP(-LN(2)/25))/(LN(2)/25)*Calculateur!AQ159*Calculateur!AS159*VLOOKUP('Données projet'!$B$10,Paramètres!$A$1:$I$89,3,0)*0.475*44/12</f>
        <v>22.456549016570314</v>
      </c>
      <c r="AW159" s="21">
        <f>EXP(-LN(2)/2)*AW158+(1-EXP(-LN(2)/2))/(LN(2)/2)*AQ159*AT159*VLOOKUP('Données projet'!$B$10,Paramètres!$A$1:$I$89,3,0)*0.475*44/12</f>
        <v>5.5948190386770026E-3</v>
      </c>
      <c r="AX159" s="21">
        <f t="shared" si="166"/>
        <v>111.11596395929989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-4.2632564145606011E-14</v>
      </c>
      <c r="O160" s="13">
        <f>N160*VLOOKUP('Données projet'!$B$9,Paramètres!$A$1:$I$89,3,0)*VLOOKUP('Données projet'!$B$9,Paramètres!$A$1:$I$89,5,0)</f>
        <v>-3.8573944038944318E-14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167.24886661350195</v>
      </c>
      <c r="T160" s="59">
        <f t="shared" si="142"/>
        <v>234.73100822629613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0.49658631589801383</v>
      </c>
      <c r="AA160" s="21">
        <f>EXP(-LN(2)/25)*AA159+(1-EXP(-LN(2)/25))/(LN(2)/25)*Calculateur!V160*Calculateur!X160*VLOOKUP('Données projet'!$B$9,Paramètres!$A$1:$I$89,3,0)*0.475*44/12</f>
        <v>0.79271188591798636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1.2892982018160002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1.7053025658242404E-13</v>
      </c>
      <c r="AJ160" s="13">
        <f>AI160*VLOOKUP('Données projet'!$B$10,Paramètres!$A$1:$I$89,3,0)*VLOOKUP('Données projet'!$B$10,Paramètres!$A$1:$I$89,5,0)</f>
        <v>7.9808160080574461E-14</v>
      </c>
      <c r="AK160" s="13">
        <f t="shared" si="164"/>
        <v>1.2308384591775343E-12</v>
      </c>
      <c r="AL160" s="20">
        <f t="shared" si="165"/>
        <v>2.282709528541206E-12</v>
      </c>
      <c r="AM160" s="59">
        <f t="shared" si="113"/>
        <v>293.33333333333559</v>
      </c>
      <c r="AN160" s="59">
        <f ca="1">AVERAGE(OFFSET($AM$3,0,0,'Données projet'!$E$10+1,1))-AVERAGE(OFFSET($H$3,0,0,'Données projet'!$E$10+1,1))</f>
        <v>337.10499990421835</v>
      </c>
      <c r="AO160" s="59">
        <f t="shared" si="144"/>
        <v>277.4254079562175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86.915372784556283</v>
      </c>
      <c r="AV160" s="21">
        <f>EXP(-LN(2)/25)*AV159+(1-EXP(-LN(2)/25))/(LN(2)/25)*Calculateur!AQ160*Calculateur!AS160*VLOOKUP('Données projet'!$B$10,Paramètres!$A$1:$I$89,3,0)*0.475*44/12</f>
        <v>21.842473502773611</v>
      </c>
      <c r="AW160" s="21">
        <f>EXP(-LN(2)/2)*AW159+(1-EXP(-LN(2)/2))/(LN(2)/2)*AQ160*AT160*VLOOKUP('Données projet'!$B$10,Paramètres!$A$1:$I$89,3,0)*0.475*44/12</f>
        <v>3.9561344817601093E-3</v>
      </c>
      <c r="AX160" s="21">
        <f t="shared" si="166"/>
        <v>108.76180242181165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-4.2632564145606011E-14</v>
      </c>
      <c r="O161" s="13">
        <f>N161*VLOOKUP('Données projet'!$B$9,Paramètres!$A$1:$I$89,3,0)*VLOOKUP('Données projet'!$B$9,Paramètres!$A$1:$I$89,5,0)</f>
        <v>-3.8573944038944318E-14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167.24886661350195</v>
      </c>
      <c r="T161" s="59">
        <f t="shared" si="142"/>
        <v>234.73100822629613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0.48684856113099878</v>
      </c>
      <c r="AA161" s="21">
        <f>EXP(-LN(2)/25)*AA160+(1-EXP(-LN(2)/25))/(LN(2)/25)*Calculateur!V161*Calculateur!X161*VLOOKUP('Données projet'!$B$9,Paramètres!$A$1:$I$89,3,0)*0.475*44/12</f>
        <v>0.77103513771065268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1.2578836988416515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1.7053025658242404E-13</v>
      </c>
      <c r="AJ161" s="13">
        <f>AI161*VLOOKUP('Données projet'!$B$10,Paramètres!$A$1:$I$89,3,0)*VLOOKUP('Données projet'!$B$10,Paramètres!$A$1:$I$89,5,0)</f>
        <v>7.9808160080574461E-14</v>
      </c>
      <c r="AK161" s="13">
        <f t="shared" si="164"/>
        <v>1.2308384591775343E-12</v>
      </c>
      <c r="AL161" s="20">
        <f t="shared" si="165"/>
        <v>2.282709528541206E-12</v>
      </c>
      <c r="AM161" s="59">
        <f t="shared" si="113"/>
        <v>293.33333333333559</v>
      </c>
      <c r="AN161" s="59">
        <f ca="1">AVERAGE(OFFSET($AM$3,0,0,'Données projet'!$E$10+1,1))-AVERAGE(OFFSET($H$3,0,0,'Données projet'!$E$10+1,1))</f>
        <v>337.10499990421835</v>
      </c>
      <c r="AO161" s="59">
        <f t="shared" si="144"/>
        <v>277.4254079562175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85.211015337393917</v>
      </c>
      <c r="AV161" s="21">
        <f>EXP(-LN(2)/25)*AV160+(1-EXP(-LN(2)/25))/(LN(2)/25)*Calculateur!AQ161*Calculateur!AS161*VLOOKUP('Données projet'!$B$10,Paramètres!$A$1:$I$89,3,0)*0.475*44/12</f>
        <v>21.245189916194509</v>
      </c>
      <c r="AW161" s="21">
        <f>EXP(-LN(2)/2)*AW160+(1-EXP(-LN(2)/2))/(LN(2)/2)*AQ161*AT161*VLOOKUP('Données projet'!$B$10,Paramètres!$A$1:$I$89,3,0)*0.475*44/12</f>
        <v>2.7974095193385013E-3</v>
      </c>
      <c r="AX161" s="21">
        <f t="shared" si="166"/>
        <v>106.45900266310775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-4.2632564145606011E-14</v>
      </c>
      <c r="O162" s="13">
        <f>N162*VLOOKUP('Données projet'!$B$9,Paramètres!$A$1:$I$89,3,0)*VLOOKUP('Données projet'!$B$9,Paramètres!$A$1:$I$89,5,0)</f>
        <v>-3.8573944038944318E-14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167.24886661350195</v>
      </c>
      <c r="T162" s="59">
        <f t="shared" si="142"/>
        <v>234.73100822629613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0.47730175779552098</v>
      </c>
      <c r="AA162" s="21">
        <f>EXP(-LN(2)/25)*AA161+(1-EXP(-LN(2)/25))/(LN(2)/25)*Calculateur!V162*Calculateur!X162*VLOOKUP('Données projet'!$B$9,Paramètres!$A$1:$I$89,3,0)*0.475*44/12</f>
        <v>0.74995114132297924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1.2272528991185001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1.7053025658242404E-13</v>
      </c>
      <c r="AJ162" s="13">
        <f>AI162*VLOOKUP('Données projet'!$B$10,Paramètres!$A$1:$I$89,3,0)*VLOOKUP('Données projet'!$B$10,Paramètres!$A$1:$I$89,5,0)</f>
        <v>7.9808160080574461E-14</v>
      </c>
      <c r="AK162" s="13">
        <f t="shared" si="164"/>
        <v>1.2308384591775343E-12</v>
      </c>
      <c r="AL162" s="20">
        <f t="shared" si="165"/>
        <v>2.282709528541206E-12</v>
      </c>
      <c r="AM162" s="59">
        <f t="shared" si="113"/>
        <v>293.33333333333559</v>
      </c>
      <c r="AN162" s="59">
        <f ca="1">AVERAGE(OFFSET($AM$3,0,0,'Données projet'!$E$10+1,1))-AVERAGE(OFFSET($H$3,0,0,'Données projet'!$E$10+1,1))</f>
        <v>337.10499990421835</v>
      </c>
      <c r="AO162" s="59">
        <f t="shared" si="144"/>
        <v>277.4254079562175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83.540079300215012</v>
      </c>
      <c r="AV162" s="21">
        <f>EXP(-LN(2)/25)*AV161+(1-EXP(-LN(2)/25))/(LN(2)/25)*Calculateur!AQ162*Calculateur!AS162*VLOOKUP('Données projet'!$B$10,Paramètres!$A$1:$I$89,3,0)*0.475*44/12</f>
        <v>20.664239080700188</v>
      </c>
      <c r="AW162" s="21">
        <f>EXP(-LN(2)/2)*AW161+(1-EXP(-LN(2)/2))/(LN(2)/2)*AQ162*AT162*VLOOKUP('Données projet'!$B$10,Paramètres!$A$1:$I$89,3,0)*0.475*44/12</f>
        <v>1.9780672408800546E-3</v>
      </c>
      <c r="AX162" s="21">
        <f t="shared" si="166"/>
        <v>104.20629644815608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-4.2632564145606011E-14</v>
      </c>
      <c r="O163" s="13">
        <f>N163*VLOOKUP('Données projet'!$B$9,Paramètres!$A$1:$I$89,3,0)*VLOOKUP('Données projet'!$B$9,Paramètres!$A$1:$I$89,5,0)</f>
        <v>-3.8573944038944318E-14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167.24886661350195</v>
      </c>
      <c r="T163" s="59">
        <f t="shared" si="142"/>
        <v>234.73100822629613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0.46794216145047685</v>
      </c>
      <c r="AA163" s="21">
        <f>EXP(-LN(2)/25)*AA162+(1-EXP(-LN(2)/25))/(LN(2)/25)*Calculateur!V163*Calculateur!X163*VLOOKUP('Données projet'!$B$9,Paramètres!$A$1:$I$89,3,0)*0.475*44/12</f>
        <v>0.72944368792528591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1.1973858493757628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1.7053025658242404E-13</v>
      </c>
      <c r="AJ163" s="13">
        <f>AI163*VLOOKUP('Données projet'!$B$10,Paramètres!$A$1:$I$89,3,0)*VLOOKUP('Données projet'!$B$10,Paramètres!$A$1:$I$89,5,0)</f>
        <v>7.9808160080574461E-14</v>
      </c>
      <c r="AK163" s="13">
        <f t="shared" si="164"/>
        <v>1.2308384591775343E-12</v>
      </c>
      <c r="AL163" s="20">
        <f t="shared" si="165"/>
        <v>2.282709528541206E-12</v>
      </c>
      <c r="AM163" s="59">
        <f t="shared" si="113"/>
        <v>293.33333333333559</v>
      </c>
      <c r="AN163" s="59">
        <f ca="1">AVERAGE(OFFSET($AM$3,0,0,'Données projet'!$E$10+1,1))-AVERAGE(OFFSET($H$3,0,0,'Données projet'!$E$10+1,1))</f>
        <v>337.10499990421835</v>
      </c>
      <c r="AO163" s="59">
        <f t="shared" si="144"/>
        <v>277.4254079562175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81.901909299554845</v>
      </c>
      <c r="AV163" s="21">
        <f>EXP(-LN(2)/25)*AV162+(1-EXP(-LN(2)/25))/(LN(2)/25)*Calculateur!AQ163*Calculateur!AS163*VLOOKUP('Données projet'!$B$10,Paramètres!$A$1:$I$89,3,0)*0.475*44/12</f>
        <v>20.099174376353336</v>
      </c>
      <c r="AW163" s="21">
        <f>EXP(-LN(2)/2)*AW162+(1-EXP(-LN(2)/2))/(LN(2)/2)*AQ163*AT163*VLOOKUP('Données projet'!$B$10,Paramètres!$A$1:$I$89,3,0)*0.475*44/12</f>
        <v>1.3987047596692506E-3</v>
      </c>
      <c r="AX163" s="21">
        <f t="shared" si="166"/>
        <v>102.00248238066784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-4.2632564145606011E-14</v>
      </c>
      <c r="O164" s="13">
        <f>N164*VLOOKUP('Données projet'!$B$9,Paramètres!$A$1:$I$89,3,0)*VLOOKUP('Données projet'!$B$9,Paramètres!$A$1:$I$89,5,0)</f>
        <v>-3.8573944038944318E-14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167.24886661350195</v>
      </c>
      <c r="T164" s="59">
        <f t="shared" si="142"/>
        <v>234.73100822629613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0.45876610108096894</v>
      </c>
      <c r="AA164" s="21">
        <f>EXP(-LN(2)/25)*AA163+(1-EXP(-LN(2)/25))/(LN(2)/25)*Calculateur!V164*Calculateur!X164*VLOOKUP('Données projet'!$B$9,Paramètres!$A$1:$I$89,3,0)*0.475*44/12</f>
        <v>0.70949701191919257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1.1682631130001615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1.7053025658242404E-13</v>
      </c>
      <c r="AJ164" s="13">
        <f>AI164*VLOOKUP('Données projet'!$B$10,Paramètres!$A$1:$I$89,3,0)*VLOOKUP('Données projet'!$B$10,Paramètres!$A$1:$I$89,5,0)</f>
        <v>7.9808160080574461E-14</v>
      </c>
      <c r="AK164" s="13">
        <f t="shared" si="164"/>
        <v>1.2308384591775343E-12</v>
      </c>
      <c r="AL164" s="20">
        <f t="shared" si="165"/>
        <v>2.282709528541206E-12</v>
      </c>
      <c r="AM164" s="59">
        <f t="shared" si="113"/>
        <v>293.33333333333559</v>
      </c>
      <c r="AN164" s="59">
        <f ca="1">AVERAGE(OFFSET($AM$3,0,0,'Données projet'!$E$10+1,1))-AVERAGE(OFFSET($H$3,0,0,'Données projet'!$E$10+1,1))</f>
        <v>337.10499990421835</v>
      </c>
      <c r="AO164" s="59">
        <f t="shared" si="144"/>
        <v>277.4254079562175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80.295862813422573</v>
      </c>
      <c r="AV164" s="21">
        <f>EXP(-LN(2)/25)*AV163+(1-EXP(-LN(2)/25))/(LN(2)/25)*Calculateur!AQ164*Calculateur!AS164*VLOOKUP('Données projet'!$B$10,Paramètres!$A$1:$I$89,3,0)*0.475*44/12</f>
        <v>19.549561396062309</v>
      </c>
      <c r="AW164" s="21">
        <f>EXP(-LN(2)/2)*AW163+(1-EXP(-LN(2)/2))/(LN(2)/2)*AQ164*AT164*VLOOKUP('Données projet'!$B$10,Paramètres!$A$1:$I$89,3,0)*0.475*44/12</f>
        <v>9.8903362044002732E-4</v>
      </c>
      <c r="AX164" s="21">
        <f t="shared" si="166"/>
        <v>99.846413243105332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-4.2632564145606011E-14</v>
      </c>
      <c r="O165" s="13">
        <f>N165*VLOOKUP('Données projet'!$B$9,Paramètres!$A$1:$I$89,3,0)*VLOOKUP('Données projet'!$B$9,Paramètres!$A$1:$I$89,5,0)</f>
        <v>-3.8573944038944318E-14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167.24886661350195</v>
      </c>
      <c r="T165" s="59">
        <f t="shared" si="142"/>
        <v>234.73100822629613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0.44976997765846288</v>
      </c>
      <c r="AA165" s="21">
        <f>EXP(-LN(2)/25)*AA164+(1-EXP(-LN(2)/25))/(LN(2)/25)*Calculateur!V165*Calculateur!X165*VLOOKUP('Données projet'!$B$9,Paramètres!$A$1:$I$89,3,0)*0.475*44/12</f>
        <v>0.690095778817436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1.1398657564758989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1.7053025658242404E-13</v>
      </c>
      <c r="AJ165" s="13">
        <f>AI165*VLOOKUP('Données projet'!$B$10,Paramètres!$A$1:$I$89,3,0)*VLOOKUP('Données projet'!$B$10,Paramètres!$A$1:$I$89,5,0)</f>
        <v>7.9808160080574461E-14</v>
      </c>
      <c r="AK165" s="13">
        <f t="shared" si="164"/>
        <v>1.2308384591775343E-12</v>
      </c>
      <c r="AL165" s="20">
        <f t="shared" si="165"/>
        <v>2.282709528541206E-12</v>
      </c>
      <c r="AM165" s="59">
        <f t="shared" si="113"/>
        <v>293.33333333333559</v>
      </c>
      <c r="AN165" s="59">
        <f ca="1">AVERAGE(OFFSET($AM$3,0,0,'Données projet'!$E$10+1,1))-AVERAGE(OFFSET($H$3,0,0,'Données projet'!$E$10+1,1))</f>
        <v>337.10499990421835</v>
      </c>
      <c r="AO165" s="59">
        <f t="shared" si="144"/>
        <v>277.4254079562175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78.721309919291727</v>
      </c>
      <c r="AV165" s="21">
        <f>EXP(-LN(2)/25)*AV164+(1-EXP(-LN(2)/25))/(LN(2)/25)*Calculateur!AQ165*Calculateur!AS165*VLOOKUP('Données projet'!$B$10,Paramètres!$A$1:$I$89,3,0)*0.475*44/12</f>
        <v>19.014977611620232</v>
      </c>
      <c r="AW165" s="21">
        <f>EXP(-LN(2)/2)*AW164+(1-EXP(-LN(2)/2))/(LN(2)/2)*AQ165*AT165*VLOOKUP('Données projet'!$B$10,Paramètres!$A$1:$I$89,3,0)*0.475*44/12</f>
        <v>6.9935237983462532E-4</v>
      </c>
      <c r="AX165" s="21">
        <f t="shared" si="166"/>
        <v>97.736986883291806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-4.2632564145606011E-14</v>
      </c>
      <c r="O166" s="13">
        <f>N166*VLOOKUP('Données projet'!$B$9,Paramètres!$A$1:$I$89,3,0)*VLOOKUP('Données projet'!$B$9,Paramètres!$A$1:$I$89,5,0)</f>
        <v>-3.8573944038944318E-14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167.24886661350195</v>
      </c>
      <c r="T166" s="59">
        <f t="shared" si="142"/>
        <v>234.73100822629613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0.4409502627291787</v>
      </c>
      <c r="AA166" s="21">
        <f>EXP(-LN(2)/25)*AA165+(1-EXP(-LN(2)/25))/(LN(2)/25)*Calculateur!V166*Calculateur!X166*VLOOKUP('Données projet'!$B$9,Paramètres!$A$1:$I$89,3,0)*0.475*44/12</f>
        <v>0.6712250734551134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1.1121753361842921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1.7053025658242404E-13</v>
      </c>
      <c r="AJ166" s="13">
        <f>AI166*VLOOKUP('Données projet'!$B$10,Paramètres!$A$1:$I$89,3,0)*VLOOKUP('Données projet'!$B$10,Paramètres!$A$1:$I$89,5,0)</f>
        <v>7.9808160080574461E-14</v>
      </c>
      <c r="AK166" s="13">
        <f t="shared" si="164"/>
        <v>1.2308384591775343E-12</v>
      </c>
      <c r="AL166" s="20">
        <f t="shared" si="165"/>
        <v>2.282709528541206E-12</v>
      </c>
      <c r="AM166" s="59">
        <f t="shared" si="113"/>
        <v>293.33333333333559</v>
      </c>
      <c r="AN166" s="59">
        <f ca="1">AVERAGE(OFFSET($AM$3,0,0,'Données projet'!$E$10+1,1))-AVERAGE(OFFSET($H$3,0,0,'Données projet'!$E$10+1,1))</f>
        <v>337.10499990421835</v>
      </c>
      <c r="AO166" s="59">
        <f t="shared" si="144"/>
        <v>277.4254079562175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77.177633047032359</v>
      </c>
      <c r="AV166" s="21">
        <f>EXP(-LN(2)/25)*AV165+(1-EXP(-LN(2)/25))/(LN(2)/25)*Calculateur!AQ166*Calculateur!AS166*VLOOKUP('Données projet'!$B$10,Paramètres!$A$1:$I$89,3,0)*0.475*44/12</f>
        <v>18.495012048876262</v>
      </c>
      <c r="AW166" s="21">
        <f>EXP(-LN(2)/2)*AW165+(1-EXP(-LN(2)/2))/(LN(2)/2)*AQ166*AT166*VLOOKUP('Données projet'!$B$10,Paramètres!$A$1:$I$89,3,0)*0.475*44/12</f>
        <v>4.9451681022001366E-4</v>
      </c>
      <c r="AX166" s="21">
        <f t="shared" si="166"/>
        <v>95.673139612718842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-4.2632564145606011E-14</v>
      </c>
      <c r="O167" s="13">
        <f>N167*VLOOKUP('Données projet'!$B$9,Paramètres!$A$1:$I$89,3,0)*VLOOKUP('Données projet'!$B$9,Paramètres!$A$1:$I$89,5,0)</f>
        <v>-3.8573944038944318E-14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167.24886661350195</v>
      </c>
      <c r="T167" s="59">
        <f t="shared" si="142"/>
        <v>234.73100822629613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0.43230349703016285</v>
      </c>
      <c r="AA167" s="21">
        <f>EXP(-LN(2)/25)*AA166+(1-EXP(-LN(2)/25))/(LN(2)/25)*Calculateur!V167*Calculateur!X167*VLOOKUP('Données projet'!$B$9,Paramètres!$A$1:$I$89,3,0)*0.475*44/12</f>
        <v>0.65287038852329082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1.0851738855534536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1.7053025658242404E-13</v>
      </c>
      <c r="AJ167" s="13">
        <f>AI167*VLOOKUP('Données projet'!$B$10,Paramètres!$A$1:$I$89,3,0)*VLOOKUP('Données projet'!$B$10,Paramètres!$A$1:$I$89,5,0)</f>
        <v>7.9808160080574461E-14</v>
      </c>
      <c r="AK167" s="13">
        <f t="shared" si="164"/>
        <v>1.2308384591775343E-12</v>
      </c>
      <c r="AL167" s="20">
        <f t="shared" si="165"/>
        <v>2.282709528541206E-12</v>
      </c>
      <c r="AM167" s="59">
        <f t="shared" si="113"/>
        <v>293.33333333333559</v>
      </c>
      <c r="AN167" s="59">
        <f ca="1">AVERAGE(OFFSET($AM$3,0,0,'Données projet'!$E$10+1,1))-AVERAGE(OFFSET($H$3,0,0,'Données projet'!$E$10+1,1))</f>
        <v>337.10499990421835</v>
      </c>
      <c r="AO167" s="59">
        <f t="shared" si="144"/>
        <v>277.4254079562175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75.664226736688065</v>
      </c>
      <c r="AV167" s="21">
        <f>EXP(-LN(2)/25)*AV166+(1-EXP(-LN(2)/25))/(LN(2)/25)*Calculateur!AQ167*Calculateur!AS167*VLOOKUP('Données projet'!$B$10,Paramètres!$A$1:$I$89,3,0)*0.475*44/12</f>
        <v>17.989264971789328</v>
      </c>
      <c r="AW167" s="21">
        <f>EXP(-LN(2)/2)*AW166+(1-EXP(-LN(2)/2))/(LN(2)/2)*AQ167*AT167*VLOOKUP('Données projet'!$B$10,Paramètres!$A$1:$I$89,3,0)*0.475*44/12</f>
        <v>3.4967618991731266E-4</v>
      </c>
      <c r="AX167" s="21">
        <f t="shared" si="166"/>
        <v>93.653841384667302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-4.2632564145606011E-14</v>
      </c>
      <c r="O168" s="13">
        <f>N168*VLOOKUP('Données projet'!$B$9,Paramètres!$A$1:$I$89,3,0)*VLOOKUP('Données projet'!$B$9,Paramètres!$A$1:$I$89,5,0)</f>
        <v>-3.8573944038944318E-14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167.24886661350195</v>
      </c>
      <c r="T168" s="59">
        <f t="shared" si="142"/>
        <v>234.73100822629613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0.42382628913249842</v>
      </c>
      <c r="AA168" s="21">
        <f>EXP(-LN(2)/25)*AA167+(1-EXP(-LN(2)/25))/(LN(2)/25)*Calculateur!V168*Calculateur!X168*VLOOKUP('Données projet'!$B$9,Paramètres!$A$1:$I$89,3,0)*0.475*44/12</f>
        <v>0.63501761341615981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1.0588439025486582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1.7053025658242404E-13</v>
      </c>
      <c r="AJ168" s="13">
        <f>AI168*VLOOKUP('Données projet'!$B$10,Paramètres!$A$1:$I$89,3,0)*VLOOKUP('Données projet'!$B$10,Paramètres!$A$1:$I$89,5,0)</f>
        <v>7.9808160080574461E-14</v>
      </c>
      <c r="AK168" s="13">
        <f t="shared" si="164"/>
        <v>1.2308384591775343E-12</v>
      </c>
      <c r="AL168" s="20">
        <f t="shared" si="165"/>
        <v>2.282709528541206E-12</v>
      </c>
      <c r="AM168" s="59">
        <f t="shared" si="113"/>
        <v>293.33333333333559</v>
      </c>
      <c r="AN168" s="59">
        <f ca="1">AVERAGE(OFFSET($AM$3,0,0,'Données projet'!$E$10+1,1))-AVERAGE(OFFSET($H$3,0,0,'Données projet'!$E$10+1,1))</f>
        <v>337.10499990421835</v>
      </c>
      <c r="AO168" s="59">
        <f t="shared" si="144"/>
        <v>277.4254079562175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74.180497401002924</v>
      </c>
      <c r="AV168" s="21">
        <f>EXP(-LN(2)/25)*AV167+(1-EXP(-LN(2)/25))/(LN(2)/25)*Calculateur!AQ168*Calculateur!AS168*VLOOKUP('Données projet'!$B$10,Paramètres!$A$1:$I$89,3,0)*0.475*44/12</f>
        <v>17.49734757512142</v>
      </c>
      <c r="AW168" s="21">
        <f>EXP(-LN(2)/2)*AW167+(1-EXP(-LN(2)/2))/(LN(2)/2)*AQ168*AT168*VLOOKUP('Données projet'!$B$10,Paramètres!$A$1:$I$89,3,0)*0.475*44/12</f>
        <v>2.4725840511000683E-4</v>
      </c>
      <c r="AX168" s="21">
        <f t="shared" si="166"/>
        <v>91.678092234529458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-4.2632564145606011E-14</v>
      </c>
      <c r="O169" s="13">
        <f>N169*VLOOKUP('Données projet'!$B$9,Paramètres!$A$1:$I$89,3,0)*VLOOKUP('Données projet'!$B$9,Paramètres!$A$1:$I$89,5,0)</f>
        <v>-3.8573944038944318E-14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167.24886661350195</v>
      </c>
      <c r="T169" s="59">
        <f t="shared" si="142"/>
        <v>234.73100822629613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0.41551531411112091</v>
      </c>
      <c r="AA169" s="21">
        <f>EXP(-LN(2)/25)*AA168+(1-EXP(-LN(2)/25))/(LN(2)/25)*Calculateur!V169*Calculateur!X169*VLOOKUP('Données projet'!$B$9,Paramètres!$A$1:$I$89,3,0)*0.475*44/12</f>
        <v>0.61765302338316996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1.0331683374942908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1.7053025658242404E-13</v>
      </c>
      <c r="AJ169" s="13">
        <f>AI169*VLOOKUP('Données projet'!$B$10,Paramètres!$A$1:$I$89,3,0)*VLOOKUP('Données projet'!$B$10,Paramètres!$A$1:$I$89,5,0)</f>
        <v>7.9808160080574461E-14</v>
      </c>
      <c r="AK169" s="13">
        <f t="shared" si="164"/>
        <v>1.2308384591775343E-12</v>
      </c>
      <c r="AL169" s="20">
        <f t="shared" si="165"/>
        <v>2.282709528541206E-12</v>
      </c>
      <c r="AM169" s="59">
        <f t="shared" si="113"/>
        <v>293.33333333333559</v>
      </c>
      <c r="AN169" s="59">
        <f ca="1">AVERAGE(OFFSET($AM$3,0,0,'Données projet'!$E$10+1,1))-AVERAGE(OFFSET($H$3,0,0,'Données projet'!$E$10+1,1))</f>
        <v>337.10499990421835</v>
      </c>
      <c r="AO169" s="59">
        <f t="shared" si="144"/>
        <v>277.4254079562175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72.725863092605039</v>
      </c>
      <c r="AV169" s="21">
        <f>EXP(-LN(2)/25)*AV168+(1-EXP(-LN(2)/25))/(LN(2)/25)*Calculateur!AQ169*Calculateur!AS169*VLOOKUP('Données projet'!$B$10,Paramètres!$A$1:$I$89,3,0)*0.475*44/12</f>
        <v>17.018881685534208</v>
      </c>
      <c r="AW169" s="21">
        <f>EXP(-LN(2)/2)*AW168+(1-EXP(-LN(2)/2))/(LN(2)/2)*AQ169*AT169*VLOOKUP('Données projet'!$B$10,Paramètres!$A$1:$I$89,3,0)*0.475*44/12</f>
        <v>1.7483809495865633E-4</v>
      </c>
      <c r="AX169" s="21">
        <f t="shared" si="166"/>
        <v>89.744919616234213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-4.2632564145606011E-14</v>
      </c>
      <c r="O170" s="13">
        <f>N170*VLOOKUP('Données projet'!$B$9,Paramètres!$A$1:$I$89,3,0)*VLOOKUP('Données projet'!$B$9,Paramètres!$A$1:$I$89,5,0)</f>
        <v>-3.8573944038944318E-14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167.24886661350195</v>
      </c>
      <c r="T170" s="59">
        <f t="shared" si="142"/>
        <v>234.73100822629613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0.40736731224071837</v>
      </c>
      <c r="AA170" s="21">
        <f>EXP(-LN(2)/25)*AA169+(1-EXP(-LN(2)/25))/(LN(2)/25)*Calculateur!V170*Calculateur!X170*VLOOKUP('Données projet'!$B$9,Paramètres!$A$1:$I$89,3,0)*0.475*44/12</f>
        <v>0.60076326897779631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1.0081305812185146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1.7053025658242404E-13</v>
      </c>
      <c r="AJ170" s="13">
        <f>AI170*VLOOKUP('Données projet'!$B$10,Paramètres!$A$1:$I$89,3,0)*VLOOKUP('Données projet'!$B$10,Paramètres!$A$1:$I$89,5,0)</f>
        <v>7.9808160080574461E-14</v>
      </c>
      <c r="AK170" s="13">
        <f t="shared" si="164"/>
        <v>1.2308384591775343E-12</v>
      </c>
      <c r="AL170" s="20">
        <f t="shared" si="165"/>
        <v>2.282709528541206E-12</v>
      </c>
      <c r="AM170" s="59">
        <f t="shared" si="113"/>
        <v>293.33333333333559</v>
      </c>
      <c r="AN170" s="59">
        <f ca="1">AVERAGE(OFFSET($AM$3,0,0,'Données projet'!$E$10+1,1))-AVERAGE(OFFSET($H$3,0,0,'Données projet'!$E$10+1,1))</f>
        <v>337.10499990421835</v>
      </c>
      <c r="AO170" s="59">
        <f t="shared" si="144"/>
        <v>277.4254079562175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71.299753275755506</v>
      </c>
      <c r="AV170" s="21">
        <f>EXP(-LN(2)/25)*AV169+(1-EXP(-LN(2)/25))/(LN(2)/25)*Calculateur!AQ170*Calculateur!AS170*VLOOKUP('Données projet'!$B$10,Paramètres!$A$1:$I$89,3,0)*0.475*44/12</f>
        <v>16.553499470859183</v>
      </c>
      <c r="AW170" s="21">
        <f>EXP(-LN(2)/2)*AW169+(1-EXP(-LN(2)/2))/(LN(2)/2)*AQ170*AT170*VLOOKUP('Données projet'!$B$10,Paramètres!$A$1:$I$89,3,0)*0.475*44/12</f>
        <v>1.2362920255500341E-4</v>
      </c>
      <c r="AX170" s="21">
        <f t="shared" si="166"/>
        <v>87.853376375817234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-4.2632564145606011E-14</v>
      </c>
      <c r="O171" s="13">
        <f>N171*VLOOKUP('Données projet'!$B$9,Paramètres!$A$1:$I$89,3,0)*VLOOKUP('Données projet'!$B$9,Paramètres!$A$1:$I$89,5,0)</f>
        <v>-3.8573944038944318E-14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167.24886661350195</v>
      </c>
      <c r="T171" s="59">
        <f t="shared" si="142"/>
        <v>234.73100822629613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0.39937908771720404</v>
      </c>
      <c r="AA171" s="21">
        <f>EXP(-LN(2)/25)*AA170+(1-EXP(-LN(2)/25))/(LN(2)/25)*Calculateur!V171*Calculateur!X171*VLOOKUP('Données projet'!$B$9,Paramètres!$A$1:$I$89,3,0)*0.475*44/12</f>
        <v>0.58433536579483125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0.98371445351203524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1.7053025658242404E-13</v>
      </c>
      <c r="AJ171" s="13">
        <f>AI171*VLOOKUP('Données projet'!$B$10,Paramètres!$A$1:$I$89,3,0)*VLOOKUP('Données projet'!$B$10,Paramètres!$A$1:$I$89,5,0)</f>
        <v>7.9808160080574461E-14</v>
      </c>
      <c r="AK171" s="13">
        <f t="shared" si="164"/>
        <v>1.2308384591775343E-12</v>
      </c>
      <c r="AL171" s="20">
        <f t="shared" si="165"/>
        <v>2.282709528541206E-12</v>
      </c>
      <c r="AM171" s="59">
        <f t="shared" si="113"/>
        <v>293.33333333333559</v>
      </c>
      <c r="AN171" s="59">
        <f ca="1">AVERAGE(OFFSET($AM$3,0,0,'Données projet'!$E$10+1,1))-AVERAGE(OFFSET($H$3,0,0,'Données projet'!$E$10+1,1))</f>
        <v>337.10499990421835</v>
      </c>
      <c r="AO171" s="59">
        <f t="shared" si="144"/>
        <v>277.4254079562175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69.901608602573305</v>
      </c>
      <c r="AV171" s="21">
        <f>EXP(-LN(2)/25)*AV170+(1-EXP(-LN(2)/25))/(LN(2)/25)*Calculateur!AQ171*Calculateur!AS171*VLOOKUP('Données projet'!$B$10,Paramètres!$A$1:$I$89,3,0)*0.475*44/12</f>
        <v>16.100843157317836</v>
      </c>
      <c r="AW171" s="21">
        <f>EXP(-LN(2)/2)*AW170+(1-EXP(-LN(2)/2))/(LN(2)/2)*AQ171*AT171*VLOOKUP('Données projet'!$B$10,Paramètres!$A$1:$I$89,3,0)*0.475*44/12</f>
        <v>8.7419047479328165E-5</v>
      </c>
      <c r="AX171" s="21">
        <f t="shared" si="166"/>
        <v>86.002539178938619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-4.2632564145606011E-14</v>
      </c>
      <c r="O172" s="13">
        <f>N172*VLOOKUP('Données projet'!$B$9,Paramètres!$A$1:$I$89,3,0)*VLOOKUP('Données projet'!$B$9,Paramètres!$A$1:$I$89,5,0)</f>
        <v>-3.8573944038944318E-14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167.24886661350195</v>
      </c>
      <c r="T172" s="59">
        <f t="shared" si="142"/>
        <v>234.73100822629613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0.39154750740425998</v>
      </c>
      <c r="AA172" s="21">
        <f>EXP(-LN(2)/25)*AA171+(1-EXP(-LN(2)/25))/(LN(2)/25)*Calculateur!V172*Calculateur!X172*VLOOKUP('Données projet'!$B$9,Paramètres!$A$1:$I$89,3,0)*0.475*44/12</f>
        <v>0.56835668448831023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0.95990419189257015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1.7053025658242404E-13</v>
      </c>
      <c r="AJ172" s="13">
        <f>AI172*VLOOKUP('Données projet'!$B$10,Paramètres!$A$1:$I$89,3,0)*VLOOKUP('Données projet'!$B$10,Paramètres!$A$1:$I$89,5,0)</f>
        <v>7.9808160080574461E-14</v>
      </c>
      <c r="AK172" s="13">
        <f t="shared" si="164"/>
        <v>1.2308384591775343E-12</v>
      </c>
      <c r="AL172" s="20">
        <f t="shared" si="165"/>
        <v>2.282709528541206E-12</v>
      </c>
      <c r="AM172" s="59">
        <f t="shared" si="113"/>
        <v>293.33333333333559</v>
      </c>
      <c r="AN172" s="59">
        <f ca="1">AVERAGE(OFFSET($AM$3,0,0,'Données projet'!$E$10+1,1))-AVERAGE(OFFSET($H$3,0,0,'Données projet'!$E$10+1,1))</f>
        <v>337.10499990421835</v>
      </c>
      <c r="AO172" s="59">
        <f t="shared" si="144"/>
        <v>277.4254079562175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68.530880693648157</v>
      </c>
      <c r="AV172" s="21">
        <f>EXP(-LN(2)/25)*AV171+(1-EXP(-LN(2)/25))/(LN(2)/25)*Calculateur!AQ172*Calculateur!AS172*VLOOKUP('Données projet'!$B$10,Paramètres!$A$1:$I$89,3,0)*0.475*44/12</f>
        <v>15.660564754474438</v>
      </c>
      <c r="AW172" s="21">
        <f>EXP(-LN(2)/2)*AW171+(1-EXP(-LN(2)/2))/(LN(2)/2)*AQ172*AT172*VLOOKUP('Données projet'!$B$10,Paramètres!$A$1:$I$89,3,0)*0.475*44/12</f>
        <v>6.1814601277501707E-5</v>
      </c>
      <c r="AX172" s="21">
        <f t="shared" si="166"/>
        <v>84.191507262723874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-4.2632564145606011E-14</v>
      </c>
      <c r="O173" s="13">
        <f>N173*VLOOKUP('Données projet'!$B$9,Paramètres!$A$1:$I$89,3,0)*VLOOKUP('Données projet'!$B$9,Paramètres!$A$1:$I$89,5,0)</f>
        <v>-3.8573944038944318E-14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167.24886661350195</v>
      </c>
      <c r="T173" s="59">
        <f t="shared" si="142"/>
        <v>234.73100822629613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0.38386949960446037</v>
      </c>
      <c r="AA173" s="21">
        <f>EXP(-LN(2)/25)*AA172+(1-EXP(-LN(2)/25))/(LN(2)/25)*Calculateur!V173*Calculateur!X173*VLOOKUP('Données projet'!$B$9,Paramètres!$A$1:$I$89,3,0)*0.475*44/12</f>
        <v>0.55281494106239837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0.93668444066685874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1.7053025658242404E-13</v>
      </c>
      <c r="AJ173" s="13">
        <f>AI173*VLOOKUP('Données projet'!$B$10,Paramètres!$A$1:$I$89,3,0)*VLOOKUP('Données projet'!$B$10,Paramètres!$A$1:$I$89,5,0)</f>
        <v>7.9808160080574461E-14</v>
      </c>
      <c r="AK173" s="13">
        <f t="shared" si="164"/>
        <v>1.2308384591775343E-12</v>
      </c>
      <c r="AL173" s="20">
        <f t="shared" si="165"/>
        <v>2.282709528541206E-12</v>
      </c>
      <c r="AM173" s="59">
        <f t="shared" si="113"/>
        <v>293.33333333333559</v>
      </c>
      <c r="AN173" s="59">
        <f ca="1">AVERAGE(OFFSET($AM$3,0,0,'Données projet'!$E$10+1,1))-AVERAGE(OFFSET($H$3,0,0,'Données projet'!$E$10+1,1))</f>
        <v>337.10499990421835</v>
      </c>
      <c r="AO173" s="59">
        <f t="shared" si="144"/>
        <v>277.4254079562175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67.187031922955555</v>
      </c>
      <c r="AV173" s="21">
        <f>EXP(-LN(2)/25)*AV172+(1-EXP(-LN(2)/25))/(LN(2)/25)*Calculateur!AQ173*Calculateur!AS173*VLOOKUP('Données projet'!$B$10,Paramètres!$A$1:$I$89,3,0)*0.475*44/12</f>
        <v>15.232325787710026</v>
      </c>
      <c r="AW173" s="21">
        <f>EXP(-LN(2)/2)*AW172+(1-EXP(-LN(2)/2))/(LN(2)/2)*AQ173*AT173*VLOOKUP('Données projet'!$B$10,Paramètres!$A$1:$I$89,3,0)*0.475*44/12</f>
        <v>4.3709523739664083E-5</v>
      </c>
      <c r="AX173" s="21">
        <f t="shared" si="166"/>
        <v>82.419401420189317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-4.2632564145606011E-14</v>
      </c>
      <c r="O174" s="13">
        <f>N174*VLOOKUP('Données projet'!$B$9,Paramètres!$A$1:$I$89,3,0)*VLOOKUP('Données projet'!$B$9,Paramètres!$A$1:$I$89,5,0)</f>
        <v>-3.8573944038944318E-14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167.24886661350195</v>
      </c>
      <c r="T174" s="59">
        <f t="shared" si="142"/>
        <v>234.73100822629613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0.37634205285449251</v>
      </c>
      <c r="AA174" s="21">
        <f>EXP(-LN(2)/25)*AA173+(1-EXP(-LN(2)/25))/(LN(2)/25)*Calculateur!V174*Calculateur!X174*VLOOKUP('Données projet'!$B$9,Paramètres!$A$1:$I$89,3,0)*0.475*44/12</f>
        <v>0.53769818742777276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0.91404024028226527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1.7053025658242404E-13</v>
      </c>
      <c r="AJ174" s="13">
        <f>AI174*VLOOKUP('Données projet'!$B$10,Paramètres!$A$1:$I$89,3,0)*VLOOKUP('Données projet'!$B$10,Paramètres!$A$1:$I$89,5,0)</f>
        <v>7.9808160080574461E-14</v>
      </c>
      <c r="AK174" s="13">
        <f t="shared" si="164"/>
        <v>1.2308384591775343E-12</v>
      </c>
      <c r="AL174" s="20">
        <f t="shared" si="165"/>
        <v>2.282709528541206E-12</v>
      </c>
      <c r="AM174" s="59">
        <f t="shared" si="113"/>
        <v>293.33333333333559</v>
      </c>
      <c r="AN174" s="59">
        <f ca="1">AVERAGE(OFFSET($AM$3,0,0,'Données projet'!$E$10+1,1))-AVERAGE(OFFSET($H$3,0,0,'Données projet'!$E$10+1,1))</f>
        <v>337.10499990421835</v>
      </c>
      <c r="AO174" s="59">
        <f t="shared" si="144"/>
        <v>277.4254079562175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65.869535206989426</v>
      </c>
      <c r="AV174" s="21">
        <f>EXP(-LN(2)/25)*AV173+(1-EXP(-LN(2)/25))/(LN(2)/25)*Calculateur!AQ174*Calculateur!AS174*VLOOKUP('Données projet'!$B$10,Paramètres!$A$1:$I$89,3,0)*0.475*44/12</f>
        <v>14.815797038011896</v>
      </c>
      <c r="AW174" s="21">
        <f>EXP(-LN(2)/2)*AW173+(1-EXP(-LN(2)/2))/(LN(2)/2)*AQ174*AT174*VLOOKUP('Données projet'!$B$10,Paramètres!$A$1:$I$89,3,0)*0.475*44/12</f>
        <v>3.0907300638750854E-5</v>
      </c>
      <c r="AX174" s="21">
        <f t="shared" si="166"/>
        <v>80.68536315230196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-4.2632564145606011E-14</v>
      </c>
      <c r="O175" s="13">
        <f>N175*VLOOKUP('Données projet'!$B$9,Paramètres!$A$1:$I$89,3,0)*VLOOKUP('Données projet'!$B$9,Paramètres!$A$1:$I$89,5,0)</f>
        <v>-3.8573944038944318E-14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167.24886661350195</v>
      </c>
      <c r="T175" s="59">
        <f t="shared" si="142"/>
        <v>234.73100822629613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0.36896221474400237</v>
      </c>
      <c r="AA175" s="21">
        <f>EXP(-LN(2)/25)*AA174+(1-EXP(-LN(2)/25))/(LN(2)/25)*Calculateur!V175*Calculateur!X175*VLOOKUP('Données projet'!$B$9,Paramètres!$A$1:$I$89,3,0)*0.475*44/12</f>
        <v>0.52299480221624151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0.89195701696024388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1.7053025658242404E-13</v>
      </c>
      <c r="AJ175" s="13">
        <f>AI175*VLOOKUP('Données projet'!$B$10,Paramètres!$A$1:$I$89,3,0)*VLOOKUP('Données projet'!$B$10,Paramètres!$A$1:$I$89,5,0)</f>
        <v>7.9808160080574461E-14</v>
      </c>
      <c r="AK175" s="13">
        <f t="shared" si="164"/>
        <v>1.2308384591775343E-12</v>
      </c>
      <c r="AL175" s="20">
        <f t="shared" si="165"/>
        <v>2.282709528541206E-12</v>
      </c>
      <c r="AM175" s="59">
        <f t="shared" si="113"/>
        <v>293.33333333333559</v>
      </c>
      <c r="AN175" s="59">
        <f ca="1">AVERAGE(OFFSET($AM$3,0,0,'Données projet'!$E$10+1,1))-AVERAGE(OFFSET($H$3,0,0,'Données projet'!$E$10+1,1))</f>
        <v>337.10499990421835</v>
      </c>
      <c r="AO175" s="59">
        <f t="shared" si="144"/>
        <v>277.4254079562175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64.577873798029742</v>
      </c>
      <c r="AV175" s="21">
        <f>EXP(-LN(2)/25)*AV174+(1-EXP(-LN(2)/25))/(LN(2)/25)*Calculateur!AQ175*Calculateur!AS175*VLOOKUP('Données projet'!$B$10,Paramètres!$A$1:$I$89,3,0)*0.475*44/12</f>
        <v>14.410658288878556</v>
      </c>
      <c r="AW175" s="21">
        <f>EXP(-LN(2)/2)*AW174+(1-EXP(-LN(2)/2))/(LN(2)/2)*AQ175*AT175*VLOOKUP('Données projet'!$B$10,Paramètres!$A$1:$I$89,3,0)*0.475*44/12</f>
        <v>2.1854761869832041E-5</v>
      </c>
      <c r="AX175" s="21">
        <f t="shared" si="166"/>
        <v>78.988553941670162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-4.2632564145606011E-14</v>
      </c>
      <c r="O176" s="13">
        <f>N176*VLOOKUP('Données projet'!$B$9,Paramètres!$A$1:$I$89,3,0)*VLOOKUP('Données projet'!$B$9,Paramètres!$A$1:$I$89,5,0)</f>
        <v>-3.8573944038944318E-14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167.24886661350195</v>
      </c>
      <c r="T176" s="59">
        <f t="shared" si="142"/>
        <v>234.73100822629613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0.36172709075760218</v>
      </c>
      <c r="AA176" s="21">
        <f>EXP(-LN(2)/25)*AA175+(1-EXP(-LN(2)/25))/(LN(2)/25)*Calculateur!V176*Calculateur!X176*VLOOKUP('Données projet'!$B$9,Paramètres!$A$1:$I$89,3,0)*0.475*44/12</f>
        <v>0.50869348184653707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0.87042057260413919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1.7053025658242404E-13</v>
      </c>
      <c r="AJ176" s="13">
        <f>AI176*VLOOKUP('Données projet'!$B$10,Paramètres!$A$1:$I$89,3,0)*VLOOKUP('Données projet'!$B$10,Paramètres!$A$1:$I$89,5,0)</f>
        <v>7.9808160080574461E-14</v>
      </c>
      <c r="AK176" s="13">
        <f t="shared" si="164"/>
        <v>1.2308384591775343E-12</v>
      </c>
      <c r="AL176" s="20">
        <f t="shared" si="165"/>
        <v>2.282709528541206E-12</v>
      </c>
      <c r="AM176" s="59">
        <f t="shared" si="113"/>
        <v>293.33333333333559</v>
      </c>
      <c r="AN176" s="59">
        <f ca="1">AVERAGE(OFFSET($AM$3,0,0,'Données projet'!$E$10+1,1))-AVERAGE(OFFSET($H$3,0,0,'Données projet'!$E$10+1,1))</f>
        <v>337.10499990421835</v>
      </c>
      <c r="AO176" s="59">
        <f t="shared" si="144"/>
        <v>277.4254079562175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63.311541081464092</v>
      </c>
      <c r="AV176" s="21">
        <f>EXP(-LN(2)/25)*AV175+(1-EXP(-LN(2)/25))/(LN(2)/25)*Calculateur!AQ176*Calculateur!AS176*VLOOKUP('Données projet'!$B$10,Paramètres!$A$1:$I$89,3,0)*0.475*44/12</f>
        <v>14.016598080145588</v>
      </c>
      <c r="AW176" s="21">
        <f>EXP(-LN(2)/2)*AW175+(1-EXP(-LN(2)/2))/(LN(2)/2)*AQ176*AT176*VLOOKUP('Données projet'!$B$10,Paramètres!$A$1:$I$89,3,0)*0.475*44/12</f>
        <v>1.5453650319375427E-5</v>
      </c>
      <c r="AX176" s="21">
        <f t="shared" si="166"/>
        <v>77.328154615260004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-4.2632564145606011E-14</v>
      </c>
      <c r="O177" s="13">
        <f>N177*VLOOKUP('Données projet'!$B$9,Paramètres!$A$1:$I$89,3,0)*VLOOKUP('Données projet'!$B$9,Paramètres!$A$1:$I$89,5,0)</f>
        <v>-3.8573944038944318E-14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167.24886661350195</v>
      </c>
      <c r="T177" s="59">
        <f t="shared" si="142"/>
        <v>234.73100822629613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0.3546338431395854</v>
      </c>
      <c r="AA177" s="21">
        <f>EXP(-LN(2)/25)*AA176+(1-EXP(-LN(2)/25))/(LN(2)/25)*Calculateur!V177*Calculateur!X177*VLOOKUP('Données projet'!$B$9,Paramètres!$A$1:$I$89,3,0)*0.475*44/12</f>
        <v>0.49478323183441592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0.84941707497400132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1.7053025658242404E-13</v>
      </c>
      <c r="AJ177" s="13">
        <f>AI177*VLOOKUP('Données projet'!$B$10,Paramètres!$A$1:$I$89,3,0)*VLOOKUP('Données projet'!$B$10,Paramètres!$A$1:$I$89,5,0)</f>
        <v>7.9808160080574461E-14</v>
      </c>
      <c r="AK177" s="13">
        <f t="shared" si="164"/>
        <v>1.2308384591775343E-12</v>
      </c>
      <c r="AL177" s="20">
        <f t="shared" si="165"/>
        <v>2.282709528541206E-12</v>
      </c>
      <c r="AM177" s="59">
        <f t="shared" si="113"/>
        <v>293.33333333333559</v>
      </c>
      <c r="AN177" s="59">
        <f ca="1">AVERAGE(OFFSET($AM$3,0,0,'Données projet'!$E$10+1,1))-AVERAGE(OFFSET($H$3,0,0,'Données projet'!$E$10+1,1))</f>
        <v>337.10499990421835</v>
      </c>
      <c r="AO177" s="59">
        <f t="shared" si="144"/>
        <v>277.4254079562175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62.070040377083608</v>
      </c>
      <c r="AV177" s="21">
        <f>EXP(-LN(2)/25)*AV176+(1-EXP(-LN(2)/25))/(LN(2)/25)*Calculateur!AQ177*Calculateur!AS177*VLOOKUP('Données projet'!$B$10,Paramètres!$A$1:$I$89,3,0)*0.475*44/12</f>
        <v>13.633313468543149</v>
      </c>
      <c r="AW177" s="21">
        <f>EXP(-LN(2)/2)*AW176+(1-EXP(-LN(2)/2))/(LN(2)/2)*AQ177*AT177*VLOOKUP('Données projet'!$B$10,Paramètres!$A$1:$I$89,3,0)*0.475*44/12</f>
        <v>1.0927380934916021E-5</v>
      </c>
      <c r="AX177" s="21">
        <f t="shared" si="166"/>
        <v>75.703364773007692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-4.2632564145606011E-14</v>
      </c>
      <c r="O178" s="13">
        <f>N178*VLOOKUP('Données projet'!$B$9,Paramètres!$A$1:$I$89,3,0)*VLOOKUP('Données projet'!$B$9,Paramètres!$A$1:$I$89,5,0)</f>
        <v>-3.8573944038944318E-14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167.24886661350195</v>
      </c>
      <c r="T178" s="59">
        <f t="shared" si="142"/>
        <v>234.73100822629613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0.34767968978090408</v>
      </c>
      <c r="AA178" s="21">
        <f>EXP(-LN(2)/25)*AA177+(1-EXP(-LN(2)/25))/(LN(2)/25)*Calculateur!V178*Calculateur!X178*VLOOKUP('Données projet'!$B$9,Paramètres!$A$1:$I$89,3,0)*0.475*44/12</f>
        <v>0.48125335834038452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0.82893304812128865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1.7053025658242404E-13</v>
      </c>
      <c r="AJ178" s="13">
        <f>AI178*VLOOKUP('Données projet'!$B$10,Paramètres!$A$1:$I$89,3,0)*VLOOKUP('Données projet'!$B$10,Paramètres!$A$1:$I$89,5,0)</f>
        <v>7.9808160080574461E-14</v>
      </c>
      <c r="AK178" s="13">
        <f t="shared" si="164"/>
        <v>1.2308384591775343E-12</v>
      </c>
      <c r="AL178" s="20">
        <f t="shared" si="165"/>
        <v>2.282709528541206E-12</v>
      </c>
      <c r="AM178" s="59">
        <f t="shared" si="113"/>
        <v>293.33333333333559</v>
      </c>
      <c r="AN178" s="59">
        <f ca="1">AVERAGE(OFFSET($AM$3,0,0,'Données projet'!$E$10+1,1))-AVERAGE(OFFSET($H$3,0,0,'Données projet'!$E$10+1,1))</f>
        <v>337.10499990421835</v>
      </c>
      <c r="AO178" s="59">
        <f t="shared" si="144"/>
        <v>277.4254079562175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60.852884744275364</v>
      </c>
      <c r="AV178" s="21">
        <f>EXP(-LN(2)/25)*AV177+(1-EXP(-LN(2)/25))/(LN(2)/25)*Calculateur!AQ178*Calculateur!AS178*VLOOKUP('Données projet'!$B$10,Paramètres!$A$1:$I$89,3,0)*0.475*44/12</f>
        <v>13.26050979480104</v>
      </c>
      <c r="AW178" s="21">
        <f>EXP(-LN(2)/2)*AW177+(1-EXP(-LN(2)/2))/(LN(2)/2)*AQ178*AT178*VLOOKUP('Données projet'!$B$10,Paramètres!$A$1:$I$89,3,0)*0.475*44/12</f>
        <v>7.7268251596877134E-6</v>
      </c>
      <c r="AX178" s="21">
        <f t="shared" si="166"/>
        <v>74.11340226590157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-4.2632564145606011E-14</v>
      </c>
      <c r="O179" s="13">
        <f>N179*VLOOKUP('Données projet'!$B$9,Paramètres!$A$1:$I$89,3,0)*VLOOKUP('Données projet'!$B$9,Paramètres!$A$1:$I$89,5,0)</f>
        <v>-3.8573944038944318E-14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167.24886661350195</v>
      </c>
      <c r="T179" s="59">
        <f t="shared" si="142"/>
        <v>234.73100822629613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0.34086190312797177</v>
      </c>
      <c r="AA179" s="21">
        <f>EXP(-LN(2)/25)*AA178+(1-EXP(-LN(2)/25))/(LN(2)/25)*Calculateur!V179*Calculateur!X179*VLOOKUP('Données projet'!$B$9,Paramètres!$A$1:$I$89,3,0)*0.475*44/12</f>
        <v>0.4680934599485525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0.80895536307652427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1.7053025658242404E-13</v>
      </c>
      <c r="AJ179" s="13">
        <f>AI179*VLOOKUP('Données projet'!$B$10,Paramètres!$A$1:$I$89,3,0)*VLOOKUP('Données projet'!$B$10,Paramètres!$A$1:$I$89,5,0)</f>
        <v>7.9808160080574461E-14</v>
      </c>
      <c r="AK179" s="13">
        <f t="shared" si="164"/>
        <v>1.2308384591775343E-12</v>
      </c>
      <c r="AL179" s="20">
        <f t="shared" si="165"/>
        <v>2.282709528541206E-12</v>
      </c>
      <c r="AM179" s="59">
        <f t="shared" si="113"/>
        <v>293.33333333333559</v>
      </c>
      <c r="AN179" s="59">
        <f ca="1">AVERAGE(OFFSET($AM$3,0,0,'Données projet'!$E$10+1,1))-AVERAGE(OFFSET($H$3,0,0,'Données projet'!$E$10+1,1))</f>
        <v>337.10499990421835</v>
      </c>
      <c r="AO179" s="59">
        <f t="shared" si="144"/>
        <v>277.4254079562175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59.659596791034858</v>
      </c>
      <c r="AV179" s="21">
        <f>EXP(-LN(2)/25)*AV178+(1-EXP(-LN(2)/25))/(LN(2)/25)*Calculateur!AQ179*Calculateur!AS179*VLOOKUP('Données projet'!$B$10,Paramètres!$A$1:$I$89,3,0)*0.475*44/12</f>
        <v>12.897900457122303</v>
      </c>
      <c r="AW179" s="21">
        <f>EXP(-LN(2)/2)*AW178+(1-EXP(-LN(2)/2))/(LN(2)/2)*AQ179*AT179*VLOOKUP('Données projet'!$B$10,Paramètres!$A$1:$I$89,3,0)*0.475*44/12</f>
        <v>5.4636904674580103E-6</v>
      </c>
      <c r="AX179" s="21">
        <f t="shared" si="166"/>
        <v>72.557502711847633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-4.2632564145606011E-14</v>
      </c>
      <c r="O180" s="13">
        <f>N180*VLOOKUP('Données projet'!$B$9,Paramètres!$A$1:$I$89,3,0)*VLOOKUP('Données projet'!$B$9,Paramètres!$A$1:$I$89,5,0)</f>
        <v>-3.8573944038944318E-14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167.24886661350195</v>
      </c>
      <c r="T180" s="59">
        <f t="shared" si="142"/>
        <v>234.73100822629613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0.33417780911286421</v>
      </c>
      <c r="AA180" s="21">
        <f>EXP(-LN(2)/25)*AA179+(1-EXP(-LN(2)/25))/(LN(2)/25)*Calculateur!V180*Calculateur!X180*VLOOKUP('Données projet'!$B$9,Paramètres!$A$1:$I$89,3,0)*0.475*44/12</f>
        <v>0.45529341967029413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0.78947122878315834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1.7053025658242404E-13</v>
      </c>
      <c r="AJ180" s="13">
        <f>AI180*VLOOKUP('Données projet'!$B$10,Paramètres!$A$1:$I$89,3,0)*VLOOKUP('Données projet'!$B$10,Paramètres!$A$1:$I$89,5,0)</f>
        <v>7.9808160080574461E-14</v>
      </c>
      <c r="AK180" s="13">
        <f t="shared" si="164"/>
        <v>1.2308384591775343E-12</v>
      </c>
      <c r="AL180" s="20">
        <f t="shared" si="165"/>
        <v>2.282709528541206E-12</v>
      </c>
      <c r="AM180" s="59">
        <f t="shared" si="113"/>
        <v>293.33333333333559</v>
      </c>
      <c r="AN180" s="59">
        <f ca="1">AVERAGE(OFFSET($AM$3,0,0,'Données projet'!$E$10+1,1))-AVERAGE(OFFSET($H$3,0,0,'Données projet'!$E$10+1,1))</f>
        <v>337.10499990421835</v>
      </c>
      <c r="AO180" s="59">
        <f t="shared" si="144"/>
        <v>277.4254079562175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58.489708486723615</v>
      </c>
      <c r="AV180" s="21">
        <f>EXP(-LN(2)/25)*AV179+(1-EXP(-LN(2)/25))/(LN(2)/25)*Calculateur!AQ180*Calculateur!AS180*VLOOKUP('Données projet'!$B$10,Paramètres!$A$1:$I$89,3,0)*0.475*44/12</f>
        <v>12.545206690851186</v>
      </c>
      <c r="AW180" s="21">
        <f>EXP(-LN(2)/2)*AW179+(1-EXP(-LN(2)/2))/(LN(2)/2)*AQ180*AT180*VLOOKUP('Données projet'!$B$10,Paramètres!$A$1:$I$89,3,0)*0.475*44/12</f>
        <v>3.8634125798438567E-6</v>
      </c>
      <c r="AX180" s="21">
        <f t="shared" si="166"/>
        <v>71.034919040987376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-4.2632564145606011E-14</v>
      </c>
      <c r="O181" s="13">
        <f>N181*VLOOKUP('Données projet'!$B$9,Paramètres!$A$1:$I$89,3,0)*VLOOKUP('Données projet'!$B$9,Paramètres!$A$1:$I$89,5,0)</f>
        <v>-3.8573944038944318E-14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167.24886661350195</v>
      </c>
      <c r="T181" s="59">
        <f t="shared" si="142"/>
        <v>234.73100822629613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0.32762478610449813</v>
      </c>
      <c r="AA181" s="21">
        <f>EXP(-LN(2)/25)*AA180+(1-EXP(-LN(2)/25))/(LN(2)/25)*Calculateur!V181*Calculateur!X181*VLOOKUP('Données projet'!$B$9,Paramètres!$A$1:$I$89,3,0)*0.475*44/12</f>
        <v>0.44284339716656956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0.7704681832710677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1.7053025658242404E-13</v>
      </c>
      <c r="AJ181" s="13">
        <f>AI181*VLOOKUP('Données projet'!$B$10,Paramètres!$A$1:$I$89,3,0)*VLOOKUP('Données projet'!$B$10,Paramètres!$A$1:$I$89,5,0)</f>
        <v>7.9808160080574461E-14</v>
      </c>
      <c r="AK181" s="13">
        <f t="shared" si="164"/>
        <v>1.2308384591775343E-12</v>
      </c>
      <c r="AL181" s="20">
        <f t="shared" si="165"/>
        <v>2.282709528541206E-12</v>
      </c>
      <c r="AM181" s="59">
        <f t="shared" si="113"/>
        <v>293.33333333333559</v>
      </c>
      <c r="AN181" s="59">
        <f ca="1">AVERAGE(OFFSET($AM$3,0,0,'Données projet'!$E$10+1,1))-AVERAGE(OFFSET($H$3,0,0,'Données projet'!$E$10+1,1))</f>
        <v>337.10499990421835</v>
      </c>
      <c r="AO181" s="59">
        <f t="shared" si="144"/>
        <v>277.4254079562175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57.342760978498511</v>
      </c>
      <c r="AV181" s="21">
        <f>EXP(-LN(2)/25)*AV180+(1-EXP(-LN(2)/25))/(LN(2)/25)*Calculateur!AQ181*Calculateur!AS181*VLOOKUP('Données projet'!$B$10,Paramètres!$A$1:$I$89,3,0)*0.475*44/12</f>
        <v>12.202157354166113</v>
      </c>
      <c r="AW181" s="21">
        <f>EXP(-LN(2)/2)*AW180+(1-EXP(-LN(2)/2))/(LN(2)/2)*AQ181*AT181*VLOOKUP('Données projet'!$B$10,Paramètres!$A$1:$I$89,3,0)*0.475*44/12</f>
        <v>2.7318452337290052E-6</v>
      </c>
      <c r="AX181" s="21">
        <f t="shared" si="166"/>
        <v>69.54492106450985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-4.2632564145606011E-14</v>
      </c>
      <c r="O182" s="13">
        <f>N182*VLOOKUP('Données projet'!$B$9,Paramètres!$A$1:$I$89,3,0)*VLOOKUP('Données projet'!$B$9,Paramètres!$A$1:$I$89,5,0)</f>
        <v>-3.8573944038944318E-14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167.24886661350195</v>
      </c>
      <c r="T182" s="59">
        <f t="shared" si="142"/>
        <v>234.73100822629613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0.32120026388037676</v>
      </c>
      <c r="AA182" s="21">
        <f>EXP(-LN(2)/25)*AA181+(1-EXP(-LN(2)/25))/(LN(2)/25)*Calculateur!V182*Calculateur!X182*VLOOKUP('Données projet'!$B$9,Paramètres!$A$1:$I$89,3,0)*0.475*44/12</f>
        <v>0.43073382118292758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0.75193408506330428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1.7053025658242404E-13</v>
      </c>
      <c r="AJ182" s="13">
        <f>AI182*VLOOKUP('Données projet'!$B$10,Paramètres!$A$1:$I$89,3,0)*VLOOKUP('Données projet'!$B$10,Paramètres!$A$1:$I$89,5,0)</f>
        <v>7.9808160080574461E-14</v>
      </c>
      <c r="AK182" s="13">
        <f t="shared" si="164"/>
        <v>1.2308384591775343E-12</v>
      </c>
      <c r="AL182" s="20">
        <f t="shared" si="165"/>
        <v>2.282709528541206E-12</v>
      </c>
      <c r="AM182" s="59">
        <f t="shared" si="113"/>
        <v>293.33333333333559</v>
      </c>
      <c r="AN182" s="59">
        <f ca="1">AVERAGE(OFFSET($AM$3,0,0,'Données projet'!$E$10+1,1))-AVERAGE(OFFSET($H$3,0,0,'Données projet'!$E$10+1,1))</f>
        <v>337.10499990421835</v>
      </c>
      <c r="AO182" s="59">
        <f t="shared" si="144"/>
        <v>277.4254079562175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56.218304411340796</v>
      </c>
      <c r="AV182" s="21">
        <f>EXP(-LN(2)/25)*AV181+(1-EXP(-LN(2)/25))/(LN(2)/25)*Calculateur!AQ182*Calculateur!AS182*VLOOKUP('Données projet'!$B$10,Paramètres!$A$1:$I$89,3,0)*0.475*44/12</f>
        <v>11.868488719632873</v>
      </c>
      <c r="AW182" s="21">
        <f>EXP(-LN(2)/2)*AW181+(1-EXP(-LN(2)/2))/(LN(2)/2)*AQ182*AT182*VLOOKUP('Données projet'!$B$10,Paramètres!$A$1:$I$89,3,0)*0.475*44/12</f>
        <v>1.9317062899219284E-6</v>
      </c>
      <c r="AX182" s="21">
        <f t="shared" si="166"/>
        <v>68.086795062679968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-4.2632564145606011E-14</v>
      </c>
      <c r="O183" s="13">
        <f>N183*VLOOKUP('Données projet'!$B$9,Paramètres!$A$1:$I$89,3,0)*VLOOKUP('Données projet'!$B$9,Paramètres!$A$1:$I$89,5,0)</f>
        <v>-3.8573944038944318E-14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167.24886661350195</v>
      </c>
      <c r="T183" s="59">
        <f t="shared" si="142"/>
        <v>234.73100822629613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0.31490172261849875</v>
      </c>
      <c r="AA183" s="21">
        <f>EXP(-LN(2)/25)*AA182+(1-EXP(-LN(2)/25))/(LN(2)/25)*Calculateur!V183*Calculateur!X183*VLOOKUP('Données projet'!$B$9,Paramètres!$A$1:$I$89,3,0)*0.475*44/12</f>
        <v>0.41895538219137324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0.73385710480987199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1.7053025658242404E-13</v>
      </c>
      <c r="AJ183" s="13">
        <f>AI183*VLOOKUP('Données projet'!$B$10,Paramètres!$A$1:$I$89,3,0)*VLOOKUP('Données projet'!$B$10,Paramètres!$A$1:$I$89,5,0)</f>
        <v>7.9808160080574461E-14</v>
      </c>
      <c r="AK183" s="13">
        <f t="shared" si="164"/>
        <v>1.2308384591775343E-12</v>
      </c>
      <c r="AL183" s="20">
        <f t="shared" si="165"/>
        <v>2.282709528541206E-12</v>
      </c>
      <c r="AM183" s="59">
        <f t="shared" si="113"/>
        <v>293.33333333333559</v>
      </c>
      <c r="AN183" s="59">
        <f ca="1">AVERAGE(OFFSET($AM$3,0,0,'Données projet'!$E$10+1,1))-AVERAGE(OFFSET($H$3,0,0,'Données projet'!$E$10+1,1))</f>
        <v>337.10499990421835</v>
      </c>
      <c r="AO183" s="59">
        <f t="shared" si="144"/>
        <v>277.4254079562175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55.115897751614263</v>
      </c>
      <c r="AV183" s="21">
        <f>EXP(-LN(2)/25)*AV182+(1-EXP(-LN(2)/25))/(LN(2)/25)*Calculateur!AQ183*Calculateur!AS183*VLOOKUP('Données projet'!$B$10,Paramètres!$A$1:$I$89,3,0)*0.475*44/12</f>
        <v>11.543944271457816</v>
      </c>
      <c r="AW183" s="21">
        <f>EXP(-LN(2)/2)*AW182+(1-EXP(-LN(2)/2))/(LN(2)/2)*AQ183*AT183*VLOOKUP('Données projet'!$B$10,Paramètres!$A$1:$I$89,3,0)*0.475*44/12</f>
        <v>1.3659226168645026E-6</v>
      </c>
      <c r="AX183" s="21">
        <f t="shared" si="166"/>
        <v>66.659843388994688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-4.2632564145606011E-14</v>
      </c>
      <c r="O184" s="13">
        <f>N184*VLOOKUP('Données projet'!$B$9,Paramètres!$A$1:$I$89,3,0)*VLOOKUP('Données projet'!$B$9,Paramètres!$A$1:$I$89,5,0)</f>
        <v>-3.8573944038944318E-14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167.24886661350195</v>
      </c>
      <c r="T184" s="59">
        <f t="shared" si="142"/>
        <v>234.73100822629613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0.30872669190903534</v>
      </c>
      <c r="AA184" s="21">
        <f>EXP(-LN(2)/25)*AA183+(1-EXP(-LN(2)/25))/(LN(2)/25)*Calculateur!V184*Calculateur!X184*VLOOKUP('Données projet'!$B$9,Paramètres!$A$1:$I$89,3,0)*0.475*44/12</f>
        <v>0.40749902523344411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0.71622571714247951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1.7053025658242404E-13</v>
      </c>
      <c r="AJ184" s="13">
        <f>AI184*VLOOKUP('Données projet'!$B$10,Paramètres!$A$1:$I$89,3,0)*VLOOKUP('Données projet'!$B$10,Paramètres!$A$1:$I$89,5,0)</f>
        <v>7.9808160080574461E-14</v>
      </c>
      <c r="AK184" s="13">
        <f t="shared" si="164"/>
        <v>1.2308384591775343E-12</v>
      </c>
      <c r="AL184" s="20">
        <f t="shared" si="165"/>
        <v>2.282709528541206E-12</v>
      </c>
      <c r="AM184" s="59">
        <f t="shared" si="113"/>
        <v>293.33333333333559</v>
      </c>
      <c r="AN184" s="59">
        <f ca="1">AVERAGE(OFFSET($AM$3,0,0,'Données projet'!$E$10+1,1))-AVERAGE(OFFSET($H$3,0,0,'Données projet'!$E$10+1,1))</f>
        <v>337.10499990421835</v>
      </c>
      <c r="AO184" s="59">
        <f t="shared" si="144"/>
        <v>277.4254079562175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54.035108614083292</v>
      </c>
      <c r="AV184" s="21">
        <f>EXP(-LN(2)/25)*AV183+(1-EXP(-LN(2)/25))/(LN(2)/25)*Calculateur!AQ184*Calculateur!AS184*VLOOKUP('Données projet'!$B$10,Paramètres!$A$1:$I$89,3,0)*0.475*44/12</f>
        <v>11.228274508285157</v>
      </c>
      <c r="AW184" s="21">
        <f>EXP(-LN(2)/2)*AW183+(1-EXP(-LN(2)/2))/(LN(2)/2)*AQ184*AT184*VLOOKUP('Données projet'!$B$10,Paramètres!$A$1:$I$89,3,0)*0.475*44/12</f>
        <v>9.6585314496096418E-7</v>
      </c>
      <c r="AX184" s="21">
        <f t="shared" si="166"/>
        <v>65.263384088221599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-4.2632564145606011E-14</v>
      </c>
      <c r="O185" s="13">
        <f>N185*VLOOKUP('Données projet'!$B$9,Paramètres!$A$1:$I$89,3,0)*VLOOKUP('Données projet'!$B$9,Paramètres!$A$1:$I$89,5,0)</f>
        <v>-3.8573944038944318E-14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167.24886661350195</v>
      </c>
      <c r="T185" s="59">
        <f t="shared" si="142"/>
        <v>234.73100822629613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0.30267274978538766</v>
      </c>
      <c r="AA185" s="21">
        <f>EXP(-LN(2)/25)*AA184+(1-EXP(-LN(2)/25))/(LN(2)/25)*Calculateur!V185*Calculateur!X185*VLOOKUP('Données projet'!$B$9,Paramètres!$A$1:$I$89,3,0)*0.475*44/12</f>
        <v>0.39635594295899318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0.69902869274438084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1.7053025658242404E-13</v>
      </c>
      <c r="AJ185" s="13">
        <f>AI185*VLOOKUP('Données projet'!$B$10,Paramètres!$A$1:$I$89,3,0)*VLOOKUP('Données projet'!$B$10,Paramètres!$A$1:$I$89,5,0)</f>
        <v>7.9808160080574461E-14</v>
      </c>
      <c r="AK185" s="13">
        <f t="shared" si="164"/>
        <v>1.2308384591775343E-12</v>
      </c>
      <c r="AL185" s="20">
        <f t="shared" si="165"/>
        <v>2.282709528541206E-12</v>
      </c>
      <c r="AM185" s="59">
        <f t="shared" si="113"/>
        <v>293.33333333333559</v>
      </c>
      <c r="AN185" s="59">
        <f ca="1">AVERAGE(OFFSET($AM$3,0,0,'Données projet'!$E$10+1,1))-AVERAGE(OFFSET($H$3,0,0,'Données projet'!$E$10+1,1))</f>
        <v>337.10499990421835</v>
      </c>
      <c r="AO185" s="59">
        <f t="shared" si="144"/>
        <v>277.4254079562175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52.975513092323027</v>
      </c>
      <c r="AV185" s="21">
        <f>EXP(-LN(2)/25)*AV184+(1-EXP(-LN(2)/25))/(LN(2)/25)*Calculateur!AQ185*Calculateur!AS185*VLOOKUP('Données projet'!$B$10,Paramètres!$A$1:$I$89,3,0)*0.475*44/12</f>
        <v>10.921236751386806</v>
      </c>
      <c r="AW185" s="21">
        <f>EXP(-LN(2)/2)*AW184+(1-EXP(-LN(2)/2))/(LN(2)/2)*AQ185*AT185*VLOOKUP('Données projet'!$B$10,Paramètres!$A$1:$I$89,3,0)*0.475*44/12</f>
        <v>6.8296130843225129E-7</v>
      </c>
      <c r="AX185" s="21">
        <f t="shared" si="166"/>
        <v>63.896750526671141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-4.2632564145606011E-14</v>
      </c>
      <c r="O186" s="13">
        <f>N186*VLOOKUP('Données projet'!$B$9,Paramètres!$A$1:$I$89,3,0)*VLOOKUP('Données projet'!$B$9,Paramètres!$A$1:$I$89,5,0)</f>
        <v>-3.8573944038944318E-14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167.24886661350195</v>
      </c>
      <c r="T186" s="59">
        <f t="shared" si="142"/>
        <v>234.73100822629613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0.29673752177424462</v>
      </c>
      <c r="AA186" s="21">
        <f>EXP(-LN(2)/25)*AA185+(1-EXP(-LN(2)/25))/(LN(2)/25)*Calculateur!V186*Calculateur!X186*VLOOKUP('Données projet'!$B$9,Paramètres!$A$1:$I$89,3,0)*0.475*44/12</f>
        <v>0.38551756885532634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0.68225509062957101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1.7053025658242404E-13</v>
      </c>
      <c r="AJ186" s="13">
        <f>AI186*VLOOKUP('Données projet'!$B$10,Paramètres!$A$1:$I$89,3,0)*VLOOKUP('Données projet'!$B$10,Paramètres!$A$1:$I$89,5,0)</f>
        <v>7.9808160080574461E-14</v>
      </c>
      <c r="AK186" s="13">
        <f t="shared" si="164"/>
        <v>1.2308384591775343E-12</v>
      </c>
      <c r="AL186" s="20">
        <f t="shared" si="165"/>
        <v>2.282709528541206E-12</v>
      </c>
      <c r="AM186" s="59">
        <f t="shared" si="113"/>
        <v>293.33333333333559</v>
      </c>
      <c r="AN186" s="59">
        <f ca="1">AVERAGE(OFFSET($AM$3,0,0,'Données projet'!$E$10+1,1))-AVERAGE(OFFSET($H$3,0,0,'Données projet'!$E$10+1,1))</f>
        <v>337.10499990421835</v>
      </c>
      <c r="AO186" s="59">
        <f t="shared" si="144"/>
        <v>277.4254079562175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51.936695592455024</v>
      </c>
      <c r="AV186" s="21">
        <f>EXP(-LN(2)/25)*AV185+(1-EXP(-LN(2)/25))/(LN(2)/25)*Calculateur!AQ186*Calculateur!AS186*VLOOKUP('Données projet'!$B$10,Paramètres!$A$1:$I$89,3,0)*0.475*44/12</f>
        <v>10.622594958097254</v>
      </c>
      <c r="AW186" s="21">
        <f>EXP(-LN(2)/2)*AW185+(1-EXP(-LN(2)/2))/(LN(2)/2)*AQ186*AT186*VLOOKUP('Données projet'!$B$10,Paramètres!$A$1:$I$89,3,0)*0.475*44/12</f>
        <v>4.8292657248048209E-7</v>
      </c>
      <c r="AX186" s="21">
        <f t="shared" si="166"/>
        <v>62.55929103347885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-4.2632564145606011E-14</v>
      </c>
      <c r="O187" s="13">
        <f>N187*VLOOKUP('Données projet'!$B$9,Paramètres!$A$1:$I$89,3,0)*VLOOKUP('Données projet'!$B$9,Paramètres!$A$1:$I$89,5,0)</f>
        <v>-3.8573944038944318E-14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167.24886661350195</v>
      </c>
      <c r="T187" s="59">
        <f t="shared" si="142"/>
        <v>234.73100822629613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0.29091867996426851</v>
      </c>
      <c r="AA187" s="21">
        <f>EXP(-LN(2)/25)*AA186+(1-EXP(-LN(2)/25))/(LN(2)/25)*Calculateur!V187*Calculateur!X187*VLOOKUP('Données projet'!$B$9,Paramètres!$A$1:$I$89,3,0)*0.475*44/12</f>
        <v>0.37497557066148962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0.66589425062575813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1.7053025658242404E-13</v>
      </c>
      <c r="AJ187" s="13">
        <f>AI187*VLOOKUP('Données projet'!$B$10,Paramètres!$A$1:$I$89,3,0)*VLOOKUP('Données projet'!$B$10,Paramètres!$A$1:$I$89,5,0)</f>
        <v>7.9808160080574461E-14</v>
      </c>
      <c r="AK187" s="13">
        <f t="shared" si="164"/>
        <v>1.2308384591775343E-12</v>
      </c>
      <c r="AL187" s="20">
        <f t="shared" si="165"/>
        <v>2.282709528541206E-12</v>
      </c>
      <c r="AM187" s="59">
        <f t="shared" si="113"/>
        <v>293.33333333333559</v>
      </c>
      <c r="AN187" s="59">
        <f ca="1">AVERAGE(OFFSET($AM$3,0,0,'Données projet'!$E$10+1,1))-AVERAGE(OFFSET($H$3,0,0,'Données projet'!$E$10+1,1))</f>
        <v>337.10499990421835</v>
      </c>
      <c r="AO187" s="59">
        <f t="shared" si="144"/>
        <v>277.4254079562175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50.918248670143328</v>
      </c>
      <c r="AV187" s="21">
        <f>EXP(-LN(2)/25)*AV186+(1-EXP(-LN(2)/25))/(LN(2)/25)*Calculateur!AQ187*Calculateur!AS187*VLOOKUP('Données projet'!$B$10,Paramètres!$A$1:$I$89,3,0)*0.475*44/12</f>
        <v>10.332119540350094</v>
      </c>
      <c r="AW187" s="21">
        <f>EXP(-LN(2)/2)*AW186+(1-EXP(-LN(2)/2))/(LN(2)/2)*AQ187*AT187*VLOOKUP('Données projet'!$B$10,Paramètres!$A$1:$I$89,3,0)*0.475*44/12</f>
        <v>3.4148065421612565E-7</v>
      </c>
      <c r="AX187" s="21">
        <f t="shared" si="166"/>
        <v>61.250368551974077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-4.2632564145606011E-14</v>
      </c>
      <c r="O188" s="13">
        <f>N188*VLOOKUP('Données projet'!$B$9,Paramètres!$A$1:$I$89,3,0)*VLOOKUP('Données projet'!$B$9,Paramètres!$A$1:$I$89,5,0)</f>
        <v>-3.8573944038944318E-14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167.24886661350195</v>
      </c>
      <c r="T188" s="59">
        <f t="shared" si="142"/>
        <v>234.73100822629613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0.28521394209304296</v>
      </c>
      <c r="AA188" s="21">
        <f>EXP(-LN(2)/25)*AA187+(1-EXP(-LN(2)/25))/(LN(2)/25)*Calculateur!V188*Calculateur!X188*VLOOKUP('Données projet'!$B$9,Paramètres!$A$1:$I$89,3,0)*0.475*44/12</f>
        <v>0.36472184396264296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0.64993578605568592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1.7053025658242404E-13</v>
      </c>
      <c r="AJ188" s="13">
        <f>AI188*VLOOKUP('Données projet'!$B$10,Paramètres!$A$1:$I$89,3,0)*VLOOKUP('Données projet'!$B$10,Paramètres!$A$1:$I$89,5,0)</f>
        <v>7.9808160080574461E-14</v>
      </c>
      <c r="AK188" s="13">
        <f t="shared" si="164"/>
        <v>1.2308384591775343E-12</v>
      </c>
      <c r="AL188" s="20">
        <f t="shared" si="165"/>
        <v>2.282709528541206E-12</v>
      </c>
      <c r="AM188" s="59">
        <f t="shared" si="113"/>
        <v>293.33333333333559</v>
      </c>
      <c r="AN188" s="59">
        <f ca="1">AVERAGE(OFFSET($AM$3,0,0,'Données projet'!$E$10+1,1))-AVERAGE(OFFSET($H$3,0,0,'Données projet'!$E$10+1,1))</f>
        <v>337.10499990421835</v>
      </c>
      <c r="AO188" s="59">
        <f t="shared" si="144"/>
        <v>277.4254079562175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49.919772870786872</v>
      </c>
      <c r="AV188" s="21">
        <f>EXP(-LN(2)/25)*AV187+(1-EXP(-LN(2)/25))/(LN(2)/25)*Calculateur!AQ188*Calculateur!AS188*VLOOKUP('Données projet'!$B$10,Paramètres!$A$1:$I$89,3,0)*0.475*44/12</f>
        <v>10.049587188176668</v>
      </c>
      <c r="AW188" s="21">
        <f>EXP(-LN(2)/2)*AW187+(1-EXP(-LN(2)/2))/(LN(2)/2)*AQ188*AT188*VLOOKUP('Données projet'!$B$10,Paramètres!$A$1:$I$89,3,0)*0.475*44/12</f>
        <v>2.4146328624024104E-7</v>
      </c>
      <c r="AX188" s="21">
        <f t="shared" si="166"/>
        <v>59.969360300426821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-4.2632564145606011E-14</v>
      </c>
      <c r="O189" s="13">
        <f>N189*VLOOKUP('Données projet'!$B$9,Paramètres!$A$1:$I$89,3,0)*VLOOKUP('Données projet'!$B$9,Paramètres!$A$1:$I$89,5,0)</f>
        <v>-3.8573944038944318E-14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167.24886661350195</v>
      </c>
      <c r="T189" s="59">
        <f t="shared" si="142"/>
        <v>234.73100822629613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0.2796210706519256</v>
      </c>
      <c r="AA189" s="21">
        <f>EXP(-LN(2)/25)*AA188+(1-EXP(-LN(2)/25))/(LN(2)/25)*Calculateur!V189*Calculateur!X189*VLOOKUP('Données projet'!$B$9,Paramètres!$A$1:$I$89,3,0)*0.475*44/12</f>
        <v>0.35474850595959628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0.63436957661152182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1.7053025658242404E-13</v>
      </c>
      <c r="AJ189" s="13">
        <f>AI189*VLOOKUP('Données projet'!$B$10,Paramètres!$A$1:$I$89,3,0)*VLOOKUP('Données projet'!$B$10,Paramètres!$A$1:$I$89,5,0)</f>
        <v>7.9808160080574461E-14</v>
      </c>
      <c r="AK189" s="13">
        <f t="shared" si="164"/>
        <v>1.2308384591775343E-12</v>
      </c>
      <c r="AL189" s="20">
        <f t="shared" si="165"/>
        <v>2.282709528541206E-12</v>
      </c>
      <c r="AM189" s="59">
        <f t="shared" si="113"/>
        <v>293.33333333333559</v>
      </c>
      <c r="AN189" s="59">
        <f ca="1">AVERAGE(OFFSET($AM$3,0,0,'Données projet'!$E$10+1,1))-AVERAGE(OFFSET($H$3,0,0,'Données projet'!$E$10+1,1))</f>
        <v>337.10499990421835</v>
      </c>
      <c r="AO189" s="59">
        <f t="shared" si="144"/>
        <v>277.4254079562175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48.940876572845696</v>
      </c>
      <c r="AV189" s="21">
        <f>EXP(-LN(2)/25)*AV188+(1-EXP(-LN(2)/25))/(LN(2)/25)*Calculateur!AQ189*Calculateur!AS189*VLOOKUP('Données projet'!$B$10,Paramètres!$A$1:$I$89,3,0)*0.475*44/12</f>
        <v>9.7747806980311545</v>
      </c>
      <c r="AW189" s="21">
        <f>EXP(-LN(2)/2)*AW188+(1-EXP(-LN(2)/2))/(LN(2)/2)*AQ189*AT189*VLOOKUP('Données projet'!$B$10,Paramètres!$A$1:$I$89,3,0)*0.475*44/12</f>
        <v>1.7074032710806282E-7</v>
      </c>
      <c r="AX189" s="21">
        <f t="shared" si="166"/>
        <v>58.715657441617175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-4.2632564145606011E-14</v>
      </c>
      <c r="O190" s="13">
        <f>N190*VLOOKUP('Données projet'!$B$9,Paramètres!$A$1:$I$89,3,0)*VLOOKUP('Données projet'!$B$9,Paramètres!$A$1:$I$89,5,0)</f>
        <v>-3.8573944038944318E-14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167.24886661350195</v>
      </c>
      <c r="T190" s="59">
        <f t="shared" si="142"/>
        <v>234.73100822629613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0.2741378720084538</v>
      </c>
      <c r="AA190" s="21">
        <f>EXP(-LN(2)/25)*AA189+(1-EXP(-LN(2)/25))/(LN(2)/25)*Calculateur!V190*Calculateur!X190*VLOOKUP('Données projet'!$B$9,Paramètres!$A$1:$I$89,3,0)*0.475*44/12</f>
        <v>0.345047889408718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0.61918576141717185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1.7053025658242404E-13</v>
      </c>
      <c r="AJ190" s="13">
        <f>AI190*VLOOKUP('Données projet'!$B$10,Paramètres!$A$1:$I$89,3,0)*VLOOKUP('Données projet'!$B$10,Paramètres!$A$1:$I$89,5,0)</f>
        <v>7.9808160080574461E-14</v>
      </c>
      <c r="AK190" s="13">
        <f t="shared" si="164"/>
        <v>1.2308384591775343E-12</v>
      </c>
      <c r="AL190" s="20">
        <f t="shared" si="165"/>
        <v>2.282709528541206E-12</v>
      </c>
      <c r="AM190" s="59">
        <f t="shared" si="113"/>
        <v>293.33333333333559</v>
      </c>
      <c r="AN190" s="59">
        <f ca="1">AVERAGE(OFFSET($AM$3,0,0,'Données projet'!$E$10+1,1))-AVERAGE(OFFSET($H$3,0,0,'Données projet'!$E$10+1,1))</f>
        <v>337.10499990421835</v>
      </c>
      <c r="AO190" s="59">
        <f t="shared" si="144"/>
        <v>277.4254079562175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47.981175834239359</v>
      </c>
      <c r="AV190" s="21">
        <f>EXP(-LN(2)/25)*AV189+(1-EXP(-LN(2)/25))/(LN(2)/25)*Calculateur!AQ190*Calculateur!AS190*VLOOKUP('Données projet'!$B$10,Paramètres!$A$1:$I$89,3,0)*0.475*44/12</f>
        <v>9.5074888058101159</v>
      </c>
      <c r="AW190" s="21">
        <f>EXP(-LN(2)/2)*AW189+(1-EXP(-LN(2)/2))/(LN(2)/2)*AQ190*AT190*VLOOKUP('Données projet'!$B$10,Paramètres!$A$1:$I$89,3,0)*0.475*44/12</f>
        <v>1.2073164312012052E-7</v>
      </c>
      <c r="AX190" s="21">
        <f t="shared" si="166"/>
        <v>57.48866476078112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-4.2632564145606011E-14</v>
      </c>
      <c r="O191" s="13">
        <f>N191*VLOOKUP('Données projet'!$B$9,Paramètres!$A$1:$I$89,3,0)*VLOOKUP('Données projet'!$B$9,Paramètres!$A$1:$I$89,5,0)</f>
        <v>-3.8573944038944318E-14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167.24886661350195</v>
      </c>
      <c r="T191" s="59">
        <f t="shared" si="142"/>
        <v>234.73100822629613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0.26876219554595959</v>
      </c>
      <c r="AA191" s="21">
        <f>EXP(-LN(2)/25)*AA190+(1-EXP(-LN(2)/25))/(LN(2)/25)*Calculateur!V191*Calculateur!X191*VLOOKUP('Données projet'!$B$9,Paramètres!$A$1:$I$89,3,0)*0.475*44/12</f>
        <v>0.3356125367275567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0.60437473227351624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1.7053025658242404E-13</v>
      </c>
      <c r="AJ191" s="13">
        <f>AI191*VLOOKUP('Données projet'!$B$10,Paramètres!$A$1:$I$89,3,0)*VLOOKUP('Données projet'!$B$10,Paramètres!$A$1:$I$89,5,0)</f>
        <v>7.9808160080574461E-14</v>
      </c>
      <c r="AK191" s="13">
        <f t="shared" si="164"/>
        <v>1.2308384591775343E-12</v>
      </c>
      <c r="AL191" s="20">
        <f t="shared" si="165"/>
        <v>2.282709528541206E-12</v>
      </c>
      <c r="AM191" s="59">
        <f t="shared" si="113"/>
        <v>293.33333333333559</v>
      </c>
      <c r="AN191" s="59">
        <f ca="1">AVERAGE(OFFSET($AM$3,0,0,'Données projet'!$E$10+1,1))-AVERAGE(OFFSET($H$3,0,0,'Données projet'!$E$10+1,1))</f>
        <v>337.10499990421835</v>
      </c>
      <c r="AO191" s="59">
        <f t="shared" si="144"/>
        <v>277.4254079562175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47.040294241757444</v>
      </c>
      <c r="AV191" s="21">
        <f>EXP(-LN(2)/25)*AV190+(1-EXP(-LN(2)/25))/(LN(2)/25)*Calculateur!AQ191*Calculateur!AS191*VLOOKUP('Données projet'!$B$10,Paramètres!$A$1:$I$89,3,0)*0.475*44/12</f>
        <v>9.2475060244381311</v>
      </c>
      <c r="AW191" s="21">
        <f>EXP(-LN(2)/2)*AW190+(1-EXP(-LN(2)/2))/(LN(2)/2)*AQ191*AT191*VLOOKUP('Données projet'!$B$10,Paramètres!$A$1:$I$89,3,0)*0.475*44/12</f>
        <v>8.5370163554031411E-8</v>
      </c>
      <c r="AX191" s="21">
        <f t="shared" si="166"/>
        <v>56.287800351565735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-4.2632564145606011E-14</v>
      </c>
      <c r="O192" s="13">
        <f>N192*VLOOKUP('Données projet'!$B$9,Paramètres!$A$1:$I$89,3,0)*VLOOKUP('Données projet'!$B$9,Paramètres!$A$1:$I$89,5,0)</f>
        <v>-3.8573944038944318E-14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167.24886661350195</v>
      </c>
      <c r="T192" s="59">
        <f t="shared" si="142"/>
        <v>234.73100822629613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0.26349193282005601</v>
      </c>
      <c r="AA192" s="21">
        <f>EXP(-LN(2)/25)*AA191+(1-EXP(-LN(2)/25))/(LN(2)/25)*Calculateur!V192*Calculateur!X192*VLOOKUP('Données projet'!$B$9,Paramètres!$A$1:$I$89,3,0)*0.475*44/12</f>
        <v>0.32643519426164541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0.58992712708170147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1.7053025658242404E-13</v>
      </c>
      <c r="AJ192" s="13">
        <f>AI192*VLOOKUP('Données projet'!$B$10,Paramètres!$A$1:$I$89,3,0)*VLOOKUP('Données projet'!$B$10,Paramètres!$A$1:$I$89,5,0)</f>
        <v>7.9808160080574461E-14</v>
      </c>
      <c r="AK192" s="13">
        <f t="shared" si="164"/>
        <v>1.2308384591775343E-12</v>
      </c>
      <c r="AL192" s="20">
        <f t="shared" si="165"/>
        <v>2.282709528541206E-12</v>
      </c>
      <c r="AM192" s="59">
        <f t="shared" si="113"/>
        <v>293.33333333333559</v>
      </c>
      <c r="AN192" s="59">
        <f ca="1">AVERAGE(OFFSET($AM$3,0,0,'Données projet'!$E$10+1,1))-AVERAGE(OFFSET($H$3,0,0,'Données projet'!$E$10+1,1))</f>
        <v>337.10499990421835</v>
      </c>
      <c r="AO192" s="59">
        <f t="shared" si="144"/>
        <v>277.4254079562175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46.117862763422991</v>
      </c>
      <c r="AV192" s="21">
        <f>EXP(-LN(2)/25)*AV191+(1-EXP(-LN(2)/25))/(LN(2)/25)*Calculateur!AQ192*Calculateur!AS192*VLOOKUP('Données projet'!$B$10,Paramètres!$A$1:$I$89,3,0)*0.475*44/12</f>
        <v>8.9946324858946642</v>
      </c>
      <c r="AW192" s="21">
        <f>EXP(-LN(2)/2)*AW191+(1-EXP(-LN(2)/2))/(LN(2)/2)*AQ192*AT192*VLOOKUP('Données projet'!$B$10,Paramètres!$A$1:$I$89,3,0)*0.475*44/12</f>
        <v>6.0365821560060261E-8</v>
      </c>
      <c r="AX192" s="21">
        <f t="shared" si="166"/>
        <v>55.112495309683474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-4.2632564145606011E-14</v>
      </c>
      <c r="O193" s="13">
        <f>N193*VLOOKUP('Données projet'!$B$9,Paramètres!$A$1:$I$89,3,0)*VLOOKUP('Données projet'!$B$9,Paramètres!$A$1:$I$89,5,0)</f>
        <v>-3.8573944038944318E-14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167.24886661350195</v>
      </c>
      <c r="T193" s="59">
        <f t="shared" si="142"/>
        <v>234.73100822629613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0.25832501673166453</v>
      </c>
      <c r="AA193" s="21">
        <f>EXP(-LN(2)/25)*AA192+(1-EXP(-LN(2)/25))/(LN(2)/25)*Calculateur!V193*Calculateur!X193*VLOOKUP('Données projet'!$B$9,Paramètres!$A$1:$I$89,3,0)*0.475*44/12</f>
        <v>0.3175088067080799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0.57583382343974443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1.7053025658242404E-13</v>
      </c>
      <c r="AJ193" s="13">
        <f>AI193*VLOOKUP('Données projet'!$B$10,Paramètres!$A$1:$I$89,3,0)*VLOOKUP('Données projet'!$B$10,Paramètres!$A$1:$I$89,5,0)</f>
        <v>7.9808160080574461E-14</v>
      </c>
      <c r="AK193" s="13">
        <f t="shared" si="164"/>
        <v>1.2308384591775343E-12</v>
      </c>
      <c r="AL193" s="20">
        <f t="shared" si="165"/>
        <v>2.282709528541206E-12</v>
      </c>
      <c r="AM193" s="59">
        <f t="shared" si="113"/>
        <v>293.33333333333559</v>
      </c>
      <c r="AN193" s="59">
        <f ca="1">AVERAGE(OFFSET($AM$3,0,0,'Données projet'!$E$10+1,1))-AVERAGE(OFFSET($H$3,0,0,'Données projet'!$E$10+1,1))</f>
        <v>337.10499990421835</v>
      </c>
      <c r="AO193" s="59">
        <f t="shared" si="144"/>
        <v>277.4254079562175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45.213519603751031</v>
      </c>
      <c r="AV193" s="21">
        <f>EXP(-LN(2)/25)*AV192+(1-EXP(-LN(2)/25))/(LN(2)/25)*Calculateur!AQ193*Calculateur!AS193*VLOOKUP('Données projet'!$B$10,Paramètres!$A$1:$I$89,3,0)*0.475*44/12</f>
        <v>8.7486737875607101</v>
      </c>
      <c r="AW193" s="21">
        <f>EXP(-LN(2)/2)*AW192+(1-EXP(-LN(2)/2))/(LN(2)/2)*AQ193*AT193*VLOOKUP('Données projet'!$B$10,Paramètres!$A$1:$I$89,3,0)*0.475*44/12</f>
        <v>4.2685081777015706E-8</v>
      </c>
      <c r="AX193" s="21">
        <f t="shared" si="166"/>
        <v>53.962193433996823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-4.2632564145606011E-14</v>
      </c>
      <c r="O194" s="13">
        <f>N194*VLOOKUP('Données projet'!$B$9,Paramètres!$A$1:$I$89,3,0)*VLOOKUP('Données projet'!$B$9,Paramètres!$A$1:$I$89,5,0)</f>
        <v>-3.8573944038944318E-14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167.24886661350195</v>
      </c>
      <c r="T194" s="59">
        <f t="shared" si="142"/>
        <v>234.73100822629613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0.25325942071625879</v>
      </c>
      <c r="AA194" s="21">
        <f>EXP(-LN(2)/25)*AA193+(1-EXP(-LN(2)/25))/(LN(2)/25)*Calculateur!V194*Calculateur!X194*VLOOKUP('Données projet'!$B$9,Paramètres!$A$1:$I$89,3,0)*0.475*44/12</f>
        <v>0.30882651169158498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0.56208593240784377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1.7053025658242404E-13</v>
      </c>
      <c r="AJ194" s="13">
        <f>AI194*VLOOKUP('Données projet'!$B$10,Paramètres!$A$1:$I$89,3,0)*VLOOKUP('Données projet'!$B$10,Paramètres!$A$1:$I$89,5,0)</f>
        <v>7.9808160080574461E-14</v>
      </c>
      <c r="AK194" s="13">
        <f t="shared" si="164"/>
        <v>1.2308384591775343E-12</v>
      </c>
      <c r="AL194" s="20">
        <f t="shared" si="165"/>
        <v>2.282709528541206E-12</v>
      </c>
      <c r="AM194" s="59">
        <f t="shared" si="113"/>
        <v>293.33333333333559</v>
      </c>
      <c r="AN194" s="59">
        <f ca="1">AVERAGE(OFFSET($AM$3,0,0,'Données projet'!$E$10+1,1))-AVERAGE(OFFSET($H$3,0,0,'Données projet'!$E$10+1,1))</f>
        <v>337.10499990421835</v>
      </c>
      <c r="AO194" s="59">
        <f t="shared" si="144"/>
        <v>277.4254079562175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44.326910061845375</v>
      </c>
      <c r="AV194" s="21">
        <f>EXP(-LN(2)/25)*AV193+(1-EXP(-LN(2)/25))/(LN(2)/25)*Calculateur!AQ194*Calculateur!AS194*VLOOKUP('Données projet'!$B$10,Paramètres!$A$1:$I$89,3,0)*0.475*44/12</f>
        <v>8.5094408427671038</v>
      </c>
      <c r="AW194" s="21">
        <f>EXP(-LN(2)/2)*AW193+(1-EXP(-LN(2)/2))/(LN(2)/2)*AQ194*AT194*VLOOKUP('Données projet'!$B$10,Paramètres!$A$1:$I$89,3,0)*0.475*44/12</f>
        <v>3.0182910780030131E-8</v>
      </c>
      <c r="AX194" s="21">
        <f t="shared" si="166"/>
        <v>52.836350934795391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-4.2632564145606011E-14</v>
      </c>
      <c r="O195" s="13">
        <f>N195*VLOOKUP('Données projet'!$B$9,Paramètres!$A$1:$I$89,3,0)*VLOOKUP('Données projet'!$B$9,Paramètres!$A$1:$I$89,5,0)</f>
        <v>-3.8573944038944318E-14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167.24886661350195</v>
      </c>
      <c r="T195" s="59">
        <f t="shared" si="142"/>
        <v>234.73100822629613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0.24829315794900664</v>
      </c>
      <c r="AA195" s="21">
        <f>EXP(-LN(2)/25)*AA194+(1-EXP(-LN(2)/25))/(LN(2)/25)*Calculateur!V195*Calculateur!X195*VLOOKUP('Données projet'!$B$9,Paramètres!$A$1:$I$89,3,0)*0.475*44/12</f>
        <v>0.30038163448889815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0.54867479243790473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1.7053025658242404E-13</v>
      </c>
      <c r="AJ195" s="13">
        <f>AI195*VLOOKUP('Données projet'!$B$10,Paramètres!$A$1:$I$89,3,0)*VLOOKUP('Données projet'!$B$10,Paramètres!$A$1:$I$89,5,0)</f>
        <v>7.9808160080574461E-14</v>
      </c>
      <c r="AK195" s="13">
        <f t="shared" si="164"/>
        <v>1.2308384591775343E-12</v>
      </c>
      <c r="AL195" s="20">
        <f t="shared" si="165"/>
        <v>2.282709528541206E-12</v>
      </c>
      <c r="AM195" s="59">
        <f t="shared" si="113"/>
        <v>293.33333333333559</v>
      </c>
      <c r="AN195" s="59">
        <f ca="1">AVERAGE(OFFSET($AM$3,0,0,'Données projet'!$E$10+1,1))-AVERAGE(OFFSET($H$3,0,0,'Données projet'!$E$10+1,1))</f>
        <v>337.10499990421835</v>
      </c>
      <c r="AO195" s="59">
        <f t="shared" si="144"/>
        <v>277.4254079562175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43.45768639227807</v>
      </c>
      <c r="AV195" s="21">
        <f>EXP(-LN(2)/25)*AV194+(1-EXP(-LN(2)/25))/(LN(2)/25)*Calculateur!AQ195*Calculateur!AS195*VLOOKUP('Données projet'!$B$10,Paramètres!$A$1:$I$89,3,0)*0.475*44/12</f>
        <v>8.2767497354295916</v>
      </c>
      <c r="AW195" s="21">
        <f>EXP(-LN(2)/2)*AW194+(1-EXP(-LN(2)/2))/(LN(2)/2)*AQ195*AT195*VLOOKUP('Données projet'!$B$10,Paramètres!$A$1:$I$89,3,0)*0.475*44/12</f>
        <v>2.1342540888507853E-8</v>
      </c>
      <c r="AX195" s="21">
        <f t="shared" si="166"/>
        <v>51.734436149050204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-4.2632564145606011E-14</v>
      </c>
      <c r="O196" s="13">
        <f>N196*VLOOKUP('Données projet'!$B$9,Paramètres!$A$1:$I$89,3,0)*VLOOKUP('Données projet'!$B$9,Paramètres!$A$1:$I$89,5,0)</f>
        <v>-3.8573944038944318E-14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167.24886661350195</v>
      </c>
      <c r="T196" s="59">
        <f t="shared" si="142"/>
        <v>234.73100822629613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0.24342428056549911</v>
      </c>
      <c r="AA196" s="21">
        <f>EXP(-LN(2)/25)*AA195+(1-EXP(-LN(2)/25))/(LN(2)/25)*Calculateur!V196*Calculateur!X196*VLOOKUP('Données projet'!$B$9,Paramètres!$A$1:$I$89,3,0)*0.475*44/12</f>
        <v>0.29216768289741563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0.53559196346291471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1.7053025658242404E-13</v>
      </c>
      <c r="AJ196" s="13">
        <f>AI196*VLOOKUP('Données projet'!$B$10,Paramètres!$A$1:$I$89,3,0)*VLOOKUP('Données projet'!$B$10,Paramètres!$A$1:$I$89,5,0)</f>
        <v>7.9808160080574461E-14</v>
      </c>
      <c r="AK196" s="13">
        <f t="shared" si="164"/>
        <v>1.2308384591775343E-12</v>
      </c>
      <c r="AL196" s="20">
        <f t="shared" si="165"/>
        <v>2.282709528541206E-12</v>
      </c>
      <c r="AM196" s="59">
        <f t="shared" ref="AM196:AM203" si="193">AL196+(AD196+AE196)*44/12</f>
        <v>293.33333333333559</v>
      </c>
      <c r="AN196" s="59">
        <f ca="1">AVERAGE(OFFSET($AM$3,0,0,'Données projet'!$E$10+1,1))-AVERAGE(OFFSET($H$3,0,0,'Données projet'!$E$10+1,1))</f>
        <v>337.10499990421835</v>
      </c>
      <c r="AO196" s="59">
        <f t="shared" si="144"/>
        <v>277.4254079562175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42.605507668696887</v>
      </c>
      <c r="AV196" s="21">
        <f>EXP(-LN(2)/25)*AV195+(1-EXP(-LN(2)/25))/(LN(2)/25)*Calculateur!AQ196*Calculateur!AS196*VLOOKUP('Données projet'!$B$10,Paramètres!$A$1:$I$89,3,0)*0.475*44/12</f>
        <v>8.0504215786589182</v>
      </c>
      <c r="AW196" s="21">
        <f>EXP(-LN(2)/2)*AW195+(1-EXP(-LN(2)/2))/(LN(2)/2)*AQ196*AT196*VLOOKUP('Données projet'!$B$10,Paramètres!$A$1:$I$89,3,0)*0.475*44/12</f>
        <v>1.5091455390015065E-8</v>
      </c>
      <c r="AX196" s="21">
        <f t="shared" si="166"/>
        <v>50.655929262447266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-4.2632564145606011E-14</v>
      </c>
      <c r="O197" s="13">
        <f>N197*VLOOKUP('Données projet'!$B$9,Paramètres!$A$1:$I$89,3,0)*VLOOKUP('Données projet'!$B$9,Paramètres!$A$1:$I$89,5,0)</f>
        <v>-3.8573944038944318E-14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167.24886661350195</v>
      </c>
      <c r="T197" s="59">
        <f t="shared" ref="T197:T203" si="204">$T$3</f>
        <v>234.73100822629613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0.23865087889776021</v>
      </c>
      <c r="AA197" s="21">
        <f>EXP(-LN(2)/25)*AA196+(1-EXP(-LN(2)/25))/(LN(2)/25)*Calculateur!V197*Calculateur!X197*VLOOKUP('Données projet'!$B$9,Paramètres!$A$1:$I$89,3,0)*0.475*44/12</f>
        <v>0.28417834224415511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0.52282922114191532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1.7053025658242404E-13</v>
      </c>
      <c r="AJ197" s="13">
        <f>AI197*VLOOKUP('Données projet'!$B$10,Paramètres!$A$1:$I$89,3,0)*VLOOKUP('Données projet'!$B$10,Paramètres!$A$1:$I$89,5,0)</f>
        <v>7.9808160080574461E-14</v>
      </c>
      <c r="AK197" s="13">
        <f t="shared" si="164"/>
        <v>1.2308384591775343E-12</v>
      </c>
      <c r="AL197" s="20">
        <f t="shared" si="165"/>
        <v>2.282709528541206E-12</v>
      </c>
      <c r="AM197" s="59">
        <f t="shared" si="193"/>
        <v>293.33333333333559</v>
      </c>
      <c r="AN197" s="59">
        <f ca="1">AVERAGE(OFFSET($AM$3,0,0,'Données projet'!$E$10+1,1))-AVERAGE(OFFSET($H$3,0,0,'Données projet'!$E$10+1,1))</f>
        <v>337.10499990421835</v>
      </c>
      <c r="AO197" s="59">
        <f t="shared" ref="AO197:AO203" si="205">$AO$3</f>
        <v>277.4254079562175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41.770039650107435</v>
      </c>
      <c r="AV197" s="21">
        <f>EXP(-LN(2)/25)*AV196+(1-EXP(-LN(2)/25))/(LN(2)/25)*Calculateur!AQ197*Calculateur!AS197*VLOOKUP('Données projet'!$B$10,Paramètres!$A$1:$I$89,3,0)*0.475*44/12</f>
        <v>7.8302823772372188</v>
      </c>
      <c r="AW197" s="21">
        <f>EXP(-LN(2)/2)*AW196+(1-EXP(-LN(2)/2))/(LN(2)/2)*AQ197*AT197*VLOOKUP('Données projet'!$B$10,Paramètres!$A$1:$I$89,3,0)*0.475*44/12</f>
        <v>1.0671270444253926E-8</v>
      </c>
      <c r="AX197" s="21">
        <f t="shared" si="166"/>
        <v>49.600322038015925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-4.2632564145606011E-14</v>
      </c>
      <c r="O198" s="13">
        <f>N198*VLOOKUP('Données projet'!$B$9,Paramètres!$A$1:$I$89,3,0)*VLOOKUP('Données projet'!$B$9,Paramètres!$A$1:$I$89,5,0)</f>
        <v>-3.8573944038944318E-14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167.24886661350195</v>
      </c>
      <c r="T198" s="59">
        <f t="shared" si="204"/>
        <v>234.73100822629613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0.23397108072523815</v>
      </c>
      <c r="AA198" s="21">
        <f>EXP(-LN(2)/25)*AA197+(1-EXP(-LN(2)/25))/(LN(2)/25)*Calculateur!V198*Calculateur!X198*VLOOKUP('Données projet'!$B$9,Paramètres!$A$1:$I$89,3,0)*0.475*44/12</f>
        <v>0.27640747053119918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0.51037855125643738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1.7053025658242404E-13</v>
      </c>
      <c r="AJ198" s="13">
        <f>AI198*VLOOKUP('Données projet'!$B$10,Paramètres!$A$1:$I$89,3,0)*VLOOKUP('Données projet'!$B$10,Paramètres!$A$1:$I$89,5,0)</f>
        <v>7.9808160080574461E-14</v>
      </c>
      <c r="AK198" s="13">
        <f t="shared" si="164"/>
        <v>1.2308384591775343E-12</v>
      </c>
      <c r="AL198" s="20">
        <f t="shared" si="165"/>
        <v>2.282709528541206E-12</v>
      </c>
      <c r="AM198" s="59">
        <f t="shared" si="193"/>
        <v>293.33333333333559</v>
      </c>
      <c r="AN198" s="59">
        <f ca="1">AVERAGE(OFFSET($AM$3,0,0,'Données projet'!$E$10+1,1))-AVERAGE(OFFSET($H$3,0,0,'Données projet'!$E$10+1,1))</f>
        <v>337.10499990421835</v>
      </c>
      <c r="AO198" s="59">
        <f t="shared" si="205"/>
        <v>277.4254079562175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40.950954649777351</v>
      </c>
      <c r="AV198" s="21">
        <f>EXP(-LN(2)/25)*AV197+(1-EXP(-LN(2)/25))/(LN(2)/25)*Calculateur!AQ198*Calculateur!AS198*VLOOKUP('Données projet'!$B$10,Paramètres!$A$1:$I$89,3,0)*0.475*44/12</f>
        <v>7.6161628938550132</v>
      </c>
      <c r="AW198" s="21">
        <f>EXP(-LN(2)/2)*AW197+(1-EXP(-LN(2)/2))/(LN(2)/2)*AQ198*AT198*VLOOKUP('Données projet'!$B$10,Paramètres!$A$1:$I$89,3,0)*0.475*44/12</f>
        <v>7.5457276950075326E-9</v>
      </c>
      <c r="AX198" s="21">
        <f t="shared" si="166"/>
        <v>48.567117551178093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-4.2632564145606011E-14</v>
      </c>
      <c r="O199" s="13">
        <f>N199*VLOOKUP('Données projet'!$B$9,Paramètres!$A$1:$I$89,3,0)*VLOOKUP('Données projet'!$B$9,Paramètres!$A$1:$I$89,5,0)</f>
        <v>-3.8573944038944318E-14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167.24886661350195</v>
      </c>
      <c r="T199" s="59">
        <f t="shared" si="204"/>
        <v>234.73100822629613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0.22938305054048419</v>
      </c>
      <c r="AA199" s="21">
        <f>EXP(-LN(2)/25)*AA198+(1-EXP(-LN(2)/25))/(LN(2)/25)*Calculateur!V199*Calculateur!X199*VLOOKUP('Données projet'!$B$9,Paramètres!$A$1:$I$89,3,0)*0.475*44/12</f>
        <v>0.26884909371388638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0.49823214425437057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1.7053025658242404E-13</v>
      </c>
      <c r="AJ199" s="13">
        <f>AI199*VLOOKUP('Données projet'!$B$10,Paramètres!$A$1:$I$89,3,0)*VLOOKUP('Données projet'!$B$10,Paramètres!$A$1:$I$89,5,0)</f>
        <v>7.9808160080574461E-14</v>
      </c>
      <c r="AK199" s="13">
        <f t="shared" si="164"/>
        <v>1.2308384591775343E-12</v>
      </c>
      <c r="AL199" s="20">
        <f t="shared" si="165"/>
        <v>2.282709528541206E-12</v>
      </c>
      <c r="AM199" s="59">
        <f t="shared" si="193"/>
        <v>293.33333333333559</v>
      </c>
      <c r="AN199" s="59">
        <f ca="1">AVERAGE(OFFSET($AM$3,0,0,'Données projet'!$E$10+1,1))-AVERAGE(OFFSET($H$3,0,0,'Données projet'!$E$10+1,1))</f>
        <v>337.10499990421835</v>
      </c>
      <c r="AO199" s="59">
        <f t="shared" si="205"/>
        <v>277.4254079562175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40.147931406711216</v>
      </c>
      <c r="AV199" s="21">
        <f>EXP(-LN(2)/25)*AV198+(1-EXP(-LN(2)/25))/(LN(2)/25)*Calculateur!AQ199*Calculateur!AS199*VLOOKUP('Données projet'!$B$10,Paramètres!$A$1:$I$89,3,0)*0.475*44/12</f>
        <v>7.4078985190059479</v>
      </c>
      <c r="AW199" s="21">
        <f>EXP(-LN(2)/2)*AW198+(1-EXP(-LN(2)/2))/(LN(2)/2)*AQ199*AT199*VLOOKUP('Données projet'!$B$10,Paramètres!$A$1:$I$89,3,0)*0.475*44/12</f>
        <v>5.3356352221269632E-9</v>
      </c>
      <c r="AX199" s="21">
        <f t="shared" si="166"/>
        <v>47.555829931052799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-4.2632564145606011E-14</v>
      </c>
      <c r="O200" s="13">
        <f>N200*VLOOKUP('Données projet'!$B$9,Paramètres!$A$1:$I$89,3,0)*VLOOKUP('Données projet'!$B$9,Paramètres!$A$1:$I$89,5,0)</f>
        <v>-3.8573944038944318E-14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167.24886661350195</v>
      </c>
      <c r="T200" s="59">
        <f t="shared" si="204"/>
        <v>234.73100822629613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0.22488498882923116</v>
      </c>
      <c r="AA200" s="21">
        <f>EXP(-LN(2)/25)*AA199+(1-EXP(-LN(2)/25))/(LN(2)/25)*Calculateur!V200*Calculateur!X200*VLOOKUP('Données projet'!$B$9,Paramètres!$A$1:$I$89,3,0)*0.475*44/12</f>
        <v>0.26149740110812075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0.48638238993735194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1.7053025658242404E-13</v>
      </c>
      <c r="AJ200" s="13">
        <f>AI200*VLOOKUP('Données projet'!$B$10,Paramètres!$A$1:$I$89,3,0)*VLOOKUP('Données projet'!$B$10,Paramètres!$A$1:$I$89,5,0)</f>
        <v>7.9808160080574461E-14</v>
      </c>
      <c r="AK200" s="13">
        <f t="shared" si="164"/>
        <v>1.2308384591775343E-12</v>
      </c>
      <c r="AL200" s="20">
        <f t="shared" si="165"/>
        <v>2.282709528541206E-12</v>
      </c>
      <c r="AM200" s="59">
        <f t="shared" si="193"/>
        <v>293.33333333333559</v>
      </c>
      <c r="AN200" s="59">
        <f ca="1">AVERAGE(OFFSET($AM$3,0,0,'Données projet'!$E$10+1,1))-AVERAGE(OFFSET($H$3,0,0,'Données projet'!$E$10+1,1))</f>
        <v>337.10499990421835</v>
      </c>
      <c r="AO200" s="59">
        <f t="shared" si="205"/>
        <v>277.4254079562175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39.360654959645792</v>
      </c>
      <c r="AV200" s="21">
        <f>EXP(-LN(2)/25)*AV199+(1-EXP(-LN(2)/25))/(LN(2)/25)*Calculateur!AQ200*Calculateur!AS200*VLOOKUP('Données projet'!$B$10,Paramètres!$A$1:$I$89,3,0)*0.475*44/12</f>
        <v>7.2053291444392782</v>
      </c>
      <c r="AW200" s="21">
        <f>EXP(-LN(2)/2)*AW199+(1-EXP(-LN(2)/2))/(LN(2)/2)*AQ200*AT200*VLOOKUP('Données projet'!$B$10,Paramètres!$A$1:$I$89,3,0)*0.475*44/12</f>
        <v>3.7728638475037663E-9</v>
      </c>
      <c r="AX200" s="21">
        <f t="shared" si="166"/>
        <v>46.565984107857929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-4.2632564145606011E-14</v>
      </c>
      <c r="O201" s="13">
        <f>N201*VLOOKUP('Données projet'!$B$9,Paramètres!$A$1:$I$89,3,0)*VLOOKUP('Données projet'!$B$9,Paramètres!$A$1:$I$89,5,0)</f>
        <v>-3.8573944038944318E-14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167.24886661350195</v>
      </c>
      <c r="T201" s="59">
        <f t="shared" si="204"/>
        <v>234.73100822629613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0.22047513136458907</v>
      </c>
      <c r="AA201" s="21">
        <f>EXP(-LN(2)/25)*AA200+(1-EXP(-LN(2)/25))/(LN(2)/25)*Calculateur!V201*Calculateur!X201*VLOOKUP('Données projet'!$B$9,Paramètres!$A$1:$I$89,3,0)*0.475*44/12</f>
        <v>0.25434674092326853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0.4748218722878576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1.7053025658242404E-13</v>
      </c>
      <c r="AJ201" s="13">
        <f>AI201*VLOOKUP('Données projet'!$B$10,Paramètres!$A$1:$I$89,3,0)*VLOOKUP('Données projet'!$B$10,Paramètres!$A$1:$I$89,5,0)</f>
        <v>7.9808160080574461E-14</v>
      </c>
      <c r="AK201" s="13">
        <f t="shared" si="164"/>
        <v>1.2308384591775343E-12</v>
      </c>
      <c r="AL201" s="20">
        <f t="shared" si="165"/>
        <v>2.282709528541206E-12</v>
      </c>
      <c r="AM201" s="59">
        <f t="shared" si="193"/>
        <v>293.33333333333559</v>
      </c>
      <c r="AN201" s="59">
        <f ca="1">AVERAGE(OFFSET($AM$3,0,0,'Données projet'!$E$10+1,1))-AVERAGE(OFFSET($H$3,0,0,'Données projet'!$E$10+1,1))</f>
        <v>337.10499990421835</v>
      </c>
      <c r="AO201" s="59">
        <f t="shared" si="205"/>
        <v>277.4254079562175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38.588816523516108</v>
      </c>
      <c r="AV201" s="21">
        <f>EXP(-LN(2)/25)*AV200+(1-EXP(-LN(2)/25))/(LN(2)/25)*Calculateur!AQ201*Calculateur!AS201*VLOOKUP('Données projet'!$B$10,Paramètres!$A$1:$I$89,3,0)*0.475*44/12</f>
        <v>7.008299040072794</v>
      </c>
      <c r="AW201" s="21">
        <f>EXP(-LN(2)/2)*AW200+(1-EXP(-LN(2)/2))/(LN(2)/2)*AQ201*AT201*VLOOKUP('Données projet'!$B$10,Paramètres!$A$1:$I$89,3,0)*0.475*44/12</f>
        <v>2.6678176110634816E-9</v>
      </c>
      <c r="AX201" s="21">
        <f t="shared" si="166"/>
        <v>45.597115566256718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-4.2632564145606011E-14</v>
      </c>
      <c r="O202" s="13">
        <f>N202*VLOOKUP('Données projet'!$B$9,Paramètres!$A$1:$I$89,3,0)*VLOOKUP('Données projet'!$B$9,Paramètres!$A$1:$I$89,5,0)</f>
        <v>-3.8573944038944318E-14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167.24886661350195</v>
      </c>
      <c r="T202" s="59">
        <f t="shared" si="204"/>
        <v>234.73100822629613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0.21615174851508115</v>
      </c>
      <c r="AA202" s="21">
        <f>EXP(-LN(2)/25)*AA201+(1-EXP(-LN(2)/25))/(LN(2)/25)*Calculateur!V202*Calculateur!X202*VLOOKUP('Données projet'!$B$9,Paramètres!$A$1:$I$89,3,0)*0.475*44/12</f>
        <v>0.24739161591720796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0.46354336443228911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1.7053025658242404E-13</v>
      </c>
      <c r="AJ202" s="13">
        <f>AI202*VLOOKUP('Données projet'!$B$10,Paramètres!$A$1:$I$89,3,0)*VLOOKUP('Données projet'!$B$10,Paramètres!$A$1:$I$89,5,0)</f>
        <v>7.9808160080574461E-14</v>
      </c>
      <c r="AK202" s="13">
        <f t="shared" si="164"/>
        <v>1.2308384591775343E-12</v>
      </c>
      <c r="AL202" s="20">
        <f t="shared" si="165"/>
        <v>2.282709528541206E-12</v>
      </c>
      <c r="AM202" s="59">
        <f t="shared" si="193"/>
        <v>293.33333333333559</v>
      </c>
      <c r="AN202" s="59">
        <f ca="1">AVERAGE(OFFSET($AM$3,0,0,'Données projet'!$E$10+1,1))-AVERAGE(OFFSET($H$3,0,0,'Données projet'!$E$10+1,1))</f>
        <v>337.10499990421835</v>
      </c>
      <c r="AO202" s="59">
        <f t="shared" si="205"/>
        <v>277.4254079562175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37.832113368343968</v>
      </c>
      <c r="AV202" s="21">
        <f>EXP(-LN(2)/25)*AV201+(1-EXP(-LN(2)/25))/(LN(2)/25)*Calculateur!AQ202*Calculateur!AS202*VLOOKUP('Données projet'!$B$10,Paramètres!$A$1:$I$89,3,0)*0.475*44/12</f>
        <v>6.8166567342715743</v>
      </c>
      <c r="AW202" s="21">
        <f>EXP(-LN(2)/2)*AW201+(1-EXP(-LN(2)/2))/(LN(2)/2)*AQ202*AT202*VLOOKUP('Données projet'!$B$10,Paramètres!$A$1:$I$89,3,0)*0.475*44/12</f>
        <v>1.8864319237518832E-9</v>
      </c>
      <c r="AX202" s="21">
        <f t="shared" si="166"/>
        <v>44.648770104501978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-4.2632564145606011E-14</v>
      </c>
      <c r="O203" s="13">
        <f>N203*VLOOKUP('Données projet'!$B$9,Paramètres!$A$1:$I$89,3,0)*VLOOKUP('Données projet'!$B$9,Paramètres!$A$1:$I$89,5,0)</f>
        <v>-3.8573944038944318E-14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167.24886661350195</v>
      </c>
      <c r="T203" s="59">
        <f t="shared" si="204"/>
        <v>234.73100822629613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0.21191314456624893</v>
      </c>
      <c r="AA203" s="21">
        <f>EXP(-LN(2)/25)*AA202+(1-EXP(-LN(2)/25))/(LN(2)/25)*Calculateur!V203*Calculateur!X203*VLOOKUP('Données projet'!$B$9,Paramètres!$A$1:$I$89,3,0)*0.475*44/12</f>
        <v>0.24062667917019226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0.45253982373644119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1.7053025658242404E-13</v>
      </c>
      <c r="AJ203" s="13">
        <f>AI203*VLOOKUP('Données projet'!$B$10,Paramètres!$A$1:$I$89,3,0)*VLOOKUP('Données projet'!$B$10,Paramètres!$A$1:$I$89,5,0)</f>
        <v>7.9808160080574461E-14</v>
      </c>
      <c r="AK203" s="13">
        <f t="shared" si="164"/>
        <v>1.2308384591775343E-12</v>
      </c>
      <c r="AL203" s="20">
        <f t="shared" si="165"/>
        <v>2.282709528541206E-12</v>
      </c>
      <c r="AM203" s="59">
        <f t="shared" si="193"/>
        <v>293.33333333333559</v>
      </c>
      <c r="AN203" s="59">
        <f ca="1">AVERAGE(OFFSET($AM$3,0,0,'Données projet'!$E$10+1,1))-AVERAGE(OFFSET($H$3,0,0,'Données projet'!$E$10+1,1))</f>
        <v>337.10499990421835</v>
      </c>
      <c r="AO203" s="59">
        <f t="shared" si="205"/>
        <v>277.4254079562175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37.090248700501398</v>
      </c>
      <c r="AV203" s="21">
        <f>EXP(-LN(2)/25)*AV202+(1-EXP(-LN(2)/25))/(LN(2)/25)*Calculateur!AQ203*Calculateur!AS203*VLOOKUP('Données projet'!$B$10,Paramètres!$A$1:$I$89,3,0)*0.475*44/12</f>
        <v>6.63025489740052</v>
      </c>
      <c r="AW203" s="21">
        <f>EXP(-LN(2)/2)*AW202+(1-EXP(-LN(2)/2))/(LN(2)/2)*AQ203*AT203*VLOOKUP('Données projet'!$B$10,Paramètres!$A$1:$I$89,3,0)*0.475*44/12</f>
        <v>1.3339088055317408E-9</v>
      </c>
      <c r="AX203" s="21">
        <f t="shared" si="166"/>
        <v>43.720503599235826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1.6819726874711916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1.1244566645013536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C7" sqref="C7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Robinier faux-acacia</v>
      </c>
      <c r="B6" s="146">
        <f>'Données projet'!D9</f>
        <v>2.7860752113497229</v>
      </c>
      <c r="C6" s="147">
        <f ca="1">IF(OR('Données projet'!B9="",'Données projet'!C9="",'Données projet'!C9=0%),0,Calculateur!S3)</f>
        <v>167.24886661350195</v>
      </c>
      <c r="D6" s="147">
        <f>IF(OR('Données projet'!B9="",'Données projet'!C9="",'Données projet'!C9=0%),0,Calculateur!T3)</f>
        <v>234.73100822629613</v>
      </c>
      <c r="E6" s="147">
        <f ca="1">MIN(C6,D6)</f>
        <v>167.24886661350195</v>
      </c>
      <c r="F6" s="147">
        <f ca="1">E6*B6</f>
        <v>465.96792139821406</v>
      </c>
      <c r="G6" s="147">
        <f ca="1">F6*(100%-'Données projet'!$C$24)*(100%-'Données projet'!$C$25)*(100%-'Données projet'!$C$26)*(100%-'Données projet'!$C$27)</f>
        <v>419.37112925839267</v>
      </c>
      <c r="H6" s="148">
        <f>IF(OR('Données projet'!B9="",'Données projet'!C9="",'Données projet'!C9=0%),0,AVERAGE(Calculateur!$AC$3:$AC$33)*B6)</f>
        <v>5.2058395702985072</v>
      </c>
      <c r="I6" s="149">
        <f>H6*(100%-'Données projet'!$C$24)*(100%-'Données projet'!$C$25)*(100%-'Données projet'!$C$26)*(100%-'Données projet'!$C$27)</f>
        <v>4.6852556132686569</v>
      </c>
      <c r="J6" s="150">
        <f>IF(OR('Données projet'!B9="",'Données projet'!C9="",'Données projet'!C9=0%),0,SUM(Calculateur!$V$3:$V$33)*VLOOKUP('Données projet'!$B$9,Paramètres!$A$1:$I$89,9,0)*B6)</f>
        <v>24.110266252064907</v>
      </c>
      <c r="K6" s="151">
        <f>J6*(100%-'Données projet'!$C$24)*(100%-'Données projet'!$C$25)*(100%-'Données projet'!$C$26)*(100%-'Données projet'!$C$27)</f>
        <v>21.699239626858418</v>
      </c>
      <c r="L6" s="152">
        <f ca="1">G6+I6+K6</f>
        <v>445.75562449851975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Cèdre de l'Atlas</v>
      </c>
      <c r="B7" s="154">
        <f>'Données projet'!D10</f>
        <v>7.3924788650276935E-2</v>
      </c>
      <c r="C7" s="147">
        <f ca="1">IF(OR('Données projet'!B10="",'Données projet'!C10="",'Données projet'!C10=0%),0,Calculateur!AN3)</f>
        <v>337.10499990421835</v>
      </c>
      <c r="D7" s="147">
        <f>IF(OR('Données projet'!B10="",'Données projet'!C10="",'Données projet'!C10=0%),0,Calculateur!AO3)</f>
        <v>277.4254079562175</v>
      </c>
      <c r="E7" s="147">
        <f t="shared" ref="E7:E15" ca="1" si="0">MIN(C7,D7)</f>
        <v>277.4254079562175</v>
      </c>
      <c r="F7" s="147">
        <f t="shared" ref="F7:F15" ca="1" si="1">E7*B7</f>
        <v>20.508614649380235</v>
      </c>
      <c r="G7" s="147">
        <f ca="1">F7*(100%-'Données projet'!$C$24)*(100%-'Données projet'!$C$25)*(100%-'Données projet'!$C$26)*(100%-'Données projet'!$C$27)</f>
        <v>18.457753184442211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18.457753184442211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486.47653604759432</v>
      </c>
      <c r="G16" s="166">
        <f t="shared" ca="1" si="3"/>
        <v>437.82888244283487</v>
      </c>
      <c r="H16" s="167">
        <f t="shared" si="3"/>
        <v>5.2058395702985072</v>
      </c>
      <c r="I16" s="167">
        <f t="shared" si="3"/>
        <v>4.6852556132686569</v>
      </c>
      <c r="J16" s="168">
        <f t="shared" si="3"/>
        <v>24.110266252064907</v>
      </c>
      <c r="K16" s="168">
        <f t="shared" si="3"/>
        <v>21.699239626858418</v>
      </c>
      <c r="L16" s="169">
        <f t="shared" ca="1" si="3"/>
        <v>464.21337768296195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R1" zoomScale="80" zoomScaleNormal="80" workbookViewId="0">
      <selection activeCell="S42" sqref="S42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Robinier faux-acacia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-498.94424905647145</v>
      </c>
      <c r="U10" s="178">
        <f>'Données projet'!D9</f>
        <v>2.7860752113497229</v>
      </c>
      <c r="V10" s="177">
        <f>U10*T10</f>
        <v>-1390.0962041417374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533.00891921581479</v>
      </c>
      <c r="U11" s="178">
        <f>'Données projet'!D10</f>
        <v>7.3924788650276935E-2</v>
      </c>
      <c r="V11" s="177">
        <f t="shared" ref="V11" si="0">U11*T11</f>
        <v>39.402571701741643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Robinier faux-acacia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699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>
        <v>699</v>
      </c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0</v>
      </c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>
        <v>0</v>
      </c>
      <c r="F20" s="230"/>
      <c r="G20" s="303"/>
      <c r="H20" s="190">
        <v>0</v>
      </c>
      <c r="I20" s="191">
        <v>1650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>
        <v>0</v>
      </c>
      <c r="F21" s="230"/>
      <c r="H21" s="190">
        <v>1</v>
      </c>
      <c r="I21" s="191">
        <f>226+520</f>
        <v>746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>
        <v>0</v>
      </c>
      <c r="F22" s="230"/>
      <c r="H22" s="190">
        <v>2</v>
      </c>
      <c r="I22" s="191">
        <v>350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5</v>
      </c>
      <c r="B23" s="181">
        <f>'Données projet'!D36</f>
        <v>1.2820512820512819</v>
      </c>
      <c r="C23" s="193">
        <v>12.85</v>
      </c>
      <c r="D23" s="182">
        <f>B23*C23</f>
        <v>16.474358974358971</v>
      </c>
      <c r="E23" s="193">
        <v>60</v>
      </c>
      <c r="F23" s="230"/>
      <c r="H23" s="190">
        <v>3</v>
      </c>
      <c r="I23" s="191">
        <v>350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-10708.449922361076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10</v>
      </c>
      <c r="B24" s="181">
        <f>'Données projet'!D37</f>
        <v>9.615384615384615</v>
      </c>
      <c r="C24" s="193">
        <v>12.85</v>
      </c>
      <c r="D24" s="182">
        <f t="shared" ref="D24:D42" si="2">B24*C24</f>
        <v>123.55769230769229</v>
      </c>
      <c r="E24" s="193">
        <v>60</v>
      </c>
      <c r="F24" s="233"/>
      <c r="H24" s="190">
        <v>4</v>
      </c>
      <c r="I24" s="191">
        <v>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3458.8292172296992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15</v>
      </c>
      <c r="B25" s="181">
        <f>'Données projet'!D38</f>
        <v>8.3333333333333339</v>
      </c>
      <c r="C25" s="193">
        <v>12.85</v>
      </c>
      <c r="D25" s="182">
        <f t="shared" si="2"/>
        <v>107.08333333333334</v>
      </c>
      <c r="E25" s="193">
        <v>60</v>
      </c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>
        <v>60</v>
      </c>
      <c r="Q25" s="234"/>
      <c r="R25" s="23"/>
      <c r="S25" s="186" t="s">
        <v>266</v>
      </c>
      <c r="T25" s="299">
        <f ca="1">T23-T24</f>
        <v>-14167.279139590775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20</v>
      </c>
      <c r="B26" s="181">
        <f>'Données projet'!D39</f>
        <v>6.4102564102564097</v>
      </c>
      <c r="C26" s="193">
        <v>18</v>
      </c>
      <c r="D26" s="182">
        <f t="shared" si="2"/>
        <v>115.38461538461537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25</v>
      </c>
      <c r="B27" s="181">
        <f>'Données projet'!D40</f>
        <v>5.1282051282051277</v>
      </c>
      <c r="C27" s="193">
        <v>18</v>
      </c>
      <c r="D27" s="182">
        <f t="shared" si="2"/>
        <v>92.307692307692292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30</v>
      </c>
      <c r="B28" s="181">
        <f>'Données projet'!D41</f>
        <v>3.8461538461538458</v>
      </c>
      <c r="C28" s="193">
        <v>26</v>
      </c>
      <c r="D28" s="182">
        <f t="shared" si="2"/>
        <v>99.999999999999986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35</v>
      </c>
      <c r="B29" s="181">
        <f>'Données projet'!D42</f>
        <v>3.2051282051282048</v>
      </c>
      <c r="C29" s="193">
        <v>26</v>
      </c>
      <c r="D29" s="182">
        <f t="shared" si="2"/>
        <v>83.333333333333329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40</v>
      </c>
      <c r="B30" s="181">
        <f>'Données projet'!D43</f>
        <v>2.5641025641025639</v>
      </c>
      <c r="C30" s="193">
        <v>45</v>
      </c>
      <c r="D30" s="182">
        <f t="shared" si="2"/>
        <v>115.38461538461537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1209.3808451852096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45</v>
      </c>
      <c r="B31" s="181">
        <f>'Données projet'!D44</f>
        <v>126.92307692307692</v>
      </c>
      <c r="C31" s="193">
        <v>45</v>
      </c>
      <c r="D31" s="182">
        <f t="shared" si="2"/>
        <v>5711.538461538461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60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57.416267942583737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54.943797074242816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52.577796243294557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50.313680615592894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48.147062790041048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46.073744296690009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44.089707460947373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42.191107618131468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40.374265663283708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38.635660921802597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36.971924327083826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35.379831891946253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33.85629846119258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32.398371733198651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86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31.003226538946077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>
        <v>33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29.668159367412525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28.390583126710549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>
        <v>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27.168022130823498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>
        <v>0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25.998107302223445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>
        <v>0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24.878571581075072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51</v>
      </c>
      <c r="B54" s="181">
        <f>'Données projet'!D62</f>
        <v>173.97000000000003</v>
      </c>
      <c r="C54" s="191">
        <v>17.774999999999999</v>
      </c>
      <c r="D54" s="179">
        <f>B54*C54</f>
        <v>3092.3167500000004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23.807245532129254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61</v>
      </c>
      <c r="B55" s="181">
        <f>'Données projet'!D63</f>
        <v>101.36000000000001</v>
      </c>
      <c r="C55" s="191">
        <v>30.374999999999996</v>
      </c>
      <c r="D55" s="179">
        <f t="shared" ref="D55:D73" si="4">B55*C55</f>
        <v>3078.81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22.78205314079355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73</v>
      </c>
      <c r="B56" s="181">
        <f>'Données projet'!D64</f>
        <v>103.23000000000002</v>
      </c>
      <c r="C56" s="191">
        <v>30.374999999999996</v>
      </c>
      <c r="D56" s="179">
        <f t="shared" si="4"/>
        <v>3135.6112500000004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21.801007790233061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85</v>
      </c>
      <c r="B57" s="181">
        <f>'Données projet'!D65</f>
        <v>95.720000000000027</v>
      </c>
      <c r="C57" s="191">
        <v>30.374999999999996</v>
      </c>
      <c r="D57" s="179">
        <f t="shared" si="4"/>
        <v>2907.4950000000003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20.862208411706284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97</v>
      </c>
      <c r="B58" s="181">
        <f>'Données projet'!D66</f>
        <v>90.589999999999975</v>
      </c>
      <c r="C58" s="191">
        <v>30.374999999999996</v>
      </c>
      <c r="D58" s="179">
        <f t="shared" si="4"/>
        <v>2751.671249999999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19.96383580067587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109</v>
      </c>
      <c r="B59" s="181">
        <f>'Données projet'!D67</f>
        <v>92.199999999999989</v>
      </c>
      <c r="C59" s="191">
        <v>30.374999999999996</v>
      </c>
      <c r="D59" s="179">
        <f t="shared" si="4"/>
        <v>2800.5749999999994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19.104149091555865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121</v>
      </c>
      <c r="B60" s="181">
        <f>'Données projet'!D68</f>
        <v>236.89000000000001</v>
      </c>
      <c r="C60" s="191">
        <v>37.53</v>
      </c>
      <c r="D60" s="179">
        <f t="shared" si="4"/>
        <v>8890.4817000000003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18.281482384263985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131</v>
      </c>
      <c r="B61" s="181">
        <f>'Données projet'!D69</f>
        <v>298.36</v>
      </c>
      <c r="C61" s="191">
        <v>37.53</v>
      </c>
      <c r="D61" s="179">
        <f t="shared" si="4"/>
        <v>11197.450800000001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17.494241516042095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16.740900972289083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16.020000930420181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15.330144431024094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14.669994670836461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14.038272412283696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13.433753504577702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12.855266511557609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12.301690441681925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11.771952575772177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11.265026388298736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10.779929558180608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10.315722065244604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9.8715043686551258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9.4464156637848102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9.0396322141481438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8.650365755165689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8.2778619666657303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7" ma:contentTypeDescription="Create a new document." ma:contentTypeScope="" ma:versionID="589346fa884c25ad5de149d7b85be22a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24b1c828da39a2751b3f588e1d7999e7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C28381-7E83-4D4B-9491-104BF664D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2026-02-23T09:52:53Z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