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tsforestierecdc.sharepoint.com/sites/S2F/Shared Documents/06_Label Bas Carbone/06_Projets/SMAPP/Maubuisson_B3/"/>
    </mc:Choice>
  </mc:AlternateContent>
  <xr:revisionPtr revIDLastSave="210" documentId="8_{1BA8BCE3-27CA-44C1-B379-7CFCE5ECD6C0}" xr6:coauthVersionLast="47" xr6:coauthVersionMax="47" xr10:uidLastSave="{46964BA7-D87E-4379-A525-BD2179D770AE}"/>
  <bookViews>
    <workbookView xWindow="28680" yWindow="-2850" windowWidth="29040" windowHeight="15840" tabRatio="770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8" i="1" l="1"/>
  <c r="D198" i="1" s="1"/>
  <c r="D197" i="1"/>
  <c r="D196" i="1"/>
  <c r="D195" i="1"/>
  <c r="D194" i="1"/>
  <c r="D193" i="1"/>
  <c r="D192" i="1"/>
  <c r="B62" i="1"/>
  <c r="D62" i="1"/>
  <c r="B63" i="1"/>
  <c r="D63" i="1"/>
  <c r="B64" i="1"/>
  <c r="D64" i="1"/>
  <c r="B65" i="1"/>
  <c r="D65" i="1"/>
  <c r="B66" i="1"/>
  <c r="D66" i="1"/>
  <c r="B67" i="1"/>
  <c r="D67" i="1"/>
  <c r="B68" i="1"/>
  <c r="D68" i="1"/>
  <c r="B69" i="1"/>
  <c r="D69" i="1"/>
  <c r="B70" i="1"/>
  <c r="D70" i="1"/>
  <c r="B71" i="1"/>
  <c r="D71" i="1"/>
  <c r="B72" i="1"/>
  <c r="D72" i="1"/>
  <c r="B73" i="1"/>
  <c r="D73" i="1"/>
  <c r="B74" i="1"/>
  <c r="D74" i="1"/>
  <c r="D226" i="1"/>
  <c r="B226" i="1"/>
  <c r="D225" i="1"/>
  <c r="B225" i="1"/>
  <c r="D224" i="1"/>
  <c r="B224" i="1"/>
  <c r="D223" i="1"/>
  <c r="B223" i="1"/>
  <c r="D222" i="1"/>
  <c r="B222" i="1"/>
  <c r="D221" i="1"/>
  <c r="B221" i="1"/>
  <c r="D220" i="1"/>
  <c r="B220" i="1"/>
  <c r="D219" i="1"/>
  <c r="B219" i="1"/>
  <c r="B218" i="1"/>
  <c r="B89" i="1"/>
  <c r="B90" i="1"/>
  <c r="B91" i="1"/>
  <c r="B92" i="1"/>
  <c r="B93" i="1"/>
  <c r="B94" i="1"/>
  <c r="B95" i="1"/>
  <c r="B96" i="1"/>
  <c r="B97" i="1"/>
  <c r="B98" i="1"/>
  <c r="B150" i="1" l="1"/>
  <c r="B149" i="1"/>
  <c r="B148" i="1"/>
  <c r="B147" i="1"/>
  <c r="B146" i="1"/>
  <c r="B145" i="1"/>
  <c r="B144" i="1"/>
  <c r="B143" i="1"/>
  <c r="B142" i="1"/>
  <c r="B141" i="1"/>
  <c r="B140" i="1"/>
  <c r="B46" i="1"/>
  <c r="B45" i="1"/>
  <c r="B44" i="1"/>
  <c r="B43" i="1"/>
  <c r="B42" i="1"/>
  <c r="B41" i="1"/>
  <c r="B40" i="1"/>
  <c r="B39" i="1"/>
  <c r="B38" i="1"/>
  <c r="B37" i="1"/>
  <c r="B36" i="1"/>
  <c r="D175" i="1" l="1"/>
  <c r="B175" i="1"/>
  <c r="D174" i="1"/>
  <c r="B174" i="1"/>
  <c r="D173" i="1"/>
  <c r="B173" i="1"/>
  <c r="D172" i="1"/>
  <c r="B172" i="1"/>
  <c r="D171" i="1"/>
  <c r="B171" i="1"/>
  <c r="D170" i="1"/>
  <c r="B170" i="1"/>
  <c r="D169" i="1"/>
  <c r="B169" i="1"/>
  <c r="D168" i="1"/>
  <c r="B168" i="1"/>
  <c r="D167" i="1"/>
  <c r="B167" i="1"/>
  <c r="B166" i="1"/>
  <c r="B121" i="1"/>
  <c r="B120" i="1"/>
  <c r="B119" i="1"/>
  <c r="B118" i="1"/>
  <c r="B117" i="1"/>
  <c r="B116" i="1"/>
  <c r="B115" i="1"/>
  <c r="B114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GL4" i="2"/>
  <c r="EA4" i="2"/>
  <c r="BQ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HH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B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X14" i="2"/>
  <c r="EC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FS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EV20" i="2"/>
  <c r="HH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Q35" i="2"/>
  <c r="EB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G38" i="2"/>
  <c r="HI38" i="2"/>
  <c r="EW38" i="2"/>
  <c r="EA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HG44" i="2"/>
  <c r="EW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FS57" i="2"/>
  <c r="HH57" i="2"/>
  <c r="HI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HI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X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EV78" i="2"/>
  <c r="EW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HI85" i="2"/>
  <c r="EC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X87" i="2"/>
  <c r="EB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EX98" i="2"/>
  <c r="HI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X112" i="2"/>
  <c r="EB112" i="2"/>
  <c r="EC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C113" i="2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EX118" i="2"/>
  <c r="HH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C122" i="2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FS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FS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H141" i="2"/>
  <c r="HG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B145" i="2"/>
  <c r="HH145" i="2"/>
  <c r="HG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EA146" i="2"/>
  <c r="HG146" i="2"/>
  <c r="FS146" i="2"/>
  <c r="HI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HI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G154" i="2"/>
  <c r="HH154" i="2"/>
  <c r="EX154" i="2"/>
  <c r="AA154" i="2"/>
  <c r="EV154" i="2"/>
  <c r="EC154" i="2"/>
  <c r="EA154" i="2"/>
  <c r="FS154" i="2"/>
  <c r="HI154" i="2"/>
  <c r="HJ154" i="2" s="1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D154" i="2"/>
  <c r="AC154" i="2"/>
  <c r="HG155" i="2"/>
  <c r="HH155" i="2"/>
  <c r="EY154" i="2"/>
  <c r="EX155" i="2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H156" i="2" l="1"/>
  <c r="HG156" i="2"/>
  <c r="EY155" i="2"/>
  <c r="DH156" i="2"/>
  <c r="ED155" i="2"/>
  <c r="AB156" i="2"/>
  <c r="EX156" i="2"/>
  <c r="HI156" i="2"/>
  <c r="FS156" i="2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HG157" i="2"/>
  <c r="EX157" i="2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H158" i="2" l="1"/>
  <c r="HG158" i="2"/>
  <c r="ED157" i="2"/>
  <c r="EV158" i="2"/>
  <c r="EC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DG160" i="2"/>
  <c r="ED159" i="2"/>
  <c r="HG160" i="2"/>
  <c r="FS160" i="2"/>
  <c r="HH160" i="2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A161" i="2" l="1"/>
  <c r="HH161" i="2"/>
  <c r="HG161" i="2"/>
  <c r="EX161" i="2"/>
  <c r="EB161" i="2"/>
  <c r="ED160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Y161" i="2"/>
  <c r="EW162" i="2"/>
  <c r="EC162" i="2"/>
  <c r="DI161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HH163" i="2"/>
  <c r="EY162" i="2"/>
  <c r="HG163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HH164" i="2"/>
  <c r="HG164" i="2"/>
  <c r="EY163" i="2"/>
  <c r="FR164" i="2"/>
  <c r="EX164" i="2"/>
  <c r="DI163" i="2"/>
  <c r="EA164" i="2"/>
  <c r="EV164" i="2"/>
  <c r="DH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H165" i="2"/>
  <c r="HG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C167" i="2"/>
  <c r="HI167" i="2"/>
  <c r="EY166" i="2"/>
  <c r="HJ166" i="2"/>
  <c r="FR167" i="2"/>
  <c r="EX167" i="2"/>
  <c r="EA167" i="2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HI168" i="2"/>
  <c r="EW168" i="2"/>
  <c r="HH168" i="2"/>
  <c r="EV168" i="2"/>
  <c r="EB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Y168" i="2"/>
  <c r="FS169" i="2"/>
  <c r="EX169" i="2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B172" i="2"/>
  <c r="ED171" i="2"/>
  <c r="HI172" i="2"/>
  <c r="EA172" i="2"/>
  <c r="EY171" i="2"/>
  <c r="EW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HJ172" i="2"/>
  <c r="HH173" i="2"/>
  <c r="EX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A175" i="2" l="1"/>
  <c r="ED174" i="2"/>
  <c r="HI175" i="2"/>
  <c r="EB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Y175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EW177" i="2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HH178" i="2"/>
  <c r="FQ178" i="2"/>
  <c r="EW178" i="2"/>
  <c r="FS178" i="2"/>
  <c r="EA178" i="2"/>
  <c r="EB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DF179" i="2"/>
  <c r="EA179" i="2"/>
  <c r="ED178" i="2"/>
  <c r="EB179" i="2"/>
  <c r="EV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Y184" i="2"/>
  <c r="ED184" i="2"/>
  <c r="EW185" i="2"/>
  <c r="EB185" i="2"/>
  <c r="EA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ED185" i="2"/>
  <c r="EA186" i="2"/>
  <c r="HH186" i="2"/>
  <c r="HG186" i="2"/>
  <c r="FS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ED187" i="2"/>
  <c r="HH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Y188" i="2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V190" i="2"/>
  <c r="ED189" i="2"/>
  <c r="HG190" i="2"/>
  <c r="EY189" i="2"/>
  <c r="EB190" i="2"/>
  <c r="HJ189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ED190" i="2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Y191" i="2"/>
  <c r="EC192" i="2"/>
  <c r="EW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HI193" i="2"/>
  <c r="EY192" i="2"/>
  <c r="FQ193" i="2"/>
  <c r="EB193" i="2"/>
  <c r="DI192" i="2"/>
  <c r="EX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HI194" i="2"/>
  <c r="ED193" i="2"/>
  <c r="EB194" i="2"/>
  <c r="CN193" i="2"/>
  <c r="HG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D194" i="2" l="1"/>
  <c r="EB195" i="2"/>
  <c r="EA195" i="2"/>
  <c r="HI195" i="2"/>
  <c r="HG195" i="2"/>
  <c r="FQ195" i="2"/>
  <c r="EX195" i="2"/>
  <c r="EY194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FS197" i="2"/>
  <c r="EY196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V199" i="2"/>
  <c r="EY198" i="2"/>
  <c r="EB199" i="2"/>
  <c r="EW199" i="2"/>
  <c r="HH199" i="2"/>
  <c r="HG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EB201" i="2"/>
  <c r="EY200" i="2"/>
  <c r="ED200" i="2"/>
  <c r="DI200" i="2"/>
  <c r="HJ200" i="2"/>
  <c r="HH201" i="2"/>
  <c r="HG201" i="2"/>
  <c r="FS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 l="1"/>
  <c r="FS202" i="2"/>
  <c r="ED201" i="2"/>
  <c r="HI202" i="2"/>
  <c r="HG202" i="2"/>
  <c r="EW202" i="2"/>
  <c r="EX202" i="2"/>
  <c r="HH202" i="2"/>
  <c r="HJ202" i="2" s="1"/>
  <c r="FZ6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69" i="2" a="1"/>
  <c r="FY69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47" i="2" a="1"/>
  <c r="BC47" i="2" s="1"/>
  <c r="BC65" i="2" a="1"/>
  <c r="BC65" i="2" s="1"/>
  <c r="EI198" i="2" a="1"/>
  <c r="EI198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15" i="2" a="1"/>
  <c r="DN115" i="2" s="1"/>
  <c r="EI195" i="2" a="1"/>
  <c r="EI19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BC192" i="2" a="1"/>
  <c r="BC192" i="2" s="1"/>
  <c r="BC164" i="2" a="1"/>
  <c r="BC164" i="2" s="1"/>
  <c r="BC84" i="2" a="1"/>
  <c r="BC84" i="2" s="1"/>
  <c r="BC31" i="2" a="1"/>
  <c r="BC31" i="2" s="1"/>
  <c r="BC151" i="2" a="1"/>
  <c r="BC151" i="2" s="1"/>
  <c r="BC83" i="2" a="1"/>
  <c r="BC83" i="2" s="1"/>
  <c r="BC18" i="2" a="1"/>
  <c r="BC18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35" i="2" a="1"/>
  <c r="DN135" i="2" s="1"/>
  <c r="DN6" i="2" a="1"/>
  <c r="DN6" i="2" s="1"/>
  <c r="DO6" i="2" s="1"/>
  <c r="DN46" i="2" a="1"/>
  <c r="DN46" i="2" s="1"/>
  <c r="DN30" i="2" a="1"/>
  <c r="DN30" i="2" s="1"/>
  <c r="DN187" i="2" a="1"/>
  <c r="DN187" i="2" s="1"/>
  <c r="AX200" i="2"/>
  <c r="FD21" i="2" l="1" a="1"/>
  <c r="FD21" i="2" s="1"/>
  <c r="FD187" i="2" a="1"/>
  <c r="FD187" i="2" s="1"/>
  <c r="EI166" i="2" a="1"/>
  <c r="EI166" i="2" s="1"/>
  <c r="FY92" i="2" a="1"/>
  <c r="FY92" i="2" s="1"/>
  <c r="FD59" i="2" a="1"/>
  <c r="FD59" i="2" s="1"/>
  <c r="FD194" i="2" a="1"/>
  <c r="FD194" i="2" s="1"/>
  <c r="FD19" i="2" a="1"/>
  <c r="FD19" i="2" s="1"/>
  <c r="FD160" i="2" a="1"/>
  <c r="FD160" i="2" s="1"/>
  <c r="FD137" i="2" a="1"/>
  <c r="FD137" i="2" s="1"/>
  <c r="FD107" i="2" a="1"/>
  <c r="FD107" i="2" s="1"/>
  <c r="FD167" i="2" a="1"/>
  <c r="FD167" i="2" s="1"/>
  <c r="FD131" i="2" a="1"/>
  <c r="FD131" i="2" s="1"/>
  <c r="FD43" i="2" a="1"/>
  <c r="FD43" i="2" s="1"/>
  <c r="FD82" i="2" a="1"/>
  <c r="FD82" i="2" s="1"/>
  <c r="FD144" i="2" a="1"/>
  <c r="FD144" i="2" s="1"/>
  <c r="FS203" i="2"/>
  <c r="FD64" i="2" a="1"/>
  <c r="FD64" i="2" s="1"/>
  <c r="FD189" i="2" a="1"/>
  <c r="FD189" i="2" s="1"/>
  <c r="FD14" i="2" a="1"/>
  <c r="FD14" i="2" s="1"/>
  <c r="FD48" i="2" a="1"/>
  <c r="FD48" i="2" s="1"/>
  <c r="FD44" i="2" a="1"/>
  <c r="FD44" i="2" s="1"/>
  <c r="FD188" i="2" a="1"/>
  <c r="FD188" i="2" s="1"/>
  <c r="FD60" i="2" a="1"/>
  <c r="FD60" i="2" s="1"/>
  <c r="FD159" i="2" a="1"/>
  <c r="FD159" i="2" s="1"/>
  <c r="GT15" i="2" a="1"/>
  <c r="GT15" i="2" s="1"/>
  <c r="GT74" i="2" a="1"/>
  <c r="GT74" i="2" s="1"/>
  <c r="GT147" i="2" a="1"/>
  <c r="GT147" i="2" s="1"/>
  <c r="GT138" i="2" a="1"/>
  <c r="GT138" i="2" s="1"/>
  <c r="GT178" i="2" a="1"/>
  <c r="GT178" i="2" s="1"/>
  <c r="GT152" i="2" a="1"/>
  <c r="GT152" i="2" s="1"/>
  <c r="GT184" i="2" a="1"/>
  <c r="GT184" i="2" s="1"/>
  <c r="GT189" i="2" a="1"/>
  <c r="GT189" i="2" s="1"/>
  <c r="GT33" i="2" a="1"/>
  <c r="GT33" i="2" s="1"/>
  <c r="GT115" i="2" a="1"/>
  <c r="GT115" i="2" s="1"/>
  <c r="GT107" i="2" a="1"/>
  <c r="GT107" i="2" s="1"/>
  <c r="GT174" i="2" a="1"/>
  <c r="GT174" i="2" s="1"/>
  <c r="GT198" i="2" a="1"/>
  <c r="GT198" i="2" s="1"/>
  <c r="GT133" i="2" a="1"/>
  <c r="GT133" i="2" s="1"/>
  <c r="GT190" i="2" a="1"/>
  <c r="GT190" i="2" s="1"/>
  <c r="GT21" i="2" a="1"/>
  <c r="GT21" i="2" s="1"/>
  <c r="GT121" i="2" a="1"/>
  <c r="GT121" i="2" s="1"/>
  <c r="GT181" i="2" a="1"/>
  <c r="GT181" i="2" s="1"/>
  <c r="GT12" i="2" a="1"/>
  <c r="GT12" i="2" s="1"/>
  <c r="GT122" i="2" a="1"/>
  <c r="GT122" i="2" s="1"/>
  <c r="GT38" i="2" a="1"/>
  <c r="GT38" i="2" s="1"/>
  <c r="GT11" i="2" a="1"/>
  <c r="GT11" i="2" s="1"/>
  <c r="GT51" i="2" a="1"/>
  <c r="GT51" i="2" s="1"/>
  <c r="GT191" i="2" a="1"/>
  <c r="GT191" i="2" s="1"/>
  <c r="GT126" i="2" a="1"/>
  <c r="GT126" i="2" s="1"/>
  <c r="GT102" i="2" a="1"/>
  <c r="GT102" i="2" s="1"/>
  <c r="GT68" i="2" a="1"/>
  <c r="GT68" i="2" s="1"/>
  <c r="CS105" i="2" a="1"/>
  <c r="CS105" i="2" s="1"/>
  <c r="CS114" i="2" a="1"/>
  <c r="CS114" i="2" s="1"/>
  <c r="CS161" i="2" a="1"/>
  <c r="CS161" i="2" s="1"/>
  <c r="CS56" i="2" a="1"/>
  <c r="CS56" i="2" s="1"/>
  <c r="CS120" i="2" a="1"/>
  <c r="CS120" i="2" s="1"/>
  <c r="CS116" i="2" a="1"/>
  <c r="CS116" i="2" s="1"/>
  <c r="CS24" i="2" a="1"/>
  <c r="CS24" i="2" s="1"/>
  <c r="CS134" i="2" a="1"/>
  <c r="CS134" i="2" s="1"/>
  <c r="CS72" i="2" a="1"/>
  <c r="CS72" i="2" s="1"/>
  <c r="CS185" i="2" a="1"/>
  <c r="CS185" i="2" s="1"/>
  <c r="CS38" i="2" a="1"/>
  <c r="CS38" i="2" s="1"/>
  <c r="CS129" i="2" a="1"/>
  <c r="CS129" i="2" s="1"/>
  <c r="CS52" i="2" a="1"/>
  <c r="CS52" i="2" s="1"/>
  <c r="CS66" i="2" a="1"/>
  <c r="CS66" i="2" s="1"/>
  <c r="CS77" i="2" a="1"/>
  <c r="CS77" i="2" s="1"/>
  <c r="CS137" i="2" a="1"/>
  <c r="CS137" i="2" s="1"/>
  <c r="FY110" i="2" a="1"/>
  <c r="FY110" i="2" s="1"/>
  <c r="FY153" i="2" a="1"/>
  <c r="FY153" i="2" s="1"/>
  <c r="FY102" i="2" a="1"/>
  <c r="FY102" i="2" s="1"/>
  <c r="FY66" i="2" a="1"/>
  <c r="FY66" i="2" s="1"/>
  <c r="FY29" i="2" a="1"/>
  <c r="FY29" i="2" s="1"/>
  <c r="FY120" i="2" a="1"/>
  <c r="FY120" i="2" s="1"/>
  <c r="FY71" i="2" a="1"/>
  <c r="FY71" i="2" s="1"/>
  <c r="FY18" i="2" a="1"/>
  <c r="FY18" i="2" s="1"/>
  <c r="FY32" i="2" a="1"/>
  <c r="FY32" i="2" s="1"/>
  <c r="FY22" i="2" a="1"/>
  <c r="FY22" i="2" s="1"/>
  <c r="FY133" i="2" a="1"/>
  <c r="FY133" i="2" s="1"/>
  <c r="FY140" i="2" a="1"/>
  <c r="FY140" i="2" s="1"/>
  <c r="FY35" i="2" a="1"/>
  <c r="FY35" i="2" s="1"/>
  <c r="FY50" i="2" a="1"/>
  <c r="FY50" i="2" s="1"/>
  <c r="AH62" i="2" a="1"/>
  <c r="AH62" i="2" s="1"/>
  <c r="AH199" i="2" a="1"/>
  <c r="AH199" i="2" s="1"/>
  <c r="AH19" i="2" a="1"/>
  <c r="AH19" i="2" s="1"/>
  <c r="AH90" i="2" a="1"/>
  <c r="AH90" i="2" s="1"/>
  <c r="AH92" i="2" a="1"/>
  <c r="AH92" i="2" s="1"/>
  <c r="AH166" i="2" a="1"/>
  <c r="AH166" i="2" s="1"/>
  <c r="AH151" i="2" a="1"/>
  <c r="AH151" i="2" s="1"/>
  <c r="AH163" i="2" a="1"/>
  <c r="AH163" i="2" s="1"/>
  <c r="EY202" i="2"/>
  <c r="BX107" i="2" a="1"/>
  <c r="BX107" i="2" s="1"/>
  <c r="DN38" i="2" a="1"/>
  <c r="DN38" i="2" s="1"/>
  <c r="DN113" i="2" a="1"/>
  <c r="DN113" i="2" s="1"/>
  <c r="DN176" i="2" a="1"/>
  <c r="DN176" i="2" s="1"/>
  <c r="DN152" i="2" a="1"/>
  <c r="DN152" i="2" s="1"/>
  <c r="DN65" i="2" a="1"/>
  <c r="DN65" i="2" s="1"/>
  <c r="DN137" i="2" a="1"/>
  <c r="DN137" i="2" s="1"/>
  <c r="DN70" i="2" a="1"/>
  <c r="DN70" i="2" s="1"/>
  <c r="DN55" i="2" a="1"/>
  <c r="DN55" i="2" s="1"/>
  <c r="DN132" i="2" a="1"/>
  <c r="DN132" i="2" s="1"/>
  <c r="DN110" i="2" a="1"/>
  <c r="DN110" i="2" s="1"/>
  <c r="DN167" i="2" a="1"/>
  <c r="DN167" i="2" s="1"/>
  <c r="DN188" i="2" a="1"/>
  <c r="DN188" i="2" s="1"/>
  <c r="DN25" i="2" a="1"/>
  <c r="DN25" i="2" s="1"/>
  <c r="DN86" i="2" a="1"/>
  <c r="DN86" i="2" s="1"/>
  <c r="DN31" i="2" a="1"/>
  <c r="DN31" i="2" s="1"/>
  <c r="DN123" i="2" a="1"/>
  <c r="DN123" i="2" s="1"/>
  <c r="DN177" i="2" a="1"/>
  <c r="DN177" i="2" s="1"/>
  <c r="DN184" i="2" a="1"/>
  <c r="DN184" i="2" s="1"/>
  <c r="DN124" i="2" a="1"/>
  <c r="DN124" i="2" s="1"/>
  <c r="DN45" i="2" a="1"/>
  <c r="DN45" i="2" s="1"/>
  <c r="DN190" i="2" a="1"/>
  <c r="DN190" i="2" s="1"/>
  <c r="DN16" i="2" a="1"/>
  <c r="DN16" i="2" s="1"/>
  <c r="DN80" i="2" a="1"/>
  <c r="DN80" i="2" s="1"/>
  <c r="DN153" i="2" a="1"/>
  <c r="DN153" i="2" s="1"/>
  <c r="DN29" i="2" a="1"/>
  <c r="DN29" i="2" s="1"/>
  <c r="DN133" i="2" a="1"/>
  <c r="DN133" i="2" s="1"/>
  <c r="DN162" i="2" a="1"/>
  <c r="DN162" i="2" s="1"/>
  <c r="DN150" i="2" a="1"/>
  <c r="DN150" i="2" s="1"/>
  <c r="DN170" i="2" a="1"/>
  <c r="DN170" i="2" s="1"/>
  <c r="DN41" i="2" a="1"/>
  <c r="DN41" i="2" s="1"/>
  <c r="DN155" i="2" a="1"/>
  <c r="DN155" i="2" s="1"/>
  <c r="DN56" i="2" a="1"/>
  <c r="DN56" i="2" s="1"/>
  <c r="DN49" i="2" a="1"/>
  <c r="DN49" i="2" s="1"/>
  <c r="DN168" i="2" a="1"/>
  <c r="DN168" i="2" s="1"/>
  <c r="DN114" i="2" a="1"/>
  <c r="DN114" i="2" s="1"/>
  <c r="DN192" i="2" a="1"/>
  <c r="DN192" i="2" s="1"/>
  <c r="DN129" i="2" a="1"/>
  <c r="DN129" i="2" s="1"/>
  <c r="DN43" i="2" a="1"/>
  <c r="DN43" i="2" s="1"/>
  <c r="DN164" i="2" a="1"/>
  <c r="DN164" i="2" s="1"/>
  <c r="DN63" i="2" a="1"/>
  <c r="DN63" i="2" s="1"/>
  <c r="DN103" i="2" a="1"/>
  <c r="DN103" i="2" s="1"/>
  <c r="DN66" i="2" a="1"/>
  <c r="DN66" i="2" s="1"/>
  <c r="DN50" i="2" a="1"/>
  <c r="DN50" i="2" s="1"/>
  <c r="DN186" i="2" a="1"/>
  <c r="DN186" i="2" s="1"/>
  <c r="BC114" i="2" a="1"/>
  <c r="BC114" i="2" s="1"/>
  <c r="BC38" i="2" a="1"/>
  <c r="BC38" i="2" s="1"/>
  <c r="BC32" i="2" a="1"/>
  <c r="BC32" i="2" s="1"/>
  <c r="BC126" i="2" a="1"/>
  <c r="BC126" i="2" s="1"/>
  <c r="BC82" i="2" a="1"/>
  <c r="BC82" i="2" s="1"/>
  <c r="BC7" i="2" a="1"/>
  <c r="BC7" i="2" s="1"/>
  <c r="BC68" i="2" a="1"/>
  <c r="BC68" i="2" s="1"/>
  <c r="BC185" i="2" a="1"/>
  <c r="BC185" i="2" s="1"/>
  <c r="BC130" i="2" a="1"/>
  <c r="BC130" i="2" s="1"/>
  <c r="BC117" i="2" a="1"/>
  <c r="BC117" i="2" s="1"/>
  <c r="BC58" i="2" a="1"/>
  <c r="BC58" i="2" s="1"/>
  <c r="BC55" i="2" a="1"/>
  <c r="BC55" i="2" s="1"/>
  <c r="BC143" i="2" a="1"/>
  <c r="BC143" i="2" s="1"/>
  <c r="BC181" i="2" a="1"/>
  <c r="BC181" i="2" s="1"/>
  <c r="BC34" i="2" a="1"/>
  <c r="BC34" i="2" s="1"/>
  <c r="FY165" i="2" a="1"/>
  <c r="FY165" i="2" s="1"/>
  <c r="FY146" i="2" a="1"/>
  <c r="FY146" i="2" s="1"/>
  <c r="FY109" i="2" a="1"/>
  <c r="FY109" i="2" s="1"/>
  <c r="FY79" i="2" a="1"/>
  <c r="FY79" i="2" s="1"/>
  <c r="FY90" i="2" a="1"/>
  <c r="FY90" i="2" s="1"/>
  <c r="FY57" i="2" a="1"/>
  <c r="FY57" i="2" s="1"/>
  <c r="FY54" i="2" a="1"/>
  <c r="FY54" i="2" s="1"/>
  <c r="HG203" i="2"/>
  <c r="FR203" i="2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ED203" i="2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DI203" i="2"/>
  <c r="EY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5" i="2" l="1"/>
  <c r="CY24" i="2"/>
  <c r="CY190" i="2"/>
  <c r="CY33" i="2"/>
  <c r="CY108" i="2"/>
  <c r="CY203" i="2"/>
  <c r="CY72" i="2"/>
  <c r="CY104" i="2"/>
  <c r="CY166" i="2"/>
  <c r="CY78" i="2"/>
  <c r="CY63" i="2"/>
  <c r="CY140" i="2"/>
  <c r="CY138" i="2"/>
  <c r="CY99" i="2"/>
  <c r="CY54" i="2"/>
  <c r="CY37" i="2"/>
  <c r="CY142" i="2"/>
  <c r="CY110" i="2"/>
  <c r="CY181" i="2"/>
  <c r="CY4" i="2"/>
  <c r="CY65" i="2"/>
  <c r="CY116" i="2"/>
  <c r="CY22" i="2"/>
  <c r="CY122" i="2"/>
  <c r="CY185" i="2"/>
  <c r="CY124" i="2"/>
  <c r="CY109" i="2"/>
  <c r="CY151" i="2"/>
  <c r="CY107" i="2"/>
  <c r="CY200" i="2"/>
  <c r="CY64" i="2"/>
  <c r="CY169" i="2"/>
  <c r="CY18" i="2"/>
  <c r="CY191" i="2"/>
  <c r="CY180" i="2"/>
  <c r="CY143" i="2"/>
  <c r="CY84" i="2"/>
  <c r="CY132" i="2"/>
  <c r="CY133" i="2"/>
  <c r="CY53" i="2"/>
  <c r="CY92" i="2"/>
  <c r="CY125" i="2"/>
  <c r="CY45" i="2"/>
  <c r="CY16" i="2"/>
  <c r="CY201" i="2"/>
  <c r="CY86" i="2"/>
  <c r="CY57" i="2"/>
  <c r="CY74" i="2"/>
  <c r="CY12" i="2"/>
  <c r="CY126" i="2"/>
  <c r="CY156" i="2"/>
  <c r="CY61" i="2"/>
  <c r="CY186" i="2"/>
  <c r="CY136" i="2"/>
  <c r="CY106" i="2"/>
  <c r="CY89" i="2"/>
  <c r="CY13" i="2"/>
  <c r="CY10" i="2"/>
  <c r="CY85" i="2"/>
  <c r="CY90" i="2"/>
  <c r="CY105" i="2"/>
  <c r="CY194" i="2"/>
  <c r="CY193" i="2"/>
  <c r="CY113" i="2"/>
  <c r="CY176" i="2"/>
  <c r="CY59" i="2"/>
  <c r="CY155" i="2"/>
  <c r="CY197" i="2"/>
  <c r="CY81" i="2"/>
  <c r="CY8" i="2"/>
  <c r="CY29" i="2"/>
  <c r="CY135" i="2"/>
  <c r="CY75" i="2"/>
  <c r="CY192" i="2"/>
  <c r="CY150" i="2"/>
  <c r="CY187" i="2"/>
  <c r="CY49" i="2"/>
  <c r="CY88" i="2"/>
  <c r="CY87" i="2"/>
  <c r="CY157" i="2"/>
  <c r="CY91" i="2"/>
  <c r="CY98" i="2"/>
  <c r="CY178" i="2"/>
  <c r="CY71" i="2"/>
  <c r="CY146" i="2"/>
  <c r="CY67" i="2"/>
  <c r="CY134" i="2"/>
  <c r="CY23" i="2"/>
  <c r="CY158" i="2"/>
  <c r="CY183" i="2"/>
  <c r="CY153" i="2"/>
  <c r="CY202" i="2"/>
  <c r="CY149" i="2"/>
  <c r="CY42" i="2"/>
  <c r="CY93" i="2"/>
  <c r="CY68" i="2"/>
  <c r="CY141" i="2"/>
  <c r="CY161" i="2"/>
  <c r="CY55" i="2"/>
  <c r="CY46" i="2"/>
  <c r="CY123" i="2"/>
  <c r="CY131" i="2"/>
  <c r="CY30" i="2"/>
  <c r="CY35" i="2"/>
  <c r="CY174" i="2"/>
  <c r="CY31" i="2"/>
  <c r="CY130" i="2"/>
  <c r="CY96" i="2"/>
  <c r="CY112" i="2"/>
  <c r="CY175" i="2"/>
  <c r="CY94" i="2"/>
  <c r="CY167" i="2"/>
  <c r="CY34" i="2"/>
  <c r="CY101" i="2"/>
  <c r="CY177" i="2"/>
  <c r="CY83" i="2"/>
  <c r="CY70" i="2"/>
  <c r="CY159" i="2"/>
  <c r="CY154" i="2"/>
  <c r="CY6" i="2"/>
  <c r="CY148" i="2"/>
  <c r="CY82" i="2"/>
  <c r="CY128" i="2"/>
  <c r="CY28" i="2"/>
  <c r="CY73" i="2"/>
  <c r="CY118" i="2"/>
  <c r="CY195" i="2"/>
  <c r="CY163" i="2"/>
  <c r="CY60" i="2"/>
  <c r="CY5" i="2"/>
  <c r="CY198" i="2"/>
  <c r="CY164" i="2"/>
  <c r="CY103" i="2"/>
  <c r="CY196" i="2"/>
  <c r="CY7" i="2"/>
  <c r="CY188" i="2"/>
  <c r="CY3" i="2"/>
  <c r="C10" i="4" s="1"/>
  <c r="E10" i="4" s="1"/>
  <c r="F10" i="4" s="1"/>
  <c r="G10" i="4" s="1"/>
  <c r="L10" i="4" s="1"/>
  <c r="CY20" i="2"/>
  <c r="CY102" i="2"/>
  <c r="CY162" i="2"/>
  <c r="CY189" i="2"/>
  <c r="CY120" i="2"/>
  <c r="CY121" i="2"/>
  <c r="CY9" i="2"/>
  <c r="CY111" i="2"/>
  <c r="CY144" i="2"/>
  <c r="CY47" i="2"/>
  <c r="CY173" i="2"/>
  <c r="CY44" i="2"/>
  <c r="CY182" i="2"/>
  <c r="CY171" i="2"/>
  <c r="CY119" i="2"/>
  <c r="CY145" i="2"/>
  <c r="CY199" i="2"/>
  <c r="CY79" i="2"/>
  <c r="CY129" i="2"/>
  <c r="CY80" i="2"/>
  <c r="CY179" i="2"/>
  <c r="CY62" i="2"/>
  <c r="CY50" i="2"/>
  <c r="CY21" i="2"/>
  <c r="CY36" i="2"/>
  <c r="CY137" i="2"/>
  <c r="CY48" i="2"/>
  <c r="CY147" i="2"/>
  <c r="CY19" i="2"/>
  <c r="CY168" i="2"/>
  <c r="CY170" i="2"/>
  <c r="CY32" i="2"/>
  <c r="CY117" i="2"/>
  <c r="CY14" i="2"/>
  <c r="CY41" i="2"/>
  <c r="CY152" i="2"/>
  <c r="CY51" i="2"/>
  <c r="CY43" i="2"/>
  <c r="CY40" i="2"/>
  <c r="CY66" i="2"/>
  <c r="CY139" i="2"/>
  <c r="CY115" i="2"/>
  <c r="CY58" i="2"/>
  <c r="CY56" i="2"/>
  <c r="CY100" i="2"/>
  <c r="CY127" i="2"/>
  <c r="CY38" i="2"/>
  <c r="CY172" i="2"/>
  <c r="CY77" i="2"/>
  <c r="CY165" i="2"/>
  <c r="CY69" i="2"/>
  <c r="CY95" i="2"/>
  <c r="CY160" i="2"/>
  <c r="CY11" i="2"/>
  <c r="CY97" i="2"/>
  <c r="CY52" i="2"/>
  <c r="CY114" i="2"/>
  <c r="CY184" i="2"/>
  <c r="CY26" i="2"/>
  <c r="CY76" i="2"/>
  <c r="CY15" i="2"/>
  <c r="CY17" i="2"/>
  <c r="CY39" i="2"/>
  <c r="CY27" i="2"/>
  <c r="GE11" i="2"/>
  <c r="GE151" i="2"/>
  <c r="GE169" i="2"/>
  <c r="GE76" i="2"/>
  <c r="GE153" i="2"/>
  <c r="GE5" i="2"/>
  <c r="GE94" i="2"/>
  <c r="GE190" i="2"/>
  <c r="GE63" i="2"/>
  <c r="GE192" i="2"/>
  <c r="GE143" i="2"/>
  <c r="GE73" i="2"/>
  <c r="GE113" i="2"/>
  <c r="GE62" i="2"/>
  <c r="GE84" i="2"/>
  <c r="GE44" i="2"/>
  <c r="GE98" i="2"/>
  <c r="GE9" i="2"/>
  <c r="GE82" i="2"/>
  <c r="GE64" i="2"/>
  <c r="GE65" i="2"/>
  <c r="GE71" i="2"/>
  <c r="GE80" i="2"/>
  <c r="GE33" i="2"/>
  <c r="GE179" i="2"/>
  <c r="GE26" i="2"/>
  <c r="GE135" i="2"/>
  <c r="GE149" i="2"/>
  <c r="GE43" i="2"/>
  <c r="GE193" i="2"/>
  <c r="GE173" i="2"/>
  <c r="GE184" i="2"/>
  <c r="GE18" i="2"/>
  <c r="GE158" i="2"/>
  <c r="GE30" i="2"/>
  <c r="GE56" i="2"/>
  <c r="GE199" i="2"/>
  <c r="GE124" i="2"/>
  <c r="GE3" i="2"/>
  <c r="C14" i="4" s="1"/>
  <c r="E14" i="4" s="1"/>
  <c r="F14" i="4" s="1"/>
  <c r="G14" i="4" s="1"/>
  <c r="L14" i="4" s="1"/>
  <c r="GE163" i="2"/>
  <c r="GE61" i="2"/>
  <c r="GE130" i="2"/>
  <c r="GE39" i="2"/>
  <c r="GE175" i="2"/>
  <c r="GE183" i="2"/>
  <c r="GE95" i="2"/>
  <c r="GE182" i="2"/>
  <c r="GE59" i="2"/>
  <c r="GE148" i="2"/>
  <c r="GE134" i="2"/>
  <c r="GE48" i="2"/>
  <c r="GE45" i="2"/>
  <c r="GE75" i="2"/>
  <c r="GE38" i="2"/>
  <c r="GE6" i="2"/>
  <c r="GE160" i="2"/>
  <c r="GE145" i="2"/>
  <c r="GE133" i="2"/>
  <c r="GE110" i="2"/>
  <c r="GE100" i="2"/>
  <c r="GE12" i="2"/>
  <c r="GE127" i="2"/>
  <c r="GE117" i="2"/>
  <c r="GE178" i="2"/>
  <c r="GE121" i="2"/>
  <c r="GE122" i="2"/>
  <c r="GE176" i="2"/>
  <c r="GE107" i="2"/>
  <c r="GE27" i="2"/>
  <c r="GE23" i="2"/>
  <c r="GE90" i="2"/>
  <c r="GE185" i="2"/>
  <c r="GE101" i="2"/>
  <c r="GE105" i="2"/>
  <c r="GE140" i="2"/>
  <c r="GE159" i="2"/>
  <c r="GE70" i="2"/>
  <c r="GE21" i="2"/>
  <c r="GE17" i="2"/>
  <c r="GE96" i="2"/>
  <c r="GE79" i="2"/>
  <c r="GE119" i="2"/>
  <c r="GE157" i="2"/>
  <c r="GE41" i="2"/>
  <c r="GE146" i="2"/>
  <c r="GE74" i="2"/>
  <c r="GE118" i="2"/>
  <c r="GE188" i="2"/>
  <c r="GE161" i="2"/>
  <c r="GE42" i="2"/>
  <c r="GE37" i="2"/>
  <c r="GE165" i="2"/>
  <c r="GE77" i="2"/>
  <c r="GE109" i="2"/>
  <c r="GE152" i="2"/>
  <c r="GE85" i="2"/>
  <c r="GE51" i="2"/>
  <c r="GE32" i="2"/>
  <c r="GE197" i="2"/>
  <c r="GE147" i="2"/>
  <c r="GE106" i="2"/>
  <c r="GE54" i="2"/>
  <c r="GE52" i="2"/>
  <c r="GE177" i="2"/>
  <c r="GE137" i="2"/>
  <c r="GE174" i="2"/>
  <c r="GE139" i="2"/>
  <c r="GE60" i="2"/>
  <c r="GE29" i="2"/>
  <c r="GE115" i="2"/>
  <c r="GE120" i="2"/>
  <c r="GE129" i="2"/>
  <c r="GE36" i="2"/>
  <c r="GE154" i="2"/>
  <c r="GE99" i="2"/>
  <c r="GE69" i="2"/>
  <c r="GE195" i="2"/>
  <c r="GE164" i="2"/>
  <c r="GE28" i="2"/>
  <c r="GE83" i="2"/>
  <c r="GE87" i="2"/>
  <c r="GE72" i="2"/>
  <c r="GE49" i="2"/>
  <c r="GE125" i="2"/>
  <c r="GE57" i="2"/>
  <c r="GE20" i="2"/>
  <c r="GE200" i="2"/>
  <c r="GE150" i="2"/>
  <c r="GE15" i="2"/>
  <c r="GE13" i="2"/>
  <c r="GE66" i="2"/>
  <c r="GE203" i="2"/>
  <c r="GE93" i="2"/>
  <c r="GE47" i="2"/>
  <c r="GE53" i="2"/>
  <c r="GE24" i="2"/>
  <c r="GE202" i="2"/>
  <c r="GE102" i="2"/>
  <c r="GE55" i="2"/>
  <c r="GE86" i="2"/>
  <c r="GE132" i="2"/>
  <c r="GE81" i="2"/>
  <c r="GE46" i="2"/>
  <c r="GE156" i="2"/>
  <c r="GE92" i="2"/>
  <c r="GE4" i="2"/>
  <c r="GE58" i="2"/>
  <c r="GE196" i="2"/>
  <c r="GE111" i="2"/>
  <c r="GE35" i="2"/>
  <c r="GE186" i="2"/>
  <c r="GE10" i="2"/>
  <c r="GE16" i="2"/>
  <c r="GE34" i="2"/>
  <c r="GE155" i="2"/>
  <c r="GE126" i="2"/>
  <c r="GE187" i="2"/>
  <c r="GE180" i="2"/>
  <c r="GE78" i="2"/>
  <c r="GE112" i="2"/>
  <c r="GE88" i="2"/>
  <c r="GE116" i="2"/>
  <c r="GE194" i="2"/>
  <c r="GE162" i="2"/>
  <c r="GE67" i="2"/>
  <c r="GE22" i="2"/>
  <c r="GE201" i="2"/>
  <c r="GE166" i="2"/>
  <c r="GE191" i="2"/>
  <c r="GE168" i="2"/>
  <c r="GE14" i="2"/>
  <c r="GE91" i="2"/>
  <c r="GE181" i="2"/>
  <c r="GE68" i="2"/>
  <c r="GE8" i="2"/>
  <c r="GE89" i="2"/>
  <c r="GE108" i="2"/>
  <c r="GE131" i="2"/>
  <c r="GE97" i="2"/>
  <c r="GE123" i="2"/>
  <c r="GE138" i="2"/>
  <c r="GE40" i="2"/>
  <c r="GE31" i="2"/>
  <c r="GE144" i="2"/>
  <c r="GE19" i="2"/>
  <c r="GE172" i="2"/>
  <c r="GE50" i="2"/>
  <c r="GE141" i="2"/>
  <c r="GE167" i="2"/>
  <c r="GE171" i="2"/>
  <c r="GE25" i="2"/>
  <c r="GE114" i="2"/>
  <c r="GE142" i="2"/>
  <c r="GE136" i="2"/>
  <c r="GE103" i="2"/>
  <c r="GE7" i="2"/>
  <c r="GE198" i="2"/>
  <c r="GE170" i="2"/>
  <c r="GE104" i="2"/>
  <c r="GE128" i="2"/>
  <c r="GE189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GZ164" i="2" l="1"/>
  <c r="GZ45" i="2"/>
  <c r="GZ180" i="2"/>
  <c r="GZ141" i="2"/>
  <c r="GZ191" i="2"/>
  <c r="GZ187" i="2"/>
  <c r="GZ127" i="2"/>
  <c r="GZ163" i="2"/>
  <c r="GZ190" i="2"/>
  <c r="GZ27" i="2"/>
  <c r="GZ199" i="2"/>
  <c r="GZ104" i="2"/>
  <c r="GZ168" i="2"/>
  <c r="GZ31" i="2"/>
  <c r="GZ23" i="2"/>
  <c r="GZ155" i="2"/>
  <c r="GZ70" i="2"/>
  <c r="GZ29" i="2"/>
  <c r="GZ7" i="2"/>
  <c r="GZ102" i="2"/>
  <c r="GZ58" i="2"/>
  <c r="GZ38" i="2"/>
  <c r="GZ90" i="2"/>
  <c r="GZ125" i="2"/>
  <c r="GZ172" i="2"/>
  <c r="GZ186" i="2"/>
  <c r="GZ99" i="2"/>
  <c r="GZ88" i="2"/>
  <c r="GZ114" i="2"/>
  <c r="GZ96" i="2"/>
  <c r="GZ77" i="2"/>
  <c r="GZ97" i="2"/>
  <c r="GZ105" i="2"/>
  <c r="GZ175" i="2"/>
  <c r="GZ100" i="2"/>
  <c r="GZ32" i="2"/>
  <c r="GZ171" i="2"/>
  <c r="GZ53" i="2"/>
  <c r="GZ52" i="2"/>
  <c r="GZ54" i="2"/>
  <c r="GZ41" i="2"/>
  <c r="GZ165" i="2"/>
  <c r="GZ95" i="2"/>
  <c r="GZ120" i="2"/>
  <c r="GZ151" i="2"/>
  <c r="GZ19" i="2"/>
  <c r="GZ10" i="2"/>
  <c r="GZ91" i="2"/>
  <c r="GZ4" i="2"/>
  <c r="GZ57" i="2"/>
  <c r="GZ43" i="2"/>
  <c r="GZ121" i="2"/>
  <c r="GZ147" i="2"/>
  <c r="GZ64" i="2"/>
  <c r="GZ153" i="2"/>
  <c r="GZ138" i="2"/>
  <c r="GZ119" i="2"/>
  <c r="GZ61" i="2"/>
  <c r="GZ122" i="2"/>
  <c r="GZ82" i="2"/>
  <c r="GZ94" i="2"/>
  <c r="GZ202" i="2"/>
  <c r="GZ83" i="2"/>
  <c r="GZ66" i="2"/>
  <c r="GZ162" i="2"/>
  <c r="GZ173" i="2"/>
  <c r="GZ44" i="2"/>
  <c r="GZ65" i="2"/>
  <c r="GZ92" i="2"/>
  <c r="GZ108" i="2"/>
  <c r="GZ36" i="2"/>
  <c r="GZ194" i="2"/>
  <c r="GZ185" i="2"/>
  <c r="GZ59" i="2"/>
  <c r="GZ72" i="2"/>
  <c r="GZ145" i="2"/>
  <c r="GZ111" i="2"/>
  <c r="GZ80" i="2"/>
  <c r="GZ134" i="2"/>
  <c r="GZ13" i="2"/>
  <c r="GZ178" i="2"/>
  <c r="GZ176" i="2"/>
  <c r="GZ87" i="2"/>
  <c r="GZ62" i="2"/>
  <c r="GZ144" i="2"/>
  <c r="GZ115" i="2"/>
  <c r="GZ106" i="2"/>
  <c r="GZ34" i="2"/>
  <c r="GZ28" i="2"/>
  <c r="GZ48" i="2"/>
  <c r="GZ79" i="2"/>
  <c r="GZ40" i="2"/>
  <c r="GZ75" i="2"/>
  <c r="GZ184" i="2"/>
  <c r="GZ195" i="2"/>
  <c r="GZ192" i="2"/>
  <c r="GZ21" i="2"/>
  <c r="GZ81" i="2"/>
  <c r="GZ22" i="2"/>
  <c r="GZ20" i="2"/>
  <c r="GZ157" i="2"/>
  <c r="GZ9" i="2"/>
  <c r="GZ93" i="2"/>
  <c r="GZ201" i="2"/>
  <c r="GZ167" i="2"/>
  <c r="GZ37" i="2"/>
  <c r="GZ46" i="2"/>
  <c r="GZ166" i="2"/>
  <c r="GZ174" i="2"/>
  <c r="GZ143" i="2"/>
  <c r="GZ130" i="2"/>
  <c r="GZ55" i="2"/>
  <c r="GZ181" i="2"/>
  <c r="GZ26" i="2"/>
  <c r="GZ76" i="2"/>
  <c r="GZ149" i="2"/>
  <c r="GZ98" i="2"/>
  <c r="GZ3" i="2"/>
  <c r="C15" i="4" s="1"/>
  <c r="E15" i="4" s="1"/>
  <c r="F15" i="4" s="1"/>
  <c r="G15" i="4" s="1"/>
  <c r="L15" i="4" s="1"/>
  <c r="GZ6" i="2"/>
  <c r="GZ33" i="2"/>
  <c r="GZ107" i="2"/>
  <c r="GZ16" i="2"/>
  <c r="GZ161" i="2"/>
  <c r="GZ39" i="2"/>
  <c r="GZ140" i="2"/>
  <c r="GZ89" i="2"/>
  <c r="GZ196" i="2"/>
  <c r="GZ124" i="2"/>
  <c r="GZ15" i="2"/>
  <c r="GZ128" i="2"/>
  <c r="GZ110" i="2"/>
  <c r="GZ156" i="2"/>
  <c r="GZ117" i="2"/>
  <c r="GZ112" i="2"/>
  <c r="GZ69" i="2"/>
  <c r="GZ63" i="2"/>
  <c r="GZ158" i="2"/>
  <c r="GZ18" i="2"/>
  <c r="GZ142" i="2"/>
  <c r="GZ133" i="2"/>
  <c r="GZ85" i="2"/>
  <c r="GZ50" i="2"/>
  <c r="GZ103" i="2"/>
  <c r="GZ73" i="2"/>
  <c r="GZ14" i="2"/>
  <c r="GZ24" i="2"/>
  <c r="GZ123" i="2"/>
  <c r="GZ170" i="2"/>
  <c r="GZ131" i="2"/>
  <c r="GZ30" i="2"/>
  <c r="GZ137" i="2"/>
  <c r="GZ42" i="2"/>
  <c r="GZ25" i="2"/>
  <c r="GZ150" i="2"/>
  <c r="GZ101" i="2"/>
  <c r="GZ67" i="2"/>
  <c r="GZ11" i="2"/>
  <c r="GZ182" i="2"/>
  <c r="GZ47" i="2"/>
  <c r="GZ35" i="2"/>
  <c r="GZ51" i="2"/>
  <c r="GZ113" i="2"/>
  <c r="GZ136" i="2"/>
  <c r="GZ189" i="2"/>
  <c r="GZ200" i="2"/>
  <c r="GZ169" i="2"/>
  <c r="GZ154" i="2"/>
  <c r="GZ132" i="2"/>
  <c r="GZ5" i="2"/>
  <c r="GZ56" i="2"/>
  <c r="GZ74" i="2"/>
  <c r="GZ118" i="2"/>
  <c r="GZ49" i="2"/>
  <c r="GZ17" i="2"/>
  <c r="GZ135" i="2"/>
  <c r="GZ129" i="2"/>
  <c r="GZ197" i="2"/>
  <c r="GZ71" i="2"/>
  <c r="GZ159" i="2"/>
  <c r="GZ86" i="2"/>
  <c r="GZ78" i="2"/>
  <c r="GZ68" i="2"/>
  <c r="GZ179" i="2"/>
  <c r="GZ160" i="2"/>
  <c r="GZ198" i="2"/>
  <c r="GZ60" i="2"/>
  <c r="GZ8" i="2"/>
  <c r="GZ177" i="2"/>
  <c r="GZ146" i="2"/>
  <c r="GZ126" i="2"/>
  <c r="GZ12" i="2"/>
  <c r="GZ183" i="2"/>
  <c r="GZ193" i="2"/>
  <c r="GZ116" i="2"/>
  <c r="GZ84" i="2"/>
  <c r="GZ148" i="2"/>
  <c r="GZ139" i="2"/>
  <c r="GZ152" i="2"/>
  <c r="GZ109" i="2"/>
  <c r="GZ188" i="2"/>
  <c r="GZ203" i="2"/>
  <c r="CD37" i="2"/>
  <c r="CD88" i="2"/>
  <c r="CD123" i="2"/>
  <c r="CD6" i="2"/>
  <c r="CD77" i="2"/>
  <c r="CD16" i="2"/>
  <c r="CD30" i="2"/>
  <c r="CD128" i="2"/>
  <c r="CD3" i="2"/>
  <c r="C9" i="4" s="1"/>
  <c r="E9" i="4" s="1"/>
  <c r="F9" i="4" s="1"/>
  <c r="G9" i="4" s="1"/>
  <c r="L9" i="4" s="1"/>
  <c r="CD60" i="2"/>
  <c r="CD32" i="2"/>
  <c r="CD188" i="2"/>
  <c r="CD17" i="2"/>
  <c r="CD29" i="2"/>
  <c r="CD93" i="2"/>
  <c r="CD177" i="2"/>
  <c r="CD109" i="2"/>
  <c r="CD38" i="2"/>
  <c r="CD130" i="2"/>
  <c r="CD78" i="2"/>
  <c r="CD76" i="2"/>
  <c r="CD8" i="2"/>
  <c r="CD163" i="2"/>
  <c r="CD127" i="2"/>
  <c r="CD154" i="2"/>
  <c r="CD28" i="2"/>
  <c r="CD53" i="2"/>
  <c r="CD174" i="2"/>
  <c r="CD129" i="2"/>
  <c r="CD63" i="2"/>
  <c r="CD182" i="2"/>
  <c r="CD84" i="2"/>
  <c r="CD87" i="2"/>
  <c r="CD65" i="2"/>
  <c r="CD169" i="2"/>
  <c r="CD75" i="2"/>
  <c r="CD179" i="2"/>
  <c r="CD146" i="2"/>
  <c r="CD81" i="2"/>
  <c r="CD153" i="2"/>
  <c r="CD118" i="2"/>
  <c r="CD69" i="2"/>
  <c r="CD85" i="2"/>
  <c r="CD31" i="2"/>
  <c r="CD67" i="2"/>
  <c r="CD52" i="2"/>
  <c r="CD94" i="2"/>
  <c r="CD72" i="2"/>
  <c r="CD34" i="2"/>
  <c r="CD116" i="2"/>
  <c r="CD165" i="2"/>
  <c r="CD198" i="2"/>
  <c r="CD64" i="2"/>
  <c r="CD149" i="2"/>
  <c r="CD134" i="2"/>
  <c r="CD33" i="2"/>
  <c r="CD140" i="2"/>
  <c r="CD148" i="2"/>
  <c r="CD193" i="2"/>
  <c r="CD68" i="2"/>
  <c r="CD7" i="2"/>
  <c r="CD36" i="2"/>
  <c r="CD162" i="2"/>
  <c r="CD13" i="2"/>
  <c r="CD161" i="2"/>
  <c r="CD121" i="2"/>
  <c r="CD183" i="2"/>
  <c r="CD167" i="2"/>
  <c r="CD54" i="2"/>
  <c r="CD23" i="2"/>
  <c r="CD178" i="2"/>
  <c r="CD82" i="2"/>
  <c r="CD122" i="2"/>
  <c r="CD95" i="2"/>
  <c r="CD35" i="2"/>
  <c r="CD59" i="2"/>
  <c r="CD91" i="2"/>
  <c r="CD70" i="2"/>
  <c r="CD144" i="2"/>
  <c r="CD126" i="2"/>
  <c r="CD185" i="2"/>
  <c r="CD20" i="2"/>
  <c r="CD201" i="2"/>
  <c r="CD79" i="2"/>
  <c r="CD46" i="2"/>
  <c r="CD107" i="2"/>
  <c r="CD112" i="2"/>
  <c r="CD9" i="2"/>
  <c r="CD27" i="2"/>
  <c r="CD120" i="2"/>
  <c r="CD158" i="2"/>
  <c r="CD102" i="2"/>
  <c r="CD45" i="2"/>
  <c r="CD192" i="2"/>
  <c r="CD195" i="2"/>
  <c r="CD73" i="2"/>
  <c r="CD133" i="2"/>
  <c r="CD5" i="2"/>
  <c r="CD180" i="2"/>
  <c r="CD104" i="2"/>
  <c r="CD155" i="2"/>
  <c r="CD100" i="2"/>
  <c r="CD175" i="2"/>
  <c r="CD138" i="2"/>
  <c r="CD19" i="2"/>
  <c r="CD157" i="2"/>
  <c r="CD124" i="2"/>
  <c r="CD196" i="2"/>
  <c r="CD80" i="2"/>
  <c r="CD42" i="2"/>
  <c r="CD110" i="2"/>
  <c r="CD143" i="2"/>
  <c r="CD181" i="2"/>
  <c r="CD131" i="2"/>
  <c r="CD142" i="2"/>
  <c r="CD55" i="2"/>
  <c r="CD21" i="2"/>
  <c r="CD106" i="2"/>
  <c r="CD117" i="2"/>
  <c r="CD10" i="2"/>
  <c r="CD135" i="2"/>
  <c r="CD12" i="2"/>
  <c r="CD141" i="2"/>
  <c r="CD173" i="2"/>
  <c r="CD172" i="2"/>
  <c r="CD147" i="2"/>
  <c r="CD151" i="2"/>
  <c r="CD48" i="2"/>
  <c r="CD156" i="2"/>
  <c r="CD40" i="2"/>
  <c r="CD191" i="2"/>
  <c r="CD74" i="2"/>
  <c r="CD43" i="2"/>
  <c r="CD111" i="2"/>
  <c r="CD199" i="2"/>
  <c r="CD97" i="2"/>
  <c r="CD90" i="2"/>
  <c r="CD164" i="2"/>
  <c r="CD160" i="2"/>
  <c r="CD132" i="2"/>
  <c r="CD115" i="2"/>
  <c r="CD136" i="2"/>
  <c r="CD51" i="2"/>
  <c r="CD58" i="2"/>
  <c r="CD61" i="2"/>
  <c r="CD89" i="2"/>
  <c r="CD57" i="2"/>
  <c r="CD83" i="2"/>
  <c r="CD150" i="2"/>
  <c r="CD49" i="2"/>
  <c r="CD176" i="2"/>
  <c r="CD145" i="2"/>
  <c r="CD47" i="2"/>
  <c r="CD56" i="2"/>
  <c r="CD184" i="2"/>
  <c r="CD26" i="2"/>
  <c r="CD96" i="2"/>
  <c r="CD189" i="2"/>
  <c r="CD41" i="2"/>
  <c r="CD125" i="2"/>
  <c r="CD86" i="2"/>
  <c r="CD152" i="2"/>
  <c r="CD24" i="2"/>
  <c r="CD203" i="2"/>
  <c r="CD15" i="2"/>
  <c r="CD168" i="2"/>
  <c r="CD202" i="2"/>
  <c r="CD11" i="2"/>
  <c r="CD187" i="2"/>
  <c r="CD139" i="2"/>
  <c r="CD25" i="2"/>
  <c r="CD159" i="2"/>
  <c r="CD62" i="2"/>
  <c r="CD137" i="2"/>
  <c r="CD194" i="2"/>
  <c r="CD166" i="2"/>
  <c r="CD113" i="2"/>
  <c r="CD98" i="2"/>
  <c r="CD190" i="2"/>
  <c r="CD22" i="2"/>
  <c r="CD99" i="2"/>
  <c r="CD186" i="2"/>
  <c r="CD44" i="2"/>
  <c r="CD71" i="2"/>
  <c r="CD197" i="2"/>
  <c r="CD18" i="2"/>
  <c r="CD114" i="2"/>
  <c r="CD170" i="2"/>
  <c r="CD119" i="2"/>
  <c r="CD200" i="2"/>
  <c r="CD103" i="2"/>
  <c r="CD105" i="2"/>
  <c r="CD108" i="2"/>
  <c r="CD39" i="2"/>
  <c r="CD14" i="2"/>
  <c r="CD50" i="2"/>
  <c r="CD101" i="2"/>
  <c r="CD4" i="2"/>
  <c r="CD92" i="2"/>
  <c r="CD66" i="2"/>
  <c r="CD171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J87" i="2" l="1"/>
  <c r="FJ122" i="2"/>
  <c r="FJ85" i="2"/>
  <c r="FJ139" i="2"/>
  <c r="FJ118" i="2"/>
  <c r="FJ201" i="2"/>
  <c r="FJ198" i="2"/>
  <c r="FJ27" i="2"/>
  <c r="FJ66" i="2"/>
  <c r="FJ126" i="2"/>
  <c r="FJ143" i="2"/>
  <c r="FJ77" i="2"/>
  <c r="FJ3" i="2"/>
  <c r="C13" i="4" s="1"/>
  <c r="E13" i="4" s="1"/>
  <c r="F13" i="4" s="1"/>
  <c r="G13" i="4" s="1"/>
  <c r="L13" i="4" s="1"/>
  <c r="FJ144" i="2"/>
  <c r="FJ113" i="2"/>
  <c r="FJ79" i="2"/>
  <c r="FJ148" i="2"/>
  <c r="FJ107" i="2"/>
  <c r="FJ74" i="2"/>
  <c r="FJ40" i="2"/>
  <c r="FJ20" i="2"/>
  <c r="FJ82" i="2"/>
  <c r="FJ188" i="2"/>
  <c r="FJ15" i="2"/>
  <c r="FJ52" i="2"/>
  <c r="FJ119" i="2"/>
  <c r="FJ35" i="2"/>
  <c r="FJ6" i="2"/>
  <c r="FJ29" i="2"/>
  <c r="FJ73" i="2"/>
  <c r="FJ78" i="2"/>
  <c r="FJ14" i="2"/>
  <c r="FJ115" i="2"/>
  <c r="FJ120" i="2"/>
  <c r="FJ193" i="2"/>
  <c r="FJ168" i="2"/>
  <c r="FJ92" i="2"/>
  <c r="FJ57" i="2"/>
  <c r="FJ162" i="2"/>
  <c r="FJ175" i="2"/>
  <c r="FJ161" i="2"/>
  <c r="FJ142" i="2"/>
  <c r="FJ89" i="2"/>
  <c r="FJ169" i="2"/>
  <c r="FJ68" i="2"/>
  <c r="FJ165" i="2"/>
  <c r="FJ30" i="2"/>
  <c r="FJ197" i="2"/>
  <c r="FJ190" i="2"/>
  <c r="FJ38" i="2"/>
  <c r="FJ153" i="2"/>
  <c r="FJ65" i="2"/>
  <c r="FJ88" i="2"/>
  <c r="FJ179" i="2"/>
  <c r="FJ46" i="2"/>
  <c r="FJ111" i="2"/>
  <c r="FJ58" i="2"/>
  <c r="FJ121" i="2"/>
  <c r="FJ55" i="2"/>
  <c r="FJ98" i="2"/>
  <c r="FJ187" i="2"/>
  <c r="FJ163" i="2"/>
  <c r="FJ152" i="2"/>
  <c r="FJ127" i="2"/>
  <c r="FJ93" i="2"/>
  <c r="FJ16" i="2"/>
  <c r="FJ184" i="2"/>
  <c r="FJ183" i="2"/>
  <c r="FJ21" i="2"/>
  <c r="FJ185" i="2"/>
  <c r="FJ105" i="2"/>
  <c r="FJ101" i="2"/>
  <c r="FJ91" i="2"/>
  <c r="FJ56" i="2"/>
  <c r="FJ131" i="2"/>
  <c r="FJ166" i="2"/>
  <c r="FJ116" i="2"/>
  <c r="FJ75" i="2"/>
  <c r="FJ24" i="2"/>
  <c r="FJ45" i="2"/>
  <c r="FJ194" i="2"/>
  <c r="FJ177" i="2"/>
  <c r="FJ37" i="2"/>
  <c r="FJ18" i="2"/>
  <c r="FJ151" i="2"/>
  <c r="FJ196" i="2"/>
  <c r="FJ25" i="2"/>
  <c r="FJ102" i="2"/>
  <c r="FJ64" i="2"/>
  <c r="FJ147" i="2"/>
  <c r="FJ124" i="2"/>
  <c r="FJ173" i="2"/>
  <c r="FJ150" i="2"/>
  <c r="FJ84" i="2"/>
  <c r="FJ136" i="2"/>
  <c r="FJ42" i="2"/>
  <c r="FJ138" i="2"/>
  <c r="FJ159" i="2"/>
  <c r="FJ103" i="2"/>
  <c r="FJ174" i="2"/>
  <c r="FJ61" i="2"/>
  <c r="FJ49" i="2"/>
  <c r="FJ104" i="2"/>
  <c r="FJ70" i="2"/>
  <c r="FJ192" i="2"/>
  <c r="FJ164" i="2"/>
  <c r="FJ34" i="2"/>
  <c r="FJ71" i="2"/>
  <c r="FJ8" i="2"/>
  <c r="FJ41" i="2"/>
  <c r="FJ129" i="2"/>
  <c r="FJ99" i="2"/>
  <c r="FJ11" i="2"/>
  <c r="FJ128" i="2"/>
  <c r="FJ90" i="2"/>
  <c r="FJ50" i="2"/>
  <c r="FJ170" i="2"/>
  <c r="FJ83" i="2"/>
  <c r="FJ5" i="2"/>
  <c r="FJ23" i="2"/>
  <c r="FJ123" i="2"/>
  <c r="FJ32" i="2"/>
  <c r="FJ176" i="2"/>
  <c r="FJ96" i="2"/>
  <c r="FJ110" i="2"/>
  <c r="FJ59" i="2"/>
  <c r="FJ9" i="2"/>
  <c r="FJ117" i="2"/>
  <c r="FJ53" i="2"/>
  <c r="FJ62" i="2"/>
  <c r="FJ43" i="2"/>
  <c r="FJ4" i="2"/>
  <c r="FJ69" i="2"/>
  <c r="FJ114" i="2"/>
  <c r="FJ155" i="2"/>
  <c r="FJ31" i="2"/>
  <c r="FJ172" i="2"/>
  <c r="FJ76" i="2"/>
  <c r="FJ154" i="2"/>
  <c r="FJ199" i="2"/>
  <c r="FJ134" i="2"/>
  <c r="FJ17" i="2"/>
  <c r="FJ202" i="2"/>
  <c r="FJ54" i="2"/>
  <c r="FJ133" i="2"/>
  <c r="FJ94" i="2"/>
  <c r="FJ72" i="2"/>
  <c r="FJ200" i="2"/>
  <c r="FJ178" i="2"/>
  <c r="FJ149" i="2"/>
  <c r="FJ60" i="2"/>
  <c r="FJ36" i="2"/>
  <c r="FJ19" i="2"/>
  <c r="FJ10" i="2"/>
  <c r="FJ51" i="2"/>
  <c r="FJ137" i="2"/>
  <c r="FJ106" i="2"/>
  <c r="FJ28" i="2"/>
  <c r="FJ109" i="2"/>
  <c r="FJ97" i="2"/>
  <c r="FJ160" i="2"/>
  <c r="FJ13" i="2"/>
  <c r="FJ158" i="2"/>
  <c r="FJ145" i="2"/>
  <c r="FJ112" i="2"/>
  <c r="FJ7" i="2"/>
  <c r="FJ195" i="2"/>
  <c r="FJ67" i="2"/>
  <c r="FJ80" i="2"/>
  <c r="FJ33" i="2"/>
  <c r="FJ141" i="2"/>
  <c r="FJ44" i="2"/>
  <c r="FJ157" i="2"/>
  <c r="FJ26" i="2"/>
  <c r="FJ167" i="2"/>
  <c r="FJ100" i="2"/>
  <c r="FJ48" i="2"/>
  <c r="FJ81" i="2"/>
  <c r="FJ135" i="2"/>
  <c r="FJ180" i="2"/>
  <c r="FJ125" i="2"/>
  <c r="FJ108" i="2"/>
  <c r="FJ130" i="2"/>
  <c r="FJ95" i="2"/>
  <c r="FJ171" i="2"/>
  <c r="FJ86" i="2"/>
  <c r="FJ156" i="2"/>
  <c r="FJ22" i="2"/>
  <c r="FJ191" i="2"/>
  <c r="FJ140" i="2"/>
  <c r="FJ132" i="2"/>
  <c r="FJ203" i="2"/>
  <c r="FJ182" i="2"/>
  <c r="FJ47" i="2"/>
  <c r="FJ146" i="2"/>
  <c r="FJ39" i="2"/>
  <c r="FJ63" i="2"/>
  <c r="FJ189" i="2"/>
  <c r="FJ181" i="2"/>
  <c r="FJ186" i="2"/>
  <c r="FJ12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AN77" i="2" l="1"/>
  <c r="AN50" i="2"/>
  <c r="AN132" i="2"/>
  <c r="AN60" i="2"/>
  <c r="AN99" i="2"/>
  <c r="AN147" i="2"/>
  <c r="AN199" i="2"/>
  <c r="AN122" i="2"/>
  <c r="AN83" i="2"/>
  <c r="AN163" i="2"/>
  <c r="AN105" i="2"/>
  <c r="AN174" i="2"/>
  <c r="AN192" i="2"/>
  <c r="AN141" i="2"/>
  <c r="AN123" i="2"/>
  <c r="AN25" i="2"/>
  <c r="AN103" i="2"/>
  <c r="AN96" i="2"/>
  <c r="AN70" i="2"/>
  <c r="AN51" i="2"/>
  <c r="AN119" i="2"/>
  <c r="AN113" i="2"/>
  <c r="AN93" i="2"/>
  <c r="AN101" i="2"/>
  <c r="AN144" i="2"/>
  <c r="AN57" i="2"/>
  <c r="AN152" i="2"/>
  <c r="AN193" i="2"/>
  <c r="AN172" i="2"/>
  <c r="AN18" i="2"/>
  <c r="AN88" i="2"/>
  <c r="AN135" i="2"/>
  <c r="AN169" i="2"/>
  <c r="AN154" i="2"/>
  <c r="AN137" i="2"/>
  <c r="AN54" i="2"/>
  <c r="AN176" i="2"/>
  <c r="AN179" i="2"/>
  <c r="AN80" i="2"/>
  <c r="AN44" i="2"/>
  <c r="AN202" i="2"/>
  <c r="AN42" i="2"/>
  <c r="AN85" i="2"/>
  <c r="AN19" i="2"/>
  <c r="AN92" i="2"/>
  <c r="AN28" i="2"/>
  <c r="AN178" i="2"/>
  <c r="AN182" i="2"/>
  <c r="AN73" i="2"/>
  <c r="AN7" i="2"/>
  <c r="AN8" i="2"/>
  <c r="AN89" i="2"/>
  <c r="AN201" i="2"/>
  <c r="AN78" i="2"/>
  <c r="AN160" i="2"/>
  <c r="AN185" i="2"/>
  <c r="AN68" i="2"/>
  <c r="AN87" i="2"/>
  <c r="AN76" i="2"/>
  <c r="AN187" i="2"/>
  <c r="AN34" i="2"/>
  <c r="AN52" i="2"/>
  <c r="AN91" i="2"/>
  <c r="AN90" i="2"/>
  <c r="AN5" i="2"/>
  <c r="AN203" i="2"/>
  <c r="AN145" i="2"/>
  <c r="AN190" i="2"/>
  <c r="AN180" i="2"/>
  <c r="AN161" i="2"/>
  <c r="AN84" i="2"/>
  <c r="AN3" i="2"/>
  <c r="C7" i="4" s="1"/>
  <c r="E7" i="4" s="1"/>
  <c r="F7" i="4" s="1"/>
  <c r="G7" i="4" s="1"/>
  <c r="L7" i="4" s="1"/>
  <c r="AN142" i="2"/>
  <c r="AN155" i="2"/>
  <c r="AN56" i="2"/>
  <c r="AN74" i="2"/>
  <c r="AN10" i="2"/>
  <c r="AN12" i="2"/>
  <c r="AN48" i="2"/>
  <c r="AN183" i="2"/>
  <c r="AN143" i="2"/>
  <c r="AN17" i="2"/>
  <c r="AN158" i="2"/>
  <c r="AN167" i="2"/>
  <c r="AN66" i="2"/>
  <c r="AN120" i="2"/>
  <c r="AN47" i="2"/>
  <c r="AN200" i="2"/>
  <c r="AN37" i="2"/>
  <c r="AN104" i="2"/>
  <c r="AN79" i="2"/>
  <c r="AN32" i="2"/>
  <c r="AN72" i="2"/>
  <c r="AN13" i="2"/>
  <c r="AN40" i="2"/>
  <c r="AN118" i="2"/>
  <c r="AN189" i="2"/>
  <c r="AN130" i="2"/>
  <c r="AN45" i="2"/>
  <c r="AN124" i="2"/>
  <c r="AN102" i="2"/>
  <c r="AN41" i="2"/>
  <c r="AN125" i="2"/>
  <c r="AN95" i="2"/>
  <c r="AN136" i="2"/>
  <c r="AN20" i="2"/>
  <c r="AN107" i="2"/>
  <c r="AN55" i="2"/>
  <c r="AN165" i="2"/>
  <c r="AN175" i="2"/>
  <c r="AN138" i="2"/>
  <c r="AN82" i="2"/>
  <c r="AN75" i="2"/>
  <c r="AN134" i="2"/>
  <c r="AN181" i="2"/>
  <c r="AN65" i="2"/>
  <c r="AN11" i="2"/>
  <c r="AN195" i="2"/>
  <c r="AN131" i="2"/>
  <c r="AN139" i="2"/>
  <c r="AN14" i="2"/>
  <c r="AN22" i="2"/>
  <c r="AN162" i="2"/>
  <c r="AN159" i="2"/>
  <c r="AN196" i="2"/>
  <c r="AN129" i="2"/>
  <c r="AN4" i="2"/>
  <c r="AN61" i="2"/>
  <c r="AN94" i="2"/>
  <c r="AN186" i="2"/>
  <c r="AN156" i="2"/>
  <c r="AN191" i="2"/>
  <c r="AN116" i="2"/>
  <c r="AN27" i="2"/>
  <c r="AN112" i="2"/>
  <c r="AN166" i="2"/>
  <c r="AN173" i="2"/>
  <c r="AN197" i="2"/>
  <c r="AN108" i="2"/>
  <c r="AN170" i="2"/>
  <c r="AN46" i="2"/>
  <c r="AN23" i="2"/>
  <c r="AN126" i="2"/>
  <c r="AN98" i="2"/>
  <c r="AN146" i="2"/>
  <c r="AN43" i="2"/>
  <c r="AN168" i="2"/>
  <c r="AN97" i="2"/>
  <c r="AN184" i="2"/>
  <c r="AN164" i="2"/>
  <c r="AN58" i="2"/>
  <c r="AN100" i="2"/>
  <c r="AN30" i="2"/>
  <c r="AN33" i="2"/>
  <c r="AN194" i="2"/>
  <c r="AN115" i="2"/>
  <c r="AN177" i="2"/>
  <c r="AN109" i="2"/>
  <c r="AN188" i="2"/>
  <c r="AN133" i="2"/>
  <c r="AN157" i="2"/>
  <c r="AN64" i="2"/>
  <c r="AN117" i="2"/>
  <c r="AN35" i="2"/>
  <c r="AN6" i="2"/>
  <c r="AN111" i="2"/>
  <c r="AN127" i="2"/>
  <c r="AN53" i="2"/>
  <c r="AN110" i="2"/>
  <c r="AN31" i="2"/>
  <c r="AN16" i="2"/>
  <c r="AN26" i="2"/>
  <c r="AN148" i="2"/>
  <c r="AN21" i="2"/>
  <c r="AN86" i="2"/>
  <c r="AN128" i="2"/>
  <c r="AN59" i="2"/>
  <c r="AN24" i="2"/>
  <c r="AN198" i="2"/>
  <c r="AN63" i="2"/>
  <c r="AN151" i="2"/>
  <c r="AN67" i="2"/>
  <c r="AN140" i="2"/>
  <c r="AN106" i="2"/>
  <c r="AN121" i="2"/>
  <c r="AN149" i="2"/>
  <c r="AN62" i="2"/>
  <c r="AN71" i="2"/>
  <c r="AN9" i="2"/>
  <c r="AN38" i="2"/>
  <c r="AN171" i="2"/>
  <c r="AN150" i="2"/>
  <c r="AN81" i="2"/>
  <c r="AN49" i="2"/>
  <c r="AN39" i="2"/>
  <c r="AN36" i="2"/>
  <c r="AN153" i="2"/>
  <c r="AN29" i="2"/>
  <c r="AN114" i="2"/>
  <c r="AN69" i="2"/>
  <c r="AN15" i="2"/>
  <c r="FE165" i="2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30" i="2"/>
  <c r="BI171" i="2"/>
  <c r="BI98" i="2"/>
  <c r="BI146" i="2"/>
  <c r="BI80" i="2"/>
  <c r="BI125" i="2"/>
  <c r="BI145" i="2"/>
  <c r="BI102" i="2"/>
  <c r="BI198" i="2"/>
  <c r="BI165" i="2"/>
  <c r="BI135" i="2"/>
  <c r="BI69" i="2"/>
  <c r="BI199" i="2"/>
  <c r="BI152" i="2"/>
  <c r="BI154" i="2"/>
  <c r="BI168" i="2"/>
  <c r="BI142" i="2"/>
  <c r="BI158" i="2"/>
  <c r="BI38" i="2"/>
  <c r="BI81" i="2"/>
  <c r="BI182" i="2"/>
  <c r="BI91" i="2"/>
  <c r="BI75" i="2"/>
  <c r="BI195" i="2"/>
  <c r="BI32" i="2"/>
  <c r="BI123" i="2"/>
  <c r="BI63" i="2"/>
  <c r="BI94" i="2"/>
  <c r="BI31" i="2"/>
  <c r="BI170" i="2"/>
  <c r="BI90" i="2"/>
  <c r="BI167" i="2"/>
  <c r="BI39" i="2"/>
  <c r="BI45" i="2"/>
  <c r="BI68" i="2"/>
  <c r="BI56" i="2"/>
  <c r="BI144" i="2"/>
  <c r="BI101" i="2"/>
  <c r="BI19" i="2"/>
  <c r="BI108" i="2"/>
  <c r="BI15" i="2"/>
  <c r="BI114" i="2"/>
  <c r="BI93" i="2"/>
  <c r="BI121" i="2"/>
  <c r="BI169" i="2"/>
  <c r="BI29" i="2"/>
  <c r="BI196" i="2"/>
  <c r="BI52" i="2"/>
  <c r="BI201" i="2"/>
  <c r="BI46" i="2"/>
  <c r="BI79" i="2"/>
  <c r="BI132" i="2"/>
  <c r="BI151" i="2"/>
  <c r="BI156" i="2"/>
  <c r="BI6" i="2"/>
  <c r="BI66" i="2"/>
  <c r="BI60" i="2"/>
  <c r="BI166" i="2"/>
  <c r="BI9" i="2"/>
  <c r="BI36" i="2"/>
  <c r="BI150" i="2"/>
  <c r="BI117" i="2"/>
  <c r="BI33" i="2"/>
  <c r="BI76" i="2"/>
  <c r="BI103" i="2"/>
  <c r="BI3" i="2"/>
  <c r="C8" i="4" s="1"/>
  <c r="E8" i="4" s="1"/>
  <c r="F8" i="4" s="1"/>
  <c r="G8" i="4" s="1"/>
  <c r="L8" i="4" s="1"/>
  <c r="BI74" i="2"/>
  <c r="BI28" i="2"/>
  <c r="BI131" i="2"/>
  <c r="BI11" i="2"/>
  <c r="BI85" i="2"/>
  <c r="BI120" i="2"/>
  <c r="BI95" i="2"/>
  <c r="BI58" i="2"/>
  <c r="BI71" i="2"/>
  <c r="BI160" i="2"/>
  <c r="BI77" i="2"/>
  <c r="BI127" i="2"/>
  <c r="BI147" i="2"/>
  <c r="BI53" i="2"/>
  <c r="BI10" i="2"/>
  <c r="BI105" i="2"/>
  <c r="BI173" i="2"/>
  <c r="BI82" i="2"/>
  <c r="BI155" i="2"/>
  <c r="BI64" i="2"/>
  <c r="BI191" i="2"/>
  <c r="BI41" i="2"/>
  <c r="BI153" i="2"/>
  <c r="BI133" i="2"/>
  <c r="BI116" i="2"/>
  <c r="BI197" i="2"/>
  <c r="BI176" i="2"/>
  <c r="BI126" i="2"/>
  <c r="BI194" i="2"/>
  <c r="BI162" i="2"/>
  <c r="BI37" i="2"/>
  <c r="BI164" i="2"/>
  <c r="BI149" i="2"/>
  <c r="BI13" i="2"/>
  <c r="BI57" i="2"/>
  <c r="BI113" i="2"/>
  <c r="BI186" i="2"/>
  <c r="BI183" i="2"/>
  <c r="BI138" i="2"/>
  <c r="BI35" i="2"/>
  <c r="BI7" i="2"/>
  <c r="BI26" i="2"/>
  <c r="BI188" i="2"/>
  <c r="BI122" i="2"/>
  <c r="BI59" i="2"/>
  <c r="BI96" i="2"/>
  <c r="BI200" i="2"/>
  <c r="BI134" i="2"/>
  <c r="BI187" i="2"/>
  <c r="BI73" i="2"/>
  <c r="BI43" i="2"/>
  <c r="BI34" i="2"/>
  <c r="BI20" i="2"/>
  <c r="BI24" i="2"/>
  <c r="BI109" i="2"/>
  <c r="BI92" i="2"/>
  <c r="BI143" i="2"/>
  <c r="BI42" i="2"/>
  <c r="BI129" i="2"/>
  <c r="BI128" i="2"/>
  <c r="BI51" i="2"/>
  <c r="BI49" i="2"/>
  <c r="BI84" i="2"/>
  <c r="BI192" i="2"/>
  <c r="BI25" i="2"/>
  <c r="BI50" i="2"/>
  <c r="BI23" i="2"/>
  <c r="BI172" i="2"/>
  <c r="BI130" i="2"/>
  <c r="BI185" i="2"/>
  <c r="BI179" i="2"/>
  <c r="BI40" i="2"/>
  <c r="BI27" i="2"/>
  <c r="BI106" i="2"/>
  <c r="BI175" i="2"/>
  <c r="BI139" i="2"/>
  <c r="BI65" i="2"/>
  <c r="BI83" i="2"/>
  <c r="BI70" i="2"/>
  <c r="BI180" i="2"/>
  <c r="BI17" i="2"/>
  <c r="BI21" i="2"/>
  <c r="BI44" i="2"/>
  <c r="BI157" i="2"/>
  <c r="BI203" i="2"/>
  <c r="BI54" i="2"/>
  <c r="BI148" i="2"/>
  <c r="BI111" i="2"/>
  <c r="BI16" i="2"/>
  <c r="BI104" i="2"/>
  <c r="BI178" i="2"/>
  <c r="BI78" i="2"/>
  <c r="BI12" i="2"/>
  <c r="BI184" i="2"/>
  <c r="BI86" i="2"/>
  <c r="BI163" i="2"/>
  <c r="BI119" i="2"/>
  <c r="BI89" i="2"/>
  <c r="BI141" i="2"/>
  <c r="BI55" i="2"/>
  <c r="BI137" i="2"/>
  <c r="BI112" i="2"/>
  <c r="BI110" i="2"/>
  <c r="BI193" i="2"/>
  <c r="BI115" i="2"/>
  <c r="BI181" i="2"/>
  <c r="BI61" i="2"/>
  <c r="BI8" i="2"/>
  <c r="BI118" i="2"/>
  <c r="BI87" i="2"/>
  <c r="BI62" i="2"/>
  <c r="BI159" i="2"/>
  <c r="BI72" i="2"/>
  <c r="BI5" i="2"/>
  <c r="BI202" i="2"/>
  <c r="BI18" i="2"/>
  <c r="BI97" i="2"/>
  <c r="BI190" i="2"/>
  <c r="BI107" i="2"/>
  <c r="BI14" i="2"/>
  <c r="BI99" i="2"/>
  <c r="BI88" i="2"/>
  <c r="BI140" i="2"/>
  <c r="BI189" i="2"/>
  <c r="BI136" i="2"/>
  <c r="BI22" i="2"/>
  <c r="BI48" i="2"/>
  <c r="BI100" i="2"/>
  <c r="BI174" i="2"/>
  <c r="BI161" i="2"/>
  <c r="BI67" i="2"/>
  <c r="BI177" i="2"/>
  <c r="BI4" i="2"/>
  <c r="BI124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<sst xmlns="http://schemas.openxmlformats.org/spreadsheetml/2006/main" count="1178" uniqueCount="324">
  <si>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</si>
  <si>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</si>
  <si>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</si>
  <si>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</si>
  <si>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</si>
  <si>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</si>
  <si>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</si>
  <si>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</si>
  <si>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</si>
  <si>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</si>
  <si>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</si>
  <si>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</si>
  <si>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</si>
  <si>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</si>
  <si>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</si>
  <si>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</si>
  <si>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Alisier torminal</t>
  </si>
  <si>
    <t>NB : La durée de révolution doit être identique à la dernière année indiquée dans la table de production renseignée en dessous</t>
  </si>
  <si>
    <t>Essence 2</t>
  </si>
  <si>
    <t>Bouleau verruqueux</t>
  </si>
  <si>
    <t>Essence 3</t>
  </si>
  <si>
    <t>Charme</t>
  </si>
  <si>
    <t>Essence 4</t>
  </si>
  <si>
    <t>Chêne chevelu</t>
  </si>
  <si>
    <t>Essence 5</t>
  </si>
  <si>
    <t>Chêne sessile</t>
  </si>
  <si>
    <t>Essence 6</t>
  </si>
  <si>
    <t>Chêne pubescent</t>
  </si>
  <si>
    <t>Essence 7</t>
  </si>
  <si>
    <t>Cormier</t>
  </si>
  <si>
    <t>Essence 8</t>
  </si>
  <si>
    <t>Erable champêtre</t>
  </si>
  <si>
    <t>Essence 9</t>
  </si>
  <si>
    <t>Erable plane</t>
  </si>
  <si>
    <t>Essence 10</t>
  </si>
  <si>
    <t>Hêtre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</si>
  <si>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</si>
  <si>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</si>
  <si>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</si>
  <si>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</si>
  <si>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</si>
  <si>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</si>
  <si>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</si>
  <si>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</si>
  <si>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</si>
  <si>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</si>
  <si>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</si>
  <si>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</si>
  <si>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</si>
  <si>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</si>
  <si>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</si>
  <si>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</si>
  <si>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</si>
  <si>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</si>
  <si>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</si>
  <si>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</si>
  <si>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</si>
  <si>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</si>
  <si>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</si>
  <si>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</si>
  <si>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</si>
  <si>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</si>
  <si>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</si>
  <si>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</si>
  <si>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</si>
  <si>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</si>
  <si>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</si>
  <si>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</si>
  <si>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</si>
  <si>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</si>
  <si>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</si>
  <si>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</si>
  <si>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</si>
  <si>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</si>
  <si>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</si>
  <si>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</si>
  <si>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</si>
  <si>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Feuillus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</si>
  <si>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</si>
  <si>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</si>
  <si>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</si>
  <si>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</si>
  <si>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</si>
  <si>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</si>
  <si>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</si>
  <si>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</si>
  <si>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</si>
  <si>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</si>
  <si>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</si>
  <si>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</si>
  <si>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</si>
  <si>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</si>
  <si>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</si>
  <si>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</si>
  <si>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</si>
  <si>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</si>
  <si>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</si>
  <si>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</si>
  <si>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</si>
  <si>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</si>
  <si>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</si>
  <si>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</si>
  <si>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</si>
  <si>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</si>
  <si>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</si>
  <si>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</si>
  <si>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</si>
  <si>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</si>
  <si>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</si>
  <si>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</si>
  <si>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</si>
  <si>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</si>
  <si>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</si>
  <si>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</si>
  <si>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</si>
  <si>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</si>
  <si>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</si>
  <si>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</si>
  <si>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</si>
  <si>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</si>
  <si>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</si>
  <si>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</si>
  <si>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</si>
  <si>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</si>
  <si>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</si>
  <si>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</si>
  <si>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</si>
  <si>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</si>
  <si>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</si>
  <si>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Betula pendula</t>
  </si>
  <si>
    <t>Cèdre de l'Atlas</t>
  </si>
  <si>
    <t>Cedrus atlantica</t>
  </si>
  <si>
    <t>Assimilation à épicéa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</si>
  <si>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</si>
  <si>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</si>
  <si>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</si>
  <si>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</si>
  <si>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</si>
  <si>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</si>
  <si>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</si>
  <si>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</si>
  <si>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</si>
  <si>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</si>
  <si>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</si>
  <si>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</si>
  <si>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</si>
  <si>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</si>
  <si>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</si>
  <si>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</si>
  <si>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</si>
  <si>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</si>
  <si>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</si>
  <si>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</si>
  <si>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</si>
  <si>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</si>
  <si>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</si>
  <si>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</si>
  <si>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</si>
  <si>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</si>
  <si>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</si>
  <si>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</si>
  <si>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</si>
  <si>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</si>
  <si>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</si>
  <si>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</si>
  <si>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</si>
  <si>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Acer campestre</t>
  </si>
  <si>
    <t>Assimilation au hêtre</t>
  </si>
  <si>
    <t>Acer platanoides</t>
  </si>
  <si>
    <t>Erable sycomore</t>
  </si>
  <si>
    <t>Acer pseudoplatanus</t>
  </si>
  <si>
    <t>Eucalyptus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</si>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</sst>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9" fillId="14" borderId="54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3.1331707296355051</c:v>
                </c:pt>
                <c:pt idx="2">
                  <c:v>3.8074561127519577</c:v>
                </c:pt>
                <c:pt idx="3">
                  <c:v>4.6273966455976021</c:v>
                </c:pt>
                <c:pt idx="4">
                  <c:v>5.6245664667194042</c:v>
                </c:pt>
                <c:pt idx="5">
                  <c:v>6.8374065703973601</c:v>
                </c:pt>
                <c:pt idx="6">
                  <c:v>8.3127227678417679</c:v>
                </c:pt>
                <c:pt idx="7">
                  <c:v>10.107511332386993</c:v>
                </c:pt>
                <c:pt idx="8">
                  <c:v>12.29118419406768</c:v>
                </c:pt>
                <c:pt idx="9">
                  <c:v>14.948281346719861</c:v>
                </c:pt>
                <c:pt idx="10">
                  <c:v>18.181777408575769</c:v>
                </c:pt>
                <c:pt idx="11">
                  <c:v>22.117112803300675</c:v>
                </c:pt>
                <c:pt idx="12">
                  <c:v>26.907108740450607</c:v>
                </c:pt>
                <c:pt idx="13">
                  <c:v>32.737960217723987</c:v>
                </c:pt>
                <c:pt idx="14">
                  <c:v>39.83654404080648</c:v>
                </c:pt>
                <c:pt idx="15">
                  <c:v>48.479331068216901</c:v>
                </c:pt>
                <c:pt idx="16">
                  <c:v>59.00325562456328</c:v>
                </c:pt>
                <c:pt idx="17">
                  <c:v>71.818972834079091</c:v>
                </c:pt>
                <c:pt idx="18">
                  <c:v>87.427029619541131</c:v>
                </c:pt>
                <c:pt idx="19">
                  <c:v>106.4375910913469</c:v>
                </c:pt>
                <c:pt idx="20">
                  <c:v>129.59450566158588</c:v>
                </c:pt>
                <c:pt idx="21">
                  <c:v>120.28525398896561</c:v>
                </c:pt>
                <c:pt idx="22">
                  <c:v>135.34918863916872</c:v>
                </c:pt>
                <c:pt idx="23">
                  <c:v>150.37272976362615</c:v>
                </c:pt>
                <c:pt idx="24">
                  <c:v>165.36048512869436</c:v>
                </c:pt>
                <c:pt idx="25">
                  <c:v>180.3161572241163</c:v>
                </c:pt>
                <c:pt idx="26">
                  <c:v>195.24278318241952</c:v>
                </c:pt>
                <c:pt idx="27">
                  <c:v>210.14289721932323</c:v>
                </c:pt>
                <c:pt idx="28">
                  <c:v>225.01864445582441</c:v>
                </c:pt>
                <c:pt idx="29">
                  <c:v>239.87186299455308</c:v>
                </c:pt>
                <c:pt idx="30">
                  <c:v>254.70414456356775</c:v>
                </c:pt>
                <c:pt idx="31">
                  <c:v>200.94289182717037</c:v>
                </c:pt>
                <c:pt idx="32">
                  <c:v>217.1461655486612</c:v>
                </c:pt>
                <c:pt idx="33">
                  <c:v>233.32164253354537</c:v>
                </c:pt>
                <c:pt idx="34">
                  <c:v>249.47152135339442</c:v>
                </c:pt>
                <c:pt idx="35">
                  <c:v>265.59769251928259</c:v>
                </c:pt>
                <c:pt idx="36">
                  <c:v>281.7017981314915</c:v>
                </c:pt>
                <c:pt idx="37">
                  <c:v>297.78527715781979</c:v>
                </c:pt>
                <c:pt idx="38">
                  <c:v>313.84940040812506</c:v>
                </c:pt>
                <c:pt idx="39">
                  <c:v>329.8952979680061</c:v>
                </c:pt>
                <c:pt idx="40">
                  <c:v>345.92398101265053</c:v>
                </c:pt>
                <c:pt idx="41">
                  <c:v>277.56898266245963</c:v>
                </c:pt>
                <c:pt idx="42">
                  <c:v>293.87490695294537</c:v>
                </c:pt>
                <c:pt idx="43">
                  <c:v>310.16064520628487</c:v>
                </c:pt>
                <c:pt idx="44">
                  <c:v>326.42740643086177</c:v>
                </c:pt>
                <c:pt idx="45">
                  <c:v>342.67626929844113</c:v>
                </c:pt>
                <c:pt idx="46">
                  <c:v>358.90820183854049</c:v>
                </c:pt>
                <c:pt idx="47">
                  <c:v>375.12407738251142</c:v>
                </c:pt>
                <c:pt idx="48">
                  <c:v>391.32468760597868</c:v>
                </c:pt>
                <c:pt idx="49">
                  <c:v>407.51075329837641</c:v>
                </c:pt>
                <c:pt idx="50">
                  <c:v>423.68293333202706</c:v>
                </c:pt>
                <c:pt idx="51">
                  <c:v>346.35695848873121</c:v>
                </c:pt>
                <c:pt idx="52">
                  <c:v>361.93635936439574</c:v>
                </c:pt>
                <c:pt idx="53">
                  <c:v>377.501104172255</c:v>
                </c:pt>
                <c:pt idx="54">
                  <c:v>393.0518821794181</c:v>
                </c:pt>
                <c:pt idx="55">
                  <c:v>408.58932367001057</c:v>
                </c:pt>
                <c:pt idx="56">
                  <c:v>424.11400709030039</c:v>
                </c:pt>
                <c:pt idx="57">
                  <c:v>439.62646509306978</c:v>
                </c:pt>
                <c:pt idx="58">
                  <c:v>455.12718968444187</c:v>
                </c:pt>
                <c:pt idx="59">
                  <c:v>470.61663663308497</c:v>
                </c:pt>
                <c:pt idx="60">
                  <c:v>486.09522926878554</c:v>
                </c:pt>
                <c:pt idx="61">
                  <c:v>406.00065109020443</c:v>
                </c:pt>
                <c:pt idx="62">
                  <c:v>420.66515204332671</c:v>
                </c:pt>
                <c:pt idx="63">
                  <c:v>435.31864626323141</c:v>
                </c:pt>
                <c:pt idx="64">
                  <c:v>449.96155636424373</c:v>
                </c:pt>
                <c:pt idx="65">
                  <c:v>464.59427521679351</c:v>
                </c:pt>
                <c:pt idx="66">
                  <c:v>479.21716893121788</c:v>
                </c:pt>
                <c:pt idx="67">
                  <c:v>493.8305794584615</c:v>
                </c:pt>
                <c:pt idx="68">
                  <c:v>508.43482686697394</c:v>
                </c:pt>
                <c:pt idx="69">
                  <c:v>523.03021134444577</c:v>
                </c:pt>
                <c:pt idx="70">
                  <c:v>537.61701496454418</c:v>
                </c:pt>
                <c:pt idx="71">
                  <c:v>456.84878825602186</c:v>
                </c:pt>
                <c:pt idx="72">
                  <c:v>470.61663663308531</c:v>
                </c:pt>
                <c:pt idx="73">
                  <c:v>484.37590916507162</c:v>
                </c:pt>
                <c:pt idx="74">
                  <c:v>498.1268837266411</c:v>
                </c:pt>
                <c:pt idx="75">
                  <c:v>511.86982160316484</c:v>
                </c:pt>
                <c:pt idx="76">
                  <c:v>525.60496890923503</c:v>
                </c:pt>
                <c:pt idx="77">
                  <c:v>539.33255785122026</c:v>
                </c:pt>
                <c:pt idx="78">
                  <c:v>553.05280785462685</c:v>
                </c:pt>
                <c:pt idx="79">
                  <c:v>566.76592657380661</c:v>
                </c:pt>
                <c:pt idx="80">
                  <c:v>580.47211079889212</c:v>
                </c:pt>
                <c:pt idx="81">
                  <c:v>500.48951609357965</c:v>
                </c:pt>
                <c:pt idx="82">
                  <c:v>512.72849407236038</c:v>
                </c:pt>
                <c:pt idx="83">
                  <c:v>524.96130448437145</c:v>
                </c:pt>
                <c:pt idx="84">
                  <c:v>537.18811127897277</c:v>
                </c:pt>
                <c:pt idx="85">
                  <c:v>549.4090703350206</c:v>
                </c:pt>
                <c:pt idx="86">
                  <c:v>561.62433003260412</c:v>
                </c:pt>
                <c:pt idx="87">
                  <c:v>573.8340317724693</c:v>
                </c:pt>
                <c:pt idx="88">
                  <c:v>586.03831044894582</c:v>
                </c:pt>
                <c:pt idx="89">
                  <c:v>598.23729488144238</c:v>
                </c:pt>
                <c:pt idx="90">
                  <c:v>610.43110820893151</c:v>
                </c:pt>
                <c:pt idx="91">
                  <c:v>535.68689164683963</c:v>
                </c:pt>
                <c:pt idx="92">
                  <c:v>546.62234098884994</c:v>
                </c:pt>
                <c:pt idx="93">
                  <c:v>557.55320119545502</c:v>
                </c:pt>
                <c:pt idx="94">
                  <c:v>568.47957490897636</c:v>
                </c:pt>
                <c:pt idx="95">
                  <c:v>579.40156050484518</c:v>
                </c:pt>
                <c:pt idx="96">
                  <c:v>590.31925234777316</c:v>
                </c:pt>
                <c:pt idx="97">
                  <c:v>601.23274102799098</c:v>
                </c:pt>
                <c:pt idx="98">
                  <c:v>612.14211357944748</c:v>
                </c:pt>
                <c:pt idx="99">
                  <c:v>623.04745368164947</c:v>
                </c:pt>
                <c:pt idx="100">
                  <c:v>633.94884184664045</c:v>
                </c:pt>
                <c:pt idx="101">
                  <c:v>564.62371375974249</c:v>
                </c:pt>
                <c:pt idx="102">
                  <c:v>574.47649627813678</c:v>
                </c:pt>
                <c:pt idx="103">
                  <c:v>584.32575150478203</c:v>
                </c:pt>
                <c:pt idx="104">
                  <c:v>594.17154727265449</c:v>
                </c:pt>
                <c:pt idx="105">
                  <c:v>604.01394898353124</c:v>
                </c:pt>
                <c:pt idx="106">
                  <c:v>613.8530197341679</c:v>
                </c:pt>
                <c:pt idx="107">
                  <c:v>623.68882043396752</c:v>
                </c:pt>
                <c:pt idx="108">
                  <c:v>633.52140991484259</c:v>
                </c:pt>
                <c:pt idx="109">
                  <c:v>643.35084503390385</c:v>
                </c:pt>
                <c:pt idx="110">
                  <c:v>653.17718076954918</c:v>
                </c:pt>
                <c:pt idx="111">
                  <c:v>589.24907767799493</c:v>
                </c:pt>
                <c:pt idx="112">
                  <c:v>598.02332252750512</c:v>
                </c:pt>
                <c:pt idx="113">
                  <c:v>606.79489091641142</c:v>
                </c:pt>
                <c:pt idx="114">
                  <c:v>615.56382698883453</c:v>
                </c:pt>
                <c:pt idx="115">
                  <c:v>624.33017352867842</c:v>
                </c:pt>
                <c:pt idx="116">
                  <c:v>633.09397202046296</c:v>
                </c:pt>
                <c:pt idx="117">
                  <c:v>641.85526270661398</c:v>
                </c:pt>
                <c:pt idx="118">
                  <c:v>650.61408464146211</c:v>
                </c:pt>
                <c:pt idx="119">
                  <c:v>659.37047574218514</c:v>
                </c:pt>
                <c:pt idx="120">
                  <c:v>668.12447283690233</c:v>
                </c:pt>
                <c:pt idx="121">
                  <c:v>601.8745819333426</c:v>
                </c:pt>
                <c:pt idx="122">
                  <c:v>601.8745819333426</c:v>
                </c:pt>
                <c:pt idx="123">
                  <c:v>601.8745819333426</c:v>
                </c:pt>
                <c:pt idx="124">
                  <c:v>601.8745819333426</c:v>
                </c:pt>
                <c:pt idx="125">
                  <c:v>601.8745819333426</c:v>
                </c:pt>
                <c:pt idx="126">
                  <c:v>601.8745819333426</c:v>
                </c:pt>
                <c:pt idx="127">
                  <c:v>601.8745819333426</c:v>
                </c:pt>
                <c:pt idx="128">
                  <c:v>601.8745819333426</c:v>
                </c:pt>
                <c:pt idx="129">
                  <c:v>601.8745819333426</c:v>
                </c:pt>
                <c:pt idx="130">
                  <c:v>601.8745819333426</c:v>
                </c:pt>
                <c:pt idx="131">
                  <c:v>601.8745819333426</c:v>
                </c:pt>
                <c:pt idx="132">
                  <c:v>601.8745819333426</c:v>
                </c:pt>
                <c:pt idx="133">
                  <c:v>601.8745819333426</c:v>
                </c:pt>
                <c:pt idx="134">
                  <c:v>601.8745819333426</c:v>
                </c:pt>
                <c:pt idx="135">
                  <c:v>601.8745819333426</c:v>
                </c:pt>
                <c:pt idx="136">
                  <c:v>601.8745819333426</c:v>
                </c:pt>
                <c:pt idx="137">
                  <c:v>601.8745819333426</c:v>
                </c:pt>
                <c:pt idx="138">
                  <c:v>601.8745819333426</c:v>
                </c:pt>
                <c:pt idx="139">
                  <c:v>601.8745819333426</c:v>
                </c:pt>
                <c:pt idx="140">
                  <c:v>601.8745819333426</c:v>
                </c:pt>
                <c:pt idx="141">
                  <c:v>601.8745819333426</c:v>
                </c:pt>
                <c:pt idx="142">
                  <c:v>601.8745819333426</c:v>
                </c:pt>
                <c:pt idx="143">
                  <c:v>601.8745819333426</c:v>
                </c:pt>
                <c:pt idx="144">
                  <c:v>601.8745819333426</c:v>
                </c:pt>
                <c:pt idx="145">
                  <c:v>601.8745819333426</c:v>
                </c:pt>
                <c:pt idx="146">
                  <c:v>601.8745819333426</c:v>
                </c:pt>
                <c:pt idx="147">
                  <c:v>601.8745819333426</c:v>
                </c:pt>
                <c:pt idx="148">
                  <c:v>601.8745819333426</c:v>
                </c:pt>
                <c:pt idx="149">
                  <c:v>601.8745819333426</c:v>
                </c:pt>
                <c:pt idx="150">
                  <c:v>601.8745819333426</c:v>
                </c:pt>
                <c:pt idx="151">
                  <c:v>601.8745819333426</c:v>
                </c:pt>
                <c:pt idx="152">
                  <c:v>601.8745819333426</c:v>
                </c:pt>
                <c:pt idx="153">
                  <c:v>601.8745819333426</c:v>
                </c:pt>
                <c:pt idx="154">
                  <c:v>601.8745819333426</c:v>
                </c:pt>
                <c:pt idx="155">
                  <c:v>601.8745819333426</c:v>
                </c:pt>
                <c:pt idx="156">
                  <c:v>601.8745819333426</c:v>
                </c:pt>
                <c:pt idx="157">
                  <c:v>601.8745819333426</c:v>
                </c:pt>
                <c:pt idx="158">
                  <c:v>601.8745819333426</c:v>
                </c:pt>
                <c:pt idx="159">
                  <c:v>601.8745819333426</c:v>
                </c:pt>
                <c:pt idx="160">
                  <c:v>601.8745819333426</c:v>
                </c:pt>
                <c:pt idx="161">
                  <c:v>601.8745819333426</c:v>
                </c:pt>
                <c:pt idx="162">
                  <c:v>601.8745819333426</c:v>
                </c:pt>
                <c:pt idx="163">
                  <c:v>601.8745819333426</c:v>
                </c:pt>
                <c:pt idx="164">
                  <c:v>601.8745819333426</c:v>
                </c:pt>
                <c:pt idx="165">
                  <c:v>601.8745819333426</c:v>
                </c:pt>
                <c:pt idx="166">
                  <c:v>601.8745819333426</c:v>
                </c:pt>
                <c:pt idx="167">
                  <c:v>601.8745819333426</c:v>
                </c:pt>
                <c:pt idx="168">
                  <c:v>601.8745819333426</c:v>
                </c:pt>
                <c:pt idx="169">
                  <c:v>601.8745819333426</c:v>
                </c:pt>
                <c:pt idx="170">
                  <c:v>601.8745819333426</c:v>
                </c:pt>
                <c:pt idx="171">
                  <c:v>601.8745819333426</c:v>
                </c:pt>
                <c:pt idx="172">
                  <c:v>601.8745819333426</c:v>
                </c:pt>
                <c:pt idx="173">
                  <c:v>601.8745819333426</c:v>
                </c:pt>
                <c:pt idx="174">
                  <c:v>601.8745819333426</c:v>
                </c:pt>
                <c:pt idx="175">
                  <c:v>601.8745819333426</c:v>
                </c:pt>
                <c:pt idx="176">
                  <c:v>601.8745819333426</c:v>
                </c:pt>
                <c:pt idx="177">
                  <c:v>601.8745819333426</c:v>
                </c:pt>
                <c:pt idx="178">
                  <c:v>601.8745819333426</c:v>
                </c:pt>
                <c:pt idx="179">
                  <c:v>601.8745819333426</c:v>
                </c:pt>
                <c:pt idx="180">
                  <c:v>601.8745819333426</c:v>
                </c:pt>
                <c:pt idx="181">
                  <c:v>601.8745819333426</c:v>
                </c:pt>
                <c:pt idx="182">
                  <c:v>601.8745819333426</c:v>
                </c:pt>
                <c:pt idx="183">
                  <c:v>601.8745819333426</c:v>
                </c:pt>
                <c:pt idx="184">
                  <c:v>601.8745819333426</c:v>
                </c:pt>
                <c:pt idx="185">
                  <c:v>601.8745819333426</c:v>
                </c:pt>
                <c:pt idx="186">
                  <c:v>601.8745819333426</c:v>
                </c:pt>
                <c:pt idx="187">
                  <c:v>601.8745819333426</c:v>
                </c:pt>
                <c:pt idx="188">
                  <c:v>601.8745819333426</c:v>
                </c:pt>
                <c:pt idx="189">
                  <c:v>601.8745819333426</c:v>
                </c:pt>
                <c:pt idx="190">
                  <c:v>601.8745819333426</c:v>
                </c:pt>
                <c:pt idx="191">
                  <c:v>601.8745819333426</c:v>
                </c:pt>
                <c:pt idx="192">
                  <c:v>601.8745819333426</c:v>
                </c:pt>
                <c:pt idx="193">
                  <c:v>601.8745819333426</c:v>
                </c:pt>
                <c:pt idx="194">
                  <c:v>601.8745819333426</c:v>
                </c:pt>
                <c:pt idx="195">
                  <c:v>601.8745819333426</c:v>
                </c:pt>
                <c:pt idx="196">
                  <c:v>601.8745819333426</c:v>
                </c:pt>
                <c:pt idx="197">
                  <c:v>601.8745819333426</c:v>
                </c:pt>
                <c:pt idx="198">
                  <c:v>601.8745819333426</c:v>
                </c:pt>
                <c:pt idx="199">
                  <c:v>601.8745819333426</c:v>
                </c:pt>
                <c:pt idx="200">
                  <c:v>601.8745819333426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3.3043568983948219</c:v>
                </c:pt>
                <c:pt idx="2">
                  <c:v>4.1131513120146055</c:v>
                </c:pt>
                <c:pt idx="3">
                  <c:v>5.1206664109263427</c:v>
                </c:pt>
                <c:pt idx="4">
                  <c:v>6.375902542534404</c:v>
                </c:pt>
                <c:pt idx="5">
                  <c:v>7.9399827670654304</c:v>
                </c:pt>
                <c:pt idx="6">
                  <c:v>9.8891612665776254</c:v>
                </c:pt>
                <c:pt idx="7">
                  <c:v>12.318580445108942</c:v>
                </c:pt>
                <c:pt idx="8">
                  <c:v>15.346963526425172</c:v>
                </c:pt>
                <c:pt idx="9">
                  <c:v>19.122476175830567</c:v>
                </c:pt>
                <c:pt idx="10">
                  <c:v>23.830049102016243</c:v>
                </c:pt>
                <c:pt idx="11">
                  <c:v>29.700526674358532</c:v>
                </c:pt>
                <c:pt idx="12">
                  <c:v>37.022098000505643</c:v>
                </c:pt>
                <c:pt idx="13">
                  <c:v>46.154581254564704</c:v>
                </c:pt>
                <c:pt idx="14">
                  <c:v>57.547275093132022</c:v>
                </c:pt>
                <c:pt idx="15">
                  <c:v>71.761269961795847</c:v>
                </c:pt>
                <c:pt idx="16">
                  <c:v>76.212630061323765</c:v>
                </c:pt>
                <c:pt idx="17">
                  <c:v>89.528612068390657</c:v>
                </c:pt>
                <c:pt idx="18">
                  <c:v>102.7948711687044</c:v>
                </c:pt>
                <c:pt idx="19">
                  <c:v>116.01874409769916</c:v>
                </c:pt>
                <c:pt idx="20">
                  <c:v>129.20575104776427</c:v>
                </c:pt>
                <c:pt idx="21">
                  <c:v>129.79105623536455</c:v>
                </c:pt>
                <c:pt idx="22">
                  <c:v>144.98748374659235</c:v>
                </c:pt>
                <c:pt idx="23">
                  <c:v>160.14579838071165</c:v>
                </c:pt>
                <c:pt idx="24">
                  <c:v>175.27011840727837</c:v>
                </c:pt>
                <c:pt idx="25">
                  <c:v>190.3637920014431</c:v>
                </c:pt>
                <c:pt idx="26">
                  <c:v>205.42959227617737</c:v>
                </c:pt>
                <c:pt idx="27">
                  <c:v>220.46985192188933</c:v>
                </c:pt>
                <c:pt idx="28">
                  <c:v>235.48655908758425</c:v>
                </c:pt>
                <c:pt idx="29">
                  <c:v>250.48142747357508</c:v>
                </c:pt>
                <c:pt idx="30">
                  <c:v>265.45594873287126</c:v>
                </c:pt>
                <c:pt idx="31">
                  <c:v>240.10261755918</c:v>
                </c:pt>
                <c:pt idx="32">
                  <c:v>255.09107556266432</c:v>
                </c:pt>
                <c:pt idx="33">
                  <c:v>270.05960718426184</c:v>
                </c:pt>
                <c:pt idx="34">
                  <c:v>285.00947251458632</c:v>
                </c:pt>
                <c:pt idx="35">
                  <c:v>299.94178861650374</c:v>
                </c:pt>
                <c:pt idx="36">
                  <c:v>314.85755222284013</c:v>
                </c:pt>
                <c:pt idx="37">
                  <c:v>329.75765790514163</c:v>
                </c:pt>
                <c:pt idx="38">
                  <c:v>344.64291278512491</c:v>
                </c:pt>
                <c:pt idx="39">
                  <c:v>359.51404857063454</c:v>
                </c:pt>
                <c:pt idx="40">
                  <c:v>374.37173149546214</c:v>
                </c:pt>
                <c:pt idx="41">
                  <c:v>338.06083321183013</c:v>
                </c:pt>
                <c:pt idx="42">
                  <c:v>351.79421709974355</c:v>
                </c:pt>
                <c:pt idx="43">
                  <c:v>365.51585058051359</c:v>
                </c:pt>
                <c:pt idx="44">
                  <c:v>379.22623692092412</c:v>
                </c:pt>
                <c:pt idx="45">
                  <c:v>392.9258400268684</c:v>
                </c:pt>
                <c:pt idx="46">
                  <c:v>406.61508881568653</c:v>
                </c:pt>
                <c:pt idx="47">
                  <c:v>420.29438096892574</c:v>
                </c:pt>
                <c:pt idx="48">
                  <c:v>433.96408617103287</c:v>
                </c:pt>
                <c:pt idx="49">
                  <c:v>447.62454891870067</c:v>
                </c:pt>
                <c:pt idx="50">
                  <c:v>461.27609096941592</c:v>
                </c:pt>
                <c:pt idx="51">
                  <c:v>419.29726093666142</c:v>
                </c:pt>
                <c:pt idx="52">
                  <c:v>431.40173052338088</c:v>
                </c:pt>
                <c:pt idx="53">
                  <c:v>443.49890547106338</c:v>
                </c:pt>
                <c:pt idx="54">
                  <c:v>455.58901279973162</c:v>
                </c:pt>
                <c:pt idx="55">
                  <c:v>467.67226649739297</c:v>
                </c:pt>
                <c:pt idx="56">
                  <c:v>479.74886859264234</c:v>
                </c:pt>
                <c:pt idx="57">
                  <c:v>491.81901011364647</c:v>
                </c:pt>
                <c:pt idx="58">
                  <c:v>503.88287194809209</c:v>
                </c:pt>
                <c:pt idx="59">
                  <c:v>515.94062561650298</c:v>
                </c:pt>
                <c:pt idx="60">
                  <c:v>527.99243396951238</c:v>
                </c:pt>
                <c:pt idx="61">
                  <c:v>485.00371338212875</c:v>
                </c:pt>
                <c:pt idx="62">
                  <c:v>495.93561286861467</c:v>
                </c:pt>
                <c:pt idx="63">
                  <c:v>506.86240806846968</c:v>
                </c:pt>
                <c:pt idx="64">
                  <c:v>517.78422452961252</c:v>
                </c:pt>
                <c:pt idx="65">
                  <c:v>528.7011820716184</c:v>
                </c:pt>
                <c:pt idx="66">
                  <c:v>539.61339516248415</c:v>
                </c:pt>
                <c:pt idx="67">
                  <c:v>550.5209732633358</c:v>
                </c:pt>
                <c:pt idx="68">
                  <c:v>561.42402114439972</c:v>
                </c:pt>
                <c:pt idx="69">
                  <c:v>572.32263917515741</c:v>
                </c:pt>
                <c:pt idx="70">
                  <c:v>583.21692359125257</c:v>
                </c:pt>
                <c:pt idx="71">
                  <c:v>542.021956709969</c:v>
                </c:pt>
                <c:pt idx="72">
                  <c:v>551.79558732385431</c:v>
                </c:pt>
                <c:pt idx="73">
                  <c:v>561.56558981739238</c:v>
                </c:pt>
                <c:pt idx="74">
                  <c:v>571.33203621027621</c:v>
                </c:pt>
                <c:pt idx="75">
                  <c:v>581.09499585923345</c:v>
                </c:pt>
                <c:pt idx="76">
                  <c:v>590.8545356005344</c:v>
                </c:pt>
                <c:pt idx="77">
                  <c:v>600.61071988259312</c:v>
                </c:pt>
                <c:pt idx="78">
                  <c:v>610.36361088950775</c:v>
                </c:pt>
                <c:pt idx="79">
                  <c:v>620.11326865629553</c:v>
                </c:pt>
                <c:pt idx="80">
                  <c:v>629.85975117650651</c:v>
                </c:pt>
                <c:pt idx="81">
                  <c:v>589.0160401964082</c:v>
                </c:pt>
                <c:pt idx="82">
                  <c:v>597.64179785108377</c:v>
                </c:pt>
                <c:pt idx="83">
                  <c:v>606.26496704001136</c:v>
                </c:pt>
                <c:pt idx="84">
                  <c:v>614.88558977103571</c:v>
                </c:pt>
                <c:pt idx="85">
                  <c:v>623.50370677808098</c:v>
                </c:pt>
                <c:pt idx="86">
                  <c:v>632.11935757723415</c:v>
                </c:pt>
                <c:pt idx="87">
                  <c:v>640.73258051961557</c:v>
                </c:pt>
                <c:pt idx="88">
                  <c:v>649.3434128412556</c:v>
                </c:pt>
                <c:pt idx="89">
                  <c:v>657.95189071019206</c:v>
                </c:pt>
                <c:pt idx="90">
                  <c:v>666.55804927097336</c:v>
                </c:pt>
                <c:pt idx="91">
                  <c:v>627.59997706387503</c:v>
                </c:pt>
                <c:pt idx="92">
                  <c:v>635.22604379249162</c:v>
                </c:pt>
                <c:pt idx="93">
                  <c:v>642.85021854448325</c:v>
                </c:pt>
                <c:pt idx="94">
                  <c:v>650.47252692274412</c:v>
                </c:pt>
                <c:pt idx="95">
                  <c:v>658.09299388120974</c:v>
                </c:pt>
                <c:pt idx="96">
                  <c:v>665.71164374879174</c:v>
                </c:pt>
                <c:pt idx="97">
                  <c:v>673.32850025215976</c:v>
                </c:pt>
                <c:pt idx="98">
                  <c:v>680.94358653744246</c:v>
                </c:pt>
                <c:pt idx="99">
                  <c:v>688.55692519090292</c:v>
                </c:pt>
                <c:pt idx="100">
                  <c:v>696.1685382586561</c:v>
                </c:pt>
                <c:pt idx="101">
                  <c:v>658.09299388120974</c:v>
                </c:pt>
                <c:pt idx="102">
                  <c:v>665.14736110281694</c:v>
                </c:pt>
                <c:pt idx="103">
                  <c:v>672.20018932008895</c:v>
                </c:pt>
                <c:pt idx="104">
                  <c:v>679.2514969572552</c:v>
                </c:pt>
                <c:pt idx="105">
                  <c:v>686.30130202483895</c:v>
                </c:pt>
                <c:pt idx="106">
                  <c:v>693.3496221331925</c:v>
                </c:pt>
                <c:pt idx="107">
                  <c:v>700.39647450545363</c:v>
                </c:pt>
                <c:pt idx="108">
                  <c:v>707.44187598995484</c:v>
                </c:pt>
                <c:pt idx="109">
                  <c:v>714.4858430721107</c:v>
                </c:pt>
                <c:pt idx="110">
                  <c:v>721.52839188581299</c:v>
                </c:pt>
                <c:pt idx="111">
                  <c:v>685.59638862873999</c:v>
                </c:pt>
                <c:pt idx="112">
                  <c:v>691.940076076075</c:v>
                </c:pt>
                <c:pt idx="113">
                  <c:v>698.28257189646729</c:v>
                </c:pt>
                <c:pt idx="114">
                  <c:v>704.62388843962447</c:v>
                </c:pt>
                <c:pt idx="115">
                  <c:v>710.96403781484889</c:v>
                </c:pt>
                <c:pt idx="116">
                  <c:v>717.30303189786662</c:v>
                </c:pt>
                <c:pt idx="117">
                  <c:v>723.64088233740074</c:v>
                </c:pt>
                <c:pt idx="118">
                  <c:v>729.97760056150446</c:v>
                </c:pt>
                <c:pt idx="119">
                  <c:v>736.31319778366242</c:v>
                </c:pt>
                <c:pt idx="120">
                  <c:v>742.64768500866978</c:v>
                </c:pt>
                <c:pt idx="121">
                  <c:v>708.99167125142469</c:v>
                </c:pt>
                <c:pt idx="122">
                  <c:v>714.76757214919564</c:v>
                </c:pt>
                <c:pt idx="123">
                  <c:v>720.54251983862787</c:v>
                </c:pt>
                <c:pt idx="124">
                  <c:v>726.31652303665294</c:v>
                </c:pt>
                <c:pt idx="125">
                  <c:v>732.08959031031009</c:v>
                </c:pt>
                <c:pt idx="126">
                  <c:v>737.86173008051253</c:v>
                </c:pt>
                <c:pt idx="127">
                  <c:v>743.63295062568557</c:v>
                </c:pt>
                <c:pt idx="128">
                  <c:v>749.40326008529075</c:v>
                </c:pt>
                <c:pt idx="129">
                  <c:v>755.1726664632323</c:v>
                </c:pt>
                <c:pt idx="130">
                  <c:v>760.9411776311573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2.8530458900838358</c:v>
                </c:pt>
                <c:pt idx="2">
                  <c:v>3.3039212099420436</c:v>
                </c:pt>
                <c:pt idx="3">
                  <c:v>3.8263060507819229</c:v>
                </c:pt>
                <c:pt idx="4">
                  <c:v>4.431580333413633</c:v>
                </c:pt>
                <c:pt idx="5">
                  <c:v>5.1329406942075515</c:v>
                </c:pt>
                <c:pt idx="6">
                  <c:v>5.945691362151531</c:v>
                </c:pt>
                <c:pt idx="7">
                  <c:v>6.887581735097335</c:v>
                </c:pt>
                <c:pt idx="8">
                  <c:v>7.9791981712630529</c:v>
                </c:pt>
                <c:pt idx="9">
                  <c:v>9.2444187244984306</c:v>
                </c:pt>
                <c:pt idx="10">
                  <c:v>10.71094096024798</c:v>
                </c:pt>
                <c:pt idx="11">
                  <c:v>12.410894625303198</c:v>
                </c:pt>
                <c:pt idx="12">
                  <c:v>14.381552845209095</c:v>
                </c:pt>
                <c:pt idx="13">
                  <c:v>16.666157731457787</c:v>
                </c:pt>
                <c:pt idx="14">
                  <c:v>19.314878846195473</c:v>
                </c:pt>
                <c:pt idx="15">
                  <c:v>22.385925953013096</c:v>
                </c:pt>
                <c:pt idx="16">
                  <c:v>25.946840945811488</c:v>
                </c:pt>
                <c:pt idx="17">
                  <c:v>30.07599787199096</c:v>
                </c:pt>
                <c:pt idx="18">
                  <c:v>34.864344642284394</c:v>
                </c:pt>
                <c:pt idx="19">
                  <c:v>40.417425453185118</c:v>
                </c:pt>
                <c:pt idx="20">
                  <c:v>46.85772926204951</c:v>
                </c:pt>
                <c:pt idx="21">
                  <c:v>53.997264050020341</c:v>
                </c:pt>
                <c:pt idx="22">
                  <c:v>61.11193021719297</c:v>
                </c:pt>
                <c:pt idx="23">
                  <c:v>68.20504112725159</c:v>
                </c:pt>
                <c:pt idx="24">
                  <c:v>75.279161153107964</c:v>
                </c:pt>
                <c:pt idx="25">
                  <c:v>82.336331256201902</c:v>
                </c:pt>
                <c:pt idx="26">
                  <c:v>89.378212635083344</c:v>
                </c:pt>
                <c:pt idx="27">
                  <c:v>96.406182465466884</c:v>
                </c:pt>
                <c:pt idx="28">
                  <c:v>103.4214001190029</c:v>
                </c:pt>
                <c:pt idx="29">
                  <c:v>110.42485439447108</c:v>
                </c:pt>
                <c:pt idx="30">
                  <c:v>117.41739809202973</c:v>
                </c:pt>
                <c:pt idx="31">
                  <c:v>106.39394697312774</c:v>
                </c:pt>
                <c:pt idx="32">
                  <c:v>114.45214701436738</c:v>
                </c:pt>
                <c:pt idx="33">
                  <c:v>122.49645924610248</c:v>
                </c:pt>
                <c:pt idx="34">
                  <c:v>130.52792583199741</c:v>
                </c:pt>
                <c:pt idx="35">
                  <c:v>138.54744992970467</c:v>
                </c:pt>
                <c:pt idx="36">
                  <c:v>146.55582138792067</c:v>
                </c:pt>
                <c:pt idx="37">
                  <c:v>154.55373651713788</c:v>
                </c:pt>
                <c:pt idx="38">
                  <c:v>162.54181354343521</c:v>
                </c:pt>
                <c:pt idx="39">
                  <c:v>170.52060485833434</c:v>
                </c:pt>
                <c:pt idx="40">
                  <c:v>178.49060685103368</c:v>
                </c:pt>
                <c:pt idx="41">
                  <c:v>150.76651294924488</c:v>
                </c:pt>
                <c:pt idx="42">
                  <c:v>158.75917749509551</c:v>
                </c:pt>
                <c:pt idx="43">
                  <c:v>166.7423022044338</c:v>
                </c:pt>
                <c:pt idx="44">
                  <c:v>174.71640889684599</c:v>
                </c:pt>
                <c:pt idx="45">
                  <c:v>182.68196779156222</c:v>
                </c:pt>
                <c:pt idx="46">
                  <c:v>190.63940468778446</c:v>
                </c:pt>
                <c:pt idx="47">
                  <c:v>198.58910688128825</c:v>
                </c:pt>
                <c:pt idx="48">
                  <c:v>206.53142808247776</c:v>
                </c:pt>
                <c:pt idx="49">
                  <c:v>214.46669253715814</c:v>
                </c:pt>
                <c:pt idx="50">
                  <c:v>222.39519850462258</c:v>
                </c:pt>
                <c:pt idx="51">
                  <c:v>192.94141347040133</c:v>
                </c:pt>
                <c:pt idx="52">
                  <c:v>201.09798978871825</c:v>
                </c:pt>
                <c:pt idx="53">
                  <c:v>209.24690241829512</c:v>
                </c:pt>
                <c:pt idx="54">
                  <c:v>217.38849228051936</c:v>
                </c:pt>
                <c:pt idx="55">
                  <c:v>225.52307264142624</c:v>
                </c:pt>
                <c:pt idx="56">
                  <c:v>233.65093229382555</c:v>
                </c:pt>
                <c:pt idx="57">
                  <c:v>241.77233827291846</c:v>
                </c:pt>
                <c:pt idx="58">
                  <c:v>249.88753818750442</c:v>
                </c:pt>
                <c:pt idx="59">
                  <c:v>257.9967622321725</c:v>
                </c:pt>
                <c:pt idx="60">
                  <c:v>266.10022493300397</c:v>
                </c:pt>
                <c:pt idx="61">
                  <c:v>232.19256837318724</c:v>
                </c:pt>
                <c:pt idx="62">
                  <c:v>239.89872721876361</c:v>
                </c:pt>
                <c:pt idx="63">
                  <c:v>247.59925035462186</c:v>
                </c:pt>
                <c:pt idx="64">
                  <c:v>255.29433798898617</c:v>
                </c:pt>
                <c:pt idx="65">
                  <c:v>262.98417726074234</c:v>
                </c:pt>
                <c:pt idx="66">
                  <c:v>270.6689434582824</c:v>
                </c:pt>
                <c:pt idx="67">
                  <c:v>278.3488010925501</c:v>
                </c:pt>
                <c:pt idx="68">
                  <c:v>286.02390484535346</c:v>
                </c:pt>
                <c:pt idx="69">
                  <c:v>293.69440041047329</c:v>
                </c:pt>
                <c:pt idx="70">
                  <c:v>301.36042524223012</c:v>
                </c:pt>
                <c:pt idx="71">
                  <c:v>266.93103161478717</c:v>
                </c:pt>
                <c:pt idx="72">
                  <c:v>273.99055606211823</c:v>
                </c:pt>
                <c:pt idx="73">
                  <c:v>281.04599322042537</c:v>
                </c:pt>
                <c:pt idx="74">
                  <c:v>288.09746029565309</c:v>
                </c:pt>
                <c:pt idx="75">
                  <c:v>295.14506828119107</c:v>
                </c:pt>
                <c:pt idx="76">
                  <c:v>302.18892243096451</c:v>
                </c:pt>
                <c:pt idx="77">
                  <c:v>309.22912268606916</c:v>
                </c:pt>
                <c:pt idx="78">
                  <c:v>316.26576406048815</c:v>
                </c:pt>
                <c:pt idx="79">
                  <c:v>323.29893699066071</c:v>
                </c:pt>
                <c:pt idx="80">
                  <c:v>330.32872765301573</c:v>
                </c:pt>
                <c:pt idx="81">
                  <c:v>297.42436812094394</c:v>
                </c:pt>
                <c:pt idx="82">
                  <c:v>303.84576526452736</c:v>
                </c:pt>
                <c:pt idx="83">
                  <c:v>310.2641438699784</c:v>
                </c:pt>
                <c:pt idx="84">
                  <c:v>316.67957526595029</c:v>
                </c:pt>
                <c:pt idx="85">
                  <c:v>323.09212765183327</c:v>
                </c:pt>
                <c:pt idx="86">
                  <c:v>329.50186629581282</c:v>
                </c:pt>
                <c:pt idx="87">
                  <c:v>335.90885371669873</c:v>
                </c:pt>
                <c:pt idx="88">
                  <c:v>342.31314985114523</c:v>
                </c:pt>
                <c:pt idx="89">
                  <c:v>348.7148122076938</c:v>
                </c:pt>
                <c:pt idx="90">
                  <c:v>355.11389600890431</c:v>
                </c:pt>
                <c:pt idx="91">
                  <c:v>323.91934746238644</c:v>
                </c:pt>
                <c:pt idx="92">
                  <c:v>329.91530269151457</c:v>
                </c:pt>
                <c:pt idx="93">
                  <c:v>335.90885371669873</c:v>
                </c:pt>
                <c:pt idx="94">
                  <c:v>341.90004953828526</c:v>
                </c:pt>
                <c:pt idx="95">
                  <c:v>347.88893729723378</c:v>
                </c:pt>
                <c:pt idx="96">
                  <c:v>353.8755623771869</c:v>
                </c:pt>
                <c:pt idx="97">
                  <c:v>359.85996849926727</c:v>
                </c:pt>
                <c:pt idx="98">
                  <c:v>365.84219781023461</c:v>
                </c:pt>
                <c:pt idx="99">
                  <c:v>371.82229096457166</c:v>
                </c:pt>
                <c:pt idx="100">
                  <c:v>377.80028720100813</c:v>
                </c:pt>
                <c:pt idx="101">
                  <c:v>346.65004418592645</c:v>
                </c:pt>
                <c:pt idx="102">
                  <c:v>352.63713376572537</c:v>
                </c:pt>
                <c:pt idx="103">
                  <c:v>358.62199547388735</c:v>
                </c:pt>
                <c:pt idx="104">
                  <c:v>364.60467177597525</c:v>
                </c:pt>
                <c:pt idx="105">
                  <c:v>370.58520362876374</c:v>
                </c:pt>
                <c:pt idx="106">
                  <c:v>376.56363055787489</c:v>
                </c:pt>
                <c:pt idx="107">
                  <c:v>382.53999073022356</c:v>
                </c:pt>
                <c:pt idx="108">
                  <c:v>388.5143210216952</c:v>
                </c:pt>
                <c:pt idx="109">
                  <c:v>394.48665708044115</c:v>
                </c:pt>
                <c:pt idx="110">
                  <c:v>400.45703338613868</c:v>
                </c:pt>
                <c:pt idx="111">
                  <c:v>367.49209034996039</c:v>
                </c:pt>
                <c:pt idx="112">
                  <c:v>373.67775378131802</c:v>
                </c:pt>
                <c:pt idx="113">
                  <c:v>379.86118591400549</c:v>
                </c:pt>
                <c:pt idx="114">
                  <c:v>386.04242822867786</c:v>
                </c:pt>
                <c:pt idx="115">
                  <c:v>392.22152076799506</c:v>
                </c:pt>
                <c:pt idx="116">
                  <c:v>398.39850220884665</c:v>
                </c:pt>
                <c:pt idx="117">
                  <c:v>404.57340992986138</c:v>
                </c:pt>
                <c:pt idx="118">
                  <c:v>410.74628007457659</c:v>
                </c:pt>
                <c:pt idx="119">
                  <c:v>416.9171476106103</c:v>
                </c:pt>
                <c:pt idx="120">
                  <c:v>423.08604638514629</c:v>
                </c:pt>
                <c:pt idx="121">
                  <c:v>381.92184132571992</c:v>
                </c:pt>
                <c:pt idx="122">
                  <c:v>381.92184132571992</c:v>
                </c:pt>
                <c:pt idx="123">
                  <c:v>381.92184132571992</c:v>
                </c:pt>
                <c:pt idx="124">
                  <c:v>381.92184132571992</c:v>
                </c:pt>
                <c:pt idx="125">
                  <c:v>381.92184132571992</c:v>
                </c:pt>
                <c:pt idx="126">
                  <c:v>381.92184132571992</c:v>
                </c:pt>
                <c:pt idx="127">
                  <c:v>381.92184132571992</c:v>
                </c:pt>
                <c:pt idx="128">
                  <c:v>381.92184132571992</c:v>
                </c:pt>
                <c:pt idx="129">
                  <c:v>381.92184132571992</c:v>
                </c:pt>
                <c:pt idx="130">
                  <c:v>381.92184132571992</c:v>
                </c:pt>
                <c:pt idx="131">
                  <c:v>381.92184132571992</c:v>
                </c:pt>
                <c:pt idx="132">
                  <c:v>381.92184132571992</c:v>
                </c:pt>
                <c:pt idx="133">
                  <c:v>381.92184132571992</c:v>
                </c:pt>
                <c:pt idx="134">
                  <c:v>381.92184132571992</c:v>
                </c:pt>
                <c:pt idx="135">
                  <c:v>381.92184132571992</c:v>
                </c:pt>
                <c:pt idx="136">
                  <c:v>381.92184132571992</c:v>
                </c:pt>
                <c:pt idx="137">
                  <c:v>381.92184132571992</c:v>
                </c:pt>
                <c:pt idx="138">
                  <c:v>381.92184132571992</c:v>
                </c:pt>
                <c:pt idx="139">
                  <c:v>381.92184132571992</c:v>
                </c:pt>
                <c:pt idx="140">
                  <c:v>381.92184132571992</c:v>
                </c:pt>
                <c:pt idx="141">
                  <c:v>381.92184132571992</c:v>
                </c:pt>
                <c:pt idx="142">
                  <c:v>381.92184132571992</c:v>
                </c:pt>
                <c:pt idx="143">
                  <c:v>381.92184132571992</c:v>
                </c:pt>
                <c:pt idx="144">
                  <c:v>381.92184132571992</c:v>
                </c:pt>
                <c:pt idx="145">
                  <c:v>381.92184132571992</c:v>
                </c:pt>
                <c:pt idx="146">
                  <c:v>381.92184132571992</c:v>
                </c:pt>
                <c:pt idx="147">
                  <c:v>381.92184132571992</c:v>
                </c:pt>
                <c:pt idx="148">
                  <c:v>381.92184132571992</c:v>
                </c:pt>
                <c:pt idx="149">
                  <c:v>381.92184132571992</c:v>
                </c:pt>
                <c:pt idx="150">
                  <c:v>381.92184132571992</c:v>
                </c:pt>
                <c:pt idx="151">
                  <c:v>381.92184132571992</c:v>
                </c:pt>
                <c:pt idx="152">
                  <c:v>381.92184132571992</c:v>
                </c:pt>
                <c:pt idx="153">
                  <c:v>381.92184132571992</c:v>
                </c:pt>
                <c:pt idx="154">
                  <c:v>381.92184132571992</c:v>
                </c:pt>
                <c:pt idx="155">
                  <c:v>381.92184132571992</c:v>
                </c:pt>
                <c:pt idx="156">
                  <c:v>381.92184132571992</c:v>
                </c:pt>
                <c:pt idx="157">
                  <c:v>381.92184132571992</c:v>
                </c:pt>
                <c:pt idx="158">
                  <c:v>381.92184132571992</c:v>
                </c:pt>
                <c:pt idx="159">
                  <c:v>381.92184132571992</c:v>
                </c:pt>
                <c:pt idx="160">
                  <c:v>381.92184132571992</c:v>
                </c:pt>
                <c:pt idx="161">
                  <c:v>381.92184132571992</c:v>
                </c:pt>
                <c:pt idx="162">
                  <c:v>381.92184132571992</c:v>
                </c:pt>
                <c:pt idx="163">
                  <c:v>381.92184132571992</c:v>
                </c:pt>
                <c:pt idx="164">
                  <c:v>381.92184132571992</c:v>
                </c:pt>
                <c:pt idx="165">
                  <c:v>381.92184132571992</c:v>
                </c:pt>
                <c:pt idx="166">
                  <c:v>381.92184132571992</c:v>
                </c:pt>
                <c:pt idx="167">
                  <c:v>381.92184132571992</c:v>
                </c:pt>
                <c:pt idx="168">
                  <c:v>381.92184132571992</c:v>
                </c:pt>
                <c:pt idx="169">
                  <c:v>381.92184132571992</c:v>
                </c:pt>
                <c:pt idx="170">
                  <c:v>381.92184132571992</c:v>
                </c:pt>
                <c:pt idx="171">
                  <c:v>381.92184132571992</c:v>
                </c:pt>
                <c:pt idx="172">
                  <c:v>381.92184132571992</c:v>
                </c:pt>
                <c:pt idx="173">
                  <c:v>381.92184132571992</c:v>
                </c:pt>
                <c:pt idx="174">
                  <c:v>381.92184132571992</c:v>
                </c:pt>
                <c:pt idx="175">
                  <c:v>381.92184132571992</c:v>
                </c:pt>
                <c:pt idx="176">
                  <c:v>381.92184132571992</c:v>
                </c:pt>
                <c:pt idx="177">
                  <c:v>381.92184132571992</c:v>
                </c:pt>
                <c:pt idx="178">
                  <c:v>381.92184132571992</c:v>
                </c:pt>
                <c:pt idx="179">
                  <c:v>381.92184132571992</c:v>
                </c:pt>
                <c:pt idx="180">
                  <c:v>381.92184132571992</c:v>
                </c:pt>
                <c:pt idx="181">
                  <c:v>381.92184132571992</c:v>
                </c:pt>
                <c:pt idx="182">
                  <c:v>381.92184132571992</c:v>
                </c:pt>
                <c:pt idx="183">
                  <c:v>381.92184132571992</c:v>
                </c:pt>
                <c:pt idx="184">
                  <c:v>381.92184132571992</c:v>
                </c:pt>
                <c:pt idx="185">
                  <c:v>381.92184132571992</c:v>
                </c:pt>
                <c:pt idx="186">
                  <c:v>381.92184132571992</c:v>
                </c:pt>
                <c:pt idx="187">
                  <c:v>381.92184132571992</c:v>
                </c:pt>
                <c:pt idx="188">
                  <c:v>381.92184132571992</c:v>
                </c:pt>
                <c:pt idx="189">
                  <c:v>381.92184132571992</c:v>
                </c:pt>
                <c:pt idx="190">
                  <c:v>381.92184132571992</c:v>
                </c:pt>
                <c:pt idx="191">
                  <c:v>381.92184132571992</c:v>
                </c:pt>
                <c:pt idx="192">
                  <c:v>381.92184132571992</c:v>
                </c:pt>
                <c:pt idx="193">
                  <c:v>381.92184132571992</c:v>
                </c:pt>
                <c:pt idx="194">
                  <c:v>381.92184132571992</c:v>
                </c:pt>
                <c:pt idx="195">
                  <c:v>381.92184132571992</c:v>
                </c:pt>
                <c:pt idx="196">
                  <c:v>381.92184132571992</c:v>
                </c:pt>
                <c:pt idx="197">
                  <c:v>381.92184132571992</c:v>
                </c:pt>
                <c:pt idx="198">
                  <c:v>381.92184132571992</c:v>
                </c:pt>
                <c:pt idx="199">
                  <c:v>381.92184132571992</c:v>
                </c:pt>
                <c:pt idx="200">
                  <c:v>381.92184132571992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2.550347654417052</c:v>
                </c:pt>
                <c:pt idx="2">
                  <c:v>3.1274816410011042</c:v>
                </c:pt>
                <c:pt idx="3">
                  <c:v>3.8357171362639897</c:v>
                </c:pt>
                <c:pt idx="4">
                  <c:v>4.7049418975266653</c:v>
                </c:pt>
                <c:pt idx="5">
                  <c:v>5.7718801207549459</c:v>
                </c:pt>
                <c:pt idx="6">
                  <c:v>7.0816610387696945</c:v>
                </c:pt>
                <c:pt idx="7">
                  <c:v>8.6897484577553605</c:v>
                </c:pt>
                <c:pt idx="8">
                  <c:v>10.664314502292086</c:v>
                </c:pt>
                <c:pt idx="9">
                  <c:v>13.089160095815238</c:v>
                </c:pt>
                <c:pt idx="10">
                  <c:v>16.067308422928729</c:v>
                </c:pt>
                <c:pt idx="11">
                  <c:v>19.72542683867454</c:v>
                </c:pt>
                <c:pt idx="12">
                  <c:v>24.21926868506382</c:v>
                </c:pt>
                <c:pt idx="13">
                  <c:v>29.740370821503301</c:v>
                </c:pt>
                <c:pt idx="14">
                  <c:v>36.524297314298188</c:v>
                </c:pt>
                <c:pt idx="15">
                  <c:v>44.860787054195605</c:v>
                </c:pt>
                <c:pt idx="16">
                  <c:v>55.106246030269809</c:v>
                </c:pt>
                <c:pt idx="17">
                  <c:v>67.699127220927977</c:v>
                </c:pt>
                <c:pt idx="18">
                  <c:v>83.178867053628267</c:v>
                </c:pt>
                <c:pt idx="19">
                  <c:v>102.20920266461572</c:v>
                </c:pt>
                <c:pt idx="20">
                  <c:v>125.60688557852342</c:v>
                </c:pt>
                <c:pt idx="21">
                  <c:v>109.44655109468808</c:v>
                </c:pt>
                <c:pt idx="22">
                  <c:v>119.9302774112839</c:v>
                </c:pt>
                <c:pt idx="23">
                  <c:v>130.39167020649325</c:v>
                </c:pt>
                <c:pt idx="24">
                  <c:v>140.83277618126189</c:v>
                </c:pt>
                <c:pt idx="25">
                  <c:v>151.25531313983112</c:v>
                </c:pt>
                <c:pt idx="26">
                  <c:v>161.66074237922865</c:v>
                </c:pt>
                <c:pt idx="27">
                  <c:v>172.05032140833043</c:v>
                </c:pt>
                <c:pt idx="28">
                  <c:v>182.42514323236151</c:v>
                </c:pt>
                <c:pt idx="29">
                  <c:v>192.78616621215318</c:v>
                </c:pt>
                <c:pt idx="30">
                  <c:v>203.13423715529476</c:v>
                </c:pt>
                <c:pt idx="31">
                  <c:v>176.6240359352083</c:v>
                </c:pt>
                <c:pt idx="32">
                  <c:v>186.99266587562985</c:v>
                </c:pt>
                <c:pt idx="33">
                  <c:v>197.34788271792738</c:v>
                </c:pt>
                <c:pt idx="34">
                  <c:v>207.6904901094139</c:v>
                </c:pt>
                <c:pt idx="35">
                  <c:v>218.02120503058464</c:v>
                </c:pt>
                <c:pt idx="36">
                  <c:v>228.34067089512405</c:v>
                </c:pt>
                <c:pt idx="37">
                  <c:v>238.64946815456832</c:v>
                </c:pt>
                <c:pt idx="38">
                  <c:v>248.94812297245949</c:v>
                </c:pt>
                <c:pt idx="39">
                  <c:v>259.23711438642141</c:v>
                </c:pt>
                <c:pt idx="40">
                  <c:v>269.5168802725459</c:v>
                </c:pt>
                <c:pt idx="41">
                  <c:v>236.20424948855586</c:v>
                </c:pt>
                <c:pt idx="42">
                  <c:v>246.50526598598478</c:v>
                </c:pt>
                <c:pt idx="43">
                  <c:v>256.7965093395855</c:v>
                </c:pt>
                <c:pt idx="44">
                  <c:v>267.07842670720635</c:v>
                </c:pt>
                <c:pt idx="45">
                  <c:v>277.35142797945315</c:v>
                </c:pt>
                <c:pt idx="46">
                  <c:v>287.61589018090552</c:v>
                </c:pt>
                <c:pt idx="47">
                  <c:v>297.87216120969856</c:v>
                </c:pt>
                <c:pt idx="48">
                  <c:v>308.12056303476061</c:v>
                </c:pt>
                <c:pt idx="49">
                  <c:v>318.36139444516124</c:v>
                </c:pt>
                <c:pt idx="50">
                  <c:v>328.59493342700119</c:v>
                </c:pt>
                <c:pt idx="51">
                  <c:v>289.35480857103556</c:v>
                </c:pt>
                <c:pt idx="52">
                  <c:v>298.74097068368673</c:v>
                </c:pt>
                <c:pt idx="53">
                  <c:v>308.12056303476066</c:v>
                </c:pt>
                <c:pt idx="54">
                  <c:v>317.49381395809928</c:v>
                </c:pt>
                <c:pt idx="55">
                  <c:v>326.86093719547301</c:v>
                </c:pt>
                <c:pt idx="56">
                  <c:v>336.22213322966542</c:v>
                </c:pt>
                <c:pt idx="57">
                  <c:v>345.57759046125403</c:v>
                </c:pt>
                <c:pt idx="58">
                  <c:v>354.92748625123824</c:v>
                </c:pt>
                <c:pt idx="59">
                  <c:v>364.27198784801129</c:v>
                </c:pt>
                <c:pt idx="60">
                  <c:v>373.61125321420718</c:v>
                </c:pt>
                <c:pt idx="61">
                  <c:v>333.62238448733592</c:v>
                </c:pt>
                <c:pt idx="62">
                  <c:v>342.11326397272973</c:v>
                </c:pt>
                <c:pt idx="63">
                  <c:v>350.59951128098334</c:v>
                </c:pt>
                <c:pt idx="64">
                  <c:v>359.08125442626397</c:v>
                </c:pt>
                <c:pt idx="65">
                  <c:v>367.55861487745034</c:v>
                </c:pt>
                <c:pt idx="66">
                  <c:v>376.03170803933216</c:v>
                </c:pt>
                <c:pt idx="67">
                  <c:v>384.50064368815492</c:v>
                </c:pt>
                <c:pt idx="68">
                  <c:v>392.96552636677114</c:v>
                </c:pt>
                <c:pt idx="69">
                  <c:v>401.42645574395334</c:v>
                </c:pt>
                <c:pt idx="70">
                  <c:v>409.883526941821</c:v>
                </c:pt>
                <c:pt idx="71">
                  <c:v>369.11521388803493</c:v>
                </c:pt>
                <c:pt idx="72">
                  <c:v>376.72320412097628</c:v>
                </c:pt>
                <c:pt idx="73">
                  <c:v>384.32784912657775</c:v>
                </c:pt>
                <c:pt idx="74">
                  <c:v>391.92922448126501</c:v>
                </c:pt>
                <c:pt idx="75">
                  <c:v>399.52740258860416</c:v>
                </c:pt>
                <c:pt idx="76">
                  <c:v>407.12245287164006</c:v>
                </c:pt>
                <c:pt idx="77">
                  <c:v>414.71444195012731</c:v>
                </c:pt>
                <c:pt idx="78">
                  <c:v>422.3034338040996</c:v>
                </c:pt>
                <c:pt idx="79">
                  <c:v>429.88948992506477</c:v>
                </c:pt>
                <c:pt idx="80">
                  <c:v>437.47266945596601</c:v>
                </c:pt>
                <c:pt idx="81">
                  <c:v>397.45548526168386</c:v>
                </c:pt>
                <c:pt idx="82">
                  <c:v>404.01576056848785</c:v>
                </c:pt>
                <c:pt idx="83">
                  <c:v>410.57373258134049</c:v>
                </c:pt>
                <c:pt idx="84">
                  <c:v>417.1294433092512</c:v>
                </c:pt>
                <c:pt idx="85">
                  <c:v>423.68293333202763</c:v>
                </c:pt>
                <c:pt idx="86">
                  <c:v>430.23424187074494</c:v>
                </c:pt>
                <c:pt idx="87">
                  <c:v>436.78340685369454</c:v>
                </c:pt>
                <c:pt idx="88">
                  <c:v>443.33046497817094</c:v>
                </c:pt>
                <c:pt idx="89">
                  <c:v>449.87545176841576</c:v>
                </c:pt>
                <c:pt idx="90">
                  <c:v>456.41840163001376</c:v>
                </c:pt>
                <c:pt idx="91">
                  <c:v>413.33430507425419</c:v>
                </c:pt>
                <c:pt idx="92">
                  <c:v>413.33430507425419</c:v>
                </c:pt>
                <c:pt idx="93">
                  <c:v>413.33430507425419</c:v>
                </c:pt>
                <c:pt idx="94">
                  <c:v>413.33430507425419</c:v>
                </c:pt>
                <c:pt idx="95">
                  <c:v>413.33430507425419</c:v>
                </c:pt>
                <c:pt idx="96">
                  <c:v>413.33430507425419</c:v>
                </c:pt>
                <c:pt idx="97">
                  <c:v>413.33430507425419</c:v>
                </c:pt>
                <c:pt idx="98">
                  <c:v>413.33430507425419</c:v>
                </c:pt>
                <c:pt idx="99">
                  <c:v>413.33430507425419</c:v>
                </c:pt>
                <c:pt idx="100">
                  <c:v>413.33430507425419</c:v>
                </c:pt>
                <c:pt idx="101">
                  <c:v>413.33430507425419</c:v>
                </c:pt>
                <c:pt idx="102">
                  <c:v>413.33430507425419</c:v>
                </c:pt>
                <c:pt idx="103">
                  <c:v>413.33430507425419</c:v>
                </c:pt>
                <c:pt idx="104">
                  <c:v>413.33430507425419</c:v>
                </c:pt>
                <c:pt idx="105">
                  <c:v>413.33430507425419</c:v>
                </c:pt>
                <c:pt idx="106">
                  <c:v>413.33430507425419</c:v>
                </c:pt>
                <c:pt idx="107">
                  <c:v>413.33430507425419</c:v>
                </c:pt>
                <c:pt idx="108">
                  <c:v>413.33430507425419</c:v>
                </c:pt>
                <c:pt idx="109">
                  <c:v>413.33430507425419</c:v>
                </c:pt>
                <c:pt idx="110">
                  <c:v>413.33430507425419</c:v>
                </c:pt>
                <c:pt idx="111">
                  <c:v>413.33430507425419</c:v>
                </c:pt>
                <c:pt idx="112">
                  <c:v>413.33430507425419</c:v>
                </c:pt>
                <c:pt idx="113">
                  <c:v>413.33430507425419</c:v>
                </c:pt>
                <c:pt idx="114">
                  <c:v>413.33430507425419</c:v>
                </c:pt>
                <c:pt idx="115">
                  <c:v>413.33430507425419</c:v>
                </c:pt>
                <c:pt idx="116">
                  <c:v>413.33430507425419</c:v>
                </c:pt>
                <c:pt idx="117">
                  <c:v>413.33430507425419</c:v>
                </c:pt>
                <c:pt idx="118">
                  <c:v>413.33430507425419</c:v>
                </c:pt>
                <c:pt idx="119">
                  <c:v>413.33430507425419</c:v>
                </c:pt>
                <c:pt idx="120">
                  <c:v>413.33430507425419</c:v>
                </c:pt>
                <c:pt idx="121">
                  <c:v>413.33430507425419</c:v>
                </c:pt>
                <c:pt idx="122">
                  <c:v>413.33430507425419</c:v>
                </c:pt>
                <c:pt idx="123">
                  <c:v>413.33430507425419</c:v>
                </c:pt>
                <c:pt idx="124">
                  <c:v>413.33430507425419</c:v>
                </c:pt>
                <c:pt idx="125">
                  <c:v>413.33430507425419</c:v>
                </c:pt>
                <c:pt idx="126">
                  <c:v>413.33430507425419</c:v>
                </c:pt>
                <c:pt idx="127">
                  <c:v>413.33430507425419</c:v>
                </c:pt>
                <c:pt idx="128">
                  <c:v>413.33430507425419</c:v>
                </c:pt>
                <c:pt idx="129">
                  <c:v>413.33430507425419</c:v>
                </c:pt>
                <c:pt idx="130">
                  <c:v>413.33430507425419</c:v>
                </c:pt>
                <c:pt idx="131">
                  <c:v>413.33430507425419</c:v>
                </c:pt>
                <c:pt idx="132">
                  <c:v>413.33430507425419</c:v>
                </c:pt>
                <c:pt idx="133">
                  <c:v>413.33430507425419</c:v>
                </c:pt>
                <c:pt idx="134">
                  <c:v>413.33430507425419</c:v>
                </c:pt>
                <c:pt idx="135">
                  <c:v>413.33430507425419</c:v>
                </c:pt>
                <c:pt idx="136">
                  <c:v>413.33430507425419</c:v>
                </c:pt>
                <c:pt idx="137">
                  <c:v>413.33430507425419</c:v>
                </c:pt>
                <c:pt idx="138">
                  <c:v>413.33430507425419</c:v>
                </c:pt>
                <c:pt idx="139">
                  <c:v>413.33430507425419</c:v>
                </c:pt>
                <c:pt idx="140">
                  <c:v>413.33430507425419</c:v>
                </c:pt>
                <c:pt idx="141">
                  <c:v>413.33430507425419</c:v>
                </c:pt>
                <c:pt idx="142">
                  <c:v>413.33430507425419</c:v>
                </c:pt>
                <c:pt idx="143">
                  <c:v>413.33430507425419</c:v>
                </c:pt>
                <c:pt idx="144">
                  <c:v>413.33430507425419</c:v>
                </c:pt>
                <c:pt idx="145">
                  <c:v>413.33430507425419</c:v>
                </c:pt>
                <c:pt idx="146">
                  <c:v>413.33430507425419</c:v>
                </c:pt>
                <c:pt idx="147">
                  <c:v>413.33430507425419</c:v>
                </c:pt>
                <c:pt idx="148">
                  <c:v>413.33430507425419</c:v>
                </c:pt>
                <c:pt idx="149">
                  <c:v>413.33430507425419</c:v>
                </c:pt>
                <c:pt idx="150">
                  <c:v>413.33430507425419</c:v>
                </c:pt>
                <c:pt idx="151">
                  <c:v>413.33430507425419</c:v>
                </c:pt>
                <c:pt idx="152">
                  <c:v>413.33430507425419</c:v>
                </c:pt>
                <c:pt idx="153">
                  <c:v>413.33430507425419</c:v>
                </c:pt>
                <c:pt idx="154">
                  <c:v>413.33430507425419</c:v>
                </c:pt>
                <c:pt idx="155">
                  <c:v>413.33430507425419</c:v>
                </c:pt>
                <c:pt idx="156">
                  <c:v>413.33430507425419</c:v>
                </c:pt>
                <c:pt idx="157">
                  <c:v>413.33430507425419</c:v>
                </c:pt>
                <c:pt idx="158">
                  <c:v>413.33430507425419</c:v>
                </c:pt>
                <c:pt idx="159">
                  <c:v>413.33430507425419</c:v>
                </c:pt>
                <c:pt idx="160">
                  <c:v>413.33430507425419</c:v>
                </c:pt>
                <c:pt idx="161">
                  <c:v>413.33430507425419</c:v>
                </c:pt>
                <c:pt idx="162">
                  <c:v>413.33430507425419</c:v>
                </c:pt>
                <c:pt idx="163">
                  <c:v>413.33430507425419</c:v>
                </c:pt>
                <c:pt idx="164">
                  <c:v>413.33430507425419</c:v>
                </c:pt>
                <c:pt idx="165">
                  <c:v>413.33430507425419</c:v>
                </c:pt>
                <c:pt idx="166">
                  <c:v>413.33430507425419</c:v>
                </c:pt>
                <c:pt idx="167">
                  <c:v>413.33430507425419</c:v>
                </c:pt>
                <c:pt idx="168">
                  <c:v>413.33430507425419</c:v>
                </c:pt>
                <c:pt idx="169">
                  <c:v>413.33430507425419</c:v>
                </c:pt>
                <c:pt idx="170">
                  <c:v>413.33430507425419</c:v>
                </c:pt>
                <c:pt idx="171">
                  <c:v>413.33430507425419</c:v>
                </c:pt>
                <c:pt idx="172">
                  <c:v>413.33430507425419</c:v>
                </c:pt>
                <c:pt idx="173">
                  <c:v>413.33430507425419</c:v>
                </c:pt>
                <c:pt idx="174">
                  <c:v>413.33430507425419</c:v>
                </c:pt>
                <c:pt idx="175">
                  <c:v>413.33430507425419</c:v>
                </c:pt>
                <c:pt idx="176">
                  <c:v>413.33430507425419</c:v>
                </c:pt>
                <c:pt idx="177">
                  <c:v>413.33430507425419</c:v>
                </c:pt>
                <c:pt idx="178">
                  <c:v>413.33430507425419</c:v>
                </c:pt>
                <c:pt idx="179">
                  <c:v>413.33430507425419</c:v>
                </c:pt>
                <c:pt idx="180">
                  <c:v>413.33430507425419</c:v>
                </c:pt>
                <c:pt idx="181">
                  <c:v>413.33430507425419</c:v>
                </c:pt>
                <c:pt idx="182">
                  <c:v>413.33430507425419</c:v>
                </c:pt>
                <c:pt idx="183">
                  <c:v>413.33430507425419</c:v>
                </c:pt>
                <c:pt idx="184">
                  <c:v>413.33430507425419</c:v>
                </c:pt>
                <c:pt idx="185">
                  <c:v>413.33430507425419</c:v>
                </c:pt>
                <c:pt idx="186">
                  <c:v>413.33430507425419</c:v>
                </c:pt>
                <c:pt idx="187">
                  <c:v>413.33430507425419</c:v>
                </c:pt>
                <c:pt idx="188">
                  <c:v>413.33430507425419</c:v>
                </c:pt>
                <c:pt idx="189">
                  <c:v>413.33430507425419</c:v>
                </c:pt>
                <c:pt idx="190">
                  <c:v>413.33430507425419</c:v>
                </c:pt>
                <c:pt idx="191">
                  <c:v>413.33430507425419</c:v>
                </c:pt>
                <c:pt idx="192">
                  <c:v>413.33430507425419</c:v>
                </c:pt>
                <c:pt idx="193">
                  <c:v>413.33430507425419</c:v>
                </c:pt>
                <c:pt idx="194">
                  <c:v>413.33430507425419</c:v>
                </c:pt>
                <c:pt idx="195">
                  <c:v>413.33430507425419</c:v>
                </c:pt>
                <c:pt idx="196">
                  <c:v>413.33430507425419</c:v>
                </c:pt>
                <c:pt idx="197">
                  <c:v>413.33430507425419</c:v>
                </c:pt>
                <c:pt idx="198">
                  <c:v>413.33430507425419</c:v>
                </c:pt>
                <c:pt idx="199">
                  <c:v>413.33430507425419</c:v>
                </c:pt>
                <c:pt idx="200">
                  <c:v>413.33430507425419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2.1043770504051134</c:v>
                </c:pt>
                <c:pt idx="2">
                  <c:v>2.556635274731863</c:v>
                </c:pt>
                <c:pt idx="3">
                  <c:v>3.1064610439735567</c:v>
                </c:pt>
                <c:pt idx="4">
                  <c:v>3.7749787108909825</c:v>
                </c:pt>
                <c:pt idx="5">
                  <c:v>4.5879016370415391</c:v>
                </c:pt>
                <c:pt idx="6">
                  <c:v>5.5765322103947055</c:v>
                </c:pt>
                <c:pt idx="7">
                  <c:v>6.7789804101070219</c:v>
                </c:pt>
                <c:pt idx="8">
                  <c:v>8.2416488066415781</c:v>
                </c:pt>
                <c:pt idx="9">
                  <c:v>10.021042403998829</c:v>
                </c:pt>
                <c:pt idx="10">
                  <c:v>12.185974564858995</c:v>
                </c:pt>
                <c:pt idx="11">
                  <c:v>14.820255919629199</c:v>
                </c:pt>
                <c:pt idx="12">
                  <c:v>18.02597227029521</c:v>
                </c:pt>
                <c:pt idx="13">
                  <c:v>21.927480820970342</c:v>
                </c:pt>
                <c:pt idx="14">
                  <c:v>26.676282528815268</c:v>
                </c:pt>
                <c:pt idx="15">
                  <c:v>32.456963106872998</c:v>
                </c:pt>
                <c:pt idx="16">
                  <c:v>39.494437610763406</c:v>
                </c:pt>
                <c:pt idx="17">
                  <c:v>48.062785297322939</c:v>
                </c:pt>
                <c:pt idx="18">
                  <c:v>58.496024623120455</c:v>
                </c:pt>
                <c:pt idx="19">
                  <c:v>71.201255380100662</c:v>
                </c:pt>
                <c:pt idx="20">
                  <c:v>86.674689129479319</c:v>
                </c:pt>
                <c:pt idx="21">
                  <c:v>80.454598017855048</c:v>
                </c:pt>
                <c:pt idx="22">
                  <c:v>90.519538785010809</c:v>
                </c:pt>
                <c:pt idx="23">
                  <c:v>100.55644108628593</c:v>
                </c:pt>
                <c:pt idx="24">
                  <c:v>110.56850332284465</c:v>
                </c:pt>
                <c:pt idx="25">
                  <c:v>120.55829551377815</c:v>
                </c:pt>
                <c:pt idx="26">
                  <c:v>130.52792583199741</c:v>
                </c:pt>
                <c:pt idx="27">
                  <c:v>140.47915335942602</c:v>
                </c:pt>
                <c:pt idx="28">
                  <c:v>150.41346709462945</c:v>
                </c:pt>
                <c:pt idx="29">
                  <c:v>160.33214292469418</c:v>
                </c:pt>
                <c:pt idx="30">
                  <c:v>170.2362857200674</c:v>
                </c:pt>
                <c:pt idx="31">
                  <c:v>134.33489366016121</c:v>
                </c:pt>
                <c:pt idx="32">
                  <c:v>145.15614909780118</c:v>
                </c:pt>
                <c:pt idx="33">
                  <c:v>155.95810991244028</c:v>
                </c:pt>
                <c:pt idx="34">
                  <c:v>166.74230220443391</c:v>
                </c:pt>
                <c:pt idx="35">
                  <c:v>177.51003823928178</c:v>
                </c:pt>
                <c:pt idx="36">
                  <c:v>188.262457852437</c:v>
                </c:pt>
                <c:pt idx="37">
                  <c:v>199.00055987845982</c:v>
                </c:pt>
                <c:pt idx="38">
                  <c:v>209.72522642798995</c:v>
                </c:pt>
                <c:pt idx="39">
                  <c:v>220.43724193036152</c:v>
                </c:pt>
                <c:pt idx="40">
                  <c:v>231.13730827530739</c:v>
                </c:pt>
                <c:pt idx="41">
                  <c:v>185.5031053197437</c:v>
                </c:pt>
                <c:pt idx="42">
                  <c:v>196.3898575707243</c:v>
                </c:pt>
                <c:pt idx="43">
                  <c:v>207.26259803384187</c:v>
                </c:pt>
                <c:pt idx="44">
                  <c:v>218.12216592131381</c:v>
                </c:pt>
                <c:pt idx="45">
                  <c:v>228.96930997445261</c:v>
                </c:pt>
                <c:pt idx="46">
                  <c:v>239.8047021341722</c:v>
                </c:pt>
                <c:pt idx="47">
                  <c:v>250.62894860829519</c:v>
                </c:pt>
                <c:pt idx="48">
                  <c:v>261.44259892473707</c:v>
                </c:pt>
                <c:pt idx="49">
                  <c:v>272.24615340699222</c:v>
                </c:pt>
                <c:pt idx="50">
                  <c:v>283.04006939986527</c:v>
                </c:pt>
                <c:pt idx="51">
                  <c:v>231.42633948646653</c:v>
                </c:pt>
                <c:pt idx="52">
                  <c:v>241.82605700023589</c:v>
                </c:pt>
                <c:pt idx="53">
                  <c:v>252.21560125852639</c:v>
                </c:pt>
                <c:pt idx="54">
                  <c:v>262.59545070415703</c:v>
                </c:pt>
                <c:pt idx="55">
                  <c:v>272.96604283793067</c:v>
                </c:pt>
                <c:pt idx="56">
                  <c:v>283.32777917829964</c:v>
                </c:pt>
                <c:pt idx="57">
                  <c:v>293.68102945696205</c:v>
                </c:pt>
                <c:pt idx="58">
                  <c:v>304.02613519144205</c:v>
                </c:pt>
                <c:pt idx="59">
                  <c:v>314.363412745662</c:v>
                </c:pt>
                <c:pt idx="60">
                  <c:v>324.69315596665706</c:v>
                </c:pt>
                <c:pt idx="61">
                  <c:v>271.23823623053073</c:v>
                </c:pt>
                <c:pt idx="62">
                  <c:v>281.02591701900354</c:v>
                </c:pt>
                <c:pt idx="63">
                  <c:v>290.80595767435881</c:v>
                </c:pt>
                <c:pt idx="64">
                  <c:v>300.5786515470067</c:v>
                </c:pt>
                <c:pt idx="65">
                  <c:v>310.34427134114759</c:v>
                </c:pt>
                <c:pt idx="66">
                  <c:v>320.10307118592743</c:v>
                </c:pt>
                <c:pt idx="67">
                  <c:v>329.85528844066846</c:v>
                </c:pt>
                <c:pt idx="68">
                  <c:v>339.60114527533796</c:v>
                </c:pt>
                <c:pt idx="69">
                  <c:v>349.34085006001948</c:v>
                </c:pt>
                <c:pt idx="70">
                  <c:v>359.07459859126061</c:v>
                </c:pt>
                <c:pt idx="71">
                  <c:v>305.17510260314947</c:v>
                </c:pt>
                <c:pt idx="72">
                  <c:v>314.36341274566217</c:v>
                </c:pt>
                <c:pt idx="73">
                  <c:v>323.54577011393332</c:v>
                </c:pt>
                <c:pt idx="74">
                  <c:v>332.72236758984241</c:v>
                </c:pt>
                <c:pt idx="75">
                  <c:v>341.89338654010209</c:v>
                </c:pt>
                <c:pt idx="76">
                  <c:v>351.05899780089118</c:v>
                </c:pt>
                <c:pt idx="77">
                  <c:v>360.2193625542364</c:v>
                </c:pt>
                <c:pt idx="78">
                  <c:v>369.37463311055035</c:v>
                </c:pt>
                <c:pt idx="79">
                  <c:v>378.52495360950257</c:v>
                </c:pt>
                <c:pt idx="80">
                  <c:v>387.67046064955343</c:v>
                </c:pt>
                <c:pt idx="81">
                  <c:v>334.29902860093745</c:v>
                </c:pt>
                <c:pt idx="82">
                  <c:v>342.46639395307415</c:v>
                </c:pt>
                <c:pt idx="83">
                  <c:v>350.62947819562123</c:v>
                </c:pt>
                <c:pt idx="84">
                  <c:v>358.78839513118533</c:v>
                </c:pt>
                <c:pt idx="85">
                  <c:v>366.94325296037294</c:v>
                </c:pt>
                <c:pt idx="86">
                  <c:v>375.09415467865216</c:v>
                </c:pt>
                <c:pt idx="87">
                  <c:v>383.24119843689999</c:v>
                </c:pt>
                <c:pt idx="88">
                  <c:v>391.38447786967754</c:v>
                </c:pt>
                <c:pt idx="89">
                  <c:v>399.52408239474534</c:v>
                </c:pt>
                <c:pt idx="90">
                  <c:v>407.66009748688703</c:v>
                </c:pt>
                <c:pt idx="91">
                  <c:v>357.78664364094692</c:v>
                </c:pt>
                <c:pt idx="92">
                  <c:v>365.08372498110822</c:v>
                </c:pt>
                <c:pt idx="93">
                  <c:v>372.37762085245726</c:v>
                </c:pt>
                <c:pt idx="94">
                  <c:v>379.66840250238266</c:v>
                </c:pt>
                <c:pt idx="95">
                  <c:v>386.95613821648527</c:v>
                </c:pt>
                <c:pt idx="96">
                  <c:v>394.24089349639416</c:v>
                </c:pt>
                <c:pt idx="97">
                  <c:v>401.52273122374822</c:v>
                </c:pt>
                <c:pt idx="98">
                  <c:v>408.80171181165474</c:v>
                </c:pt>
                <c:pt idx="99">
                  <c:v>416.07789334479327</c:v>
                </c:pt>
                <c:pt idx="100">
                  <c:v>423.35133170920341</c:v>
                </c:pt>
                <c:pt idx="101">
                  <c:v>377.09553671098359</c:v>
                </c:pt>
                <c:pt idx="102">
                  <c:v>383.66988513905443</c:v>
                </c:pt>
                <c:pt idx="103">
                  <c:v>390.24178515868539</c:v>
                </c:pt>
                <c:pt idx="104">
                  <c:v>396.81128385496118</c:v>
                </c:pt>
                <c:pt idx="105">
                  <c:v>403.37842662539219</c:v>
                </c:pt>
                <c:pt idx="106">
                  <c:v>409.94325726749753</c:v>
                </c:pt>
                <c:pt idx="107">
                  <c:v>416.50581806048422</c:v>
                </c:pt>
                <c:pt idx="108">
                  <c:v>423.06614984150434</c:v>
                </c:pt>
                <c:pt idx="109">
                  <c:v>429.6242920769364</c:v>
                </c:pt>
                <c:pt idx="110">
                  <c:v>436.18028292908207</c:v>
                </c:pt>
                <c:pt idx="111">
                  <c:v>393.52683179640252</c:v>
                </c:pt>
                <c:pt idx="112">
                  <c:v>399.38131349358224</c:v>
                </c:pt>
                <c:pt idx="113">
                  <c:v>405.23393737201667</c:v>
                </c:pt>
                <c:pt idx="114">
                  <c:v>411.08473407358207</c:v>
                </c:pt>
                <c:pt idx="115">
                  <c:v>416.93373329598393</c:v>
                </c:pt>
                <c:pt idx="116">
                  <c:v>422.78096383498274</c:v>
                </c:pt>
                <c:pt idx="117">
                  <c:v>428.62645362416106</c:v>
                </c:pt>
                <c:pt idx="118">
                  <c:v>434.47022977240584</c:v>
                </c:pt>
                <c:pt idx="119">
                  <c:v>440.31231859926862</c:v>
                </c:pt>
                <c:pt idx="120">
                  <c:v>446.15274566835024</c:v>
                </c:pt>
                <c:pt idx="121">
                  <c:v>401.95098506455048</c:v>
                </c:pt>
                <c:pt idx="122">
                  <c:v>401.95098506455048</c:v>
                </c:pt>
                <c:pt idx="123">
                  <c:v>401.95098506455048</c:v>
                </c:pt>
                <c:pt idx="124">
                  <c:v>401.95098506455048</c:v>
                </c:pt>
                <c:pt idx="125">
                  <c:v>401.95098506455048</c:v>
                </c:pt>
                <c:pt idx="126">
                  <c:v>401.95098506455048</c:v>
                </c:pt>
                <c:pt idx="127">
                  <c:v>401.95098506455048</c:v>
                </c:pt>
                <c:pt idx="128">
                  <c:v>401.95098506455048</c:v>
                </c:pt>
                <c:pt idx="129">
                  <c:v>401.95098506455048</c:v>
                </c:pt>
                <c:pt idx="130">
                  <c:v>401.95098506455048</c:v>
                </c:pt>
                <c:pt idx="131">
                  <c:v>401.95098506455048</c:v>
                </c:pt>
                <c:pt idx="132">
                  <c:v>401.95098506455048</c:v>
                </c:pt>
                <c:pt idx="133">
                  <c:v>401.95098506455048</c:v>
                </c:pt>
                <c:pt idx="134">
                  <c:v>401.95098506455048</c:v>
                </c:pt>
                <c:pt idx="135">
                  <c:v>401.95098506455048</c:v>
                </c:pt>
                <c:pt idx="136">
                  <c:v>401.95098506455048</c:v>
                </c:pt>
                <c:pt idx="137">
                  <c:v>401.95098506455048</c:v>
                </c:pt>
                <c:pt idx="138">
                  <c:v>401.95098506455048</c:v>
                </c:pt>
                <c:pt idx="139">
                  <c:v>401.95098506455048</c:v>
                </c:pt>
                <c:pt idx="140">
                  <c:v>401.95098506455048</c:v>
                </c:pt>
                <c:pt idx="141">
                  <c:v>401.95098506455048</c:v>
                </c:pt>
                <c:pt idx="142">
                  <c:v>401.95098506455048</c:v>
                </c:pt>
                <c:pt idx="143">
                  <c:v>401.95098506455048</c:v>
                </c:pt>
                <c:pt idx="144">
                  <c:v>401.95098506455048</c:v>
                </c:pt>
                <c:pt idx="145">
                  <c:v>401.95098506455048</c:v>
                </c:pt>
                <c:pt idx="146">
                  <c:v>401.95098506455048</c:v>
                </c:pt>
                <c:pt idx="147">
                  <c:v>401.95098506455048</c:v>
                </c:pt>
                <c:pt idx="148">
                  <c:v>401.95098506455048</c:v>
                </c:pt>
                <c:pt idx="149">
                  <c:v>401.95098506455048</c:v>
                </c:pt>
                <c:pt idx="150">
                  <c:v>401.95098506455048</c:v>
                </c:pt>
                <c:pt idx="151">
                  <c:v>401.95098506455048</c:v>
                </c:pt>
                <c:pt idx="152">
                  <c:v>401.95098506455048</c:v>
                </c:pt>
                <c:pt idx="153">
                  <c:v>401.95098506455048</c:v>
                </c:pt>
                <c:pt idx="154">
                  <c:v>401.95098506455048</c:v>
                </c:pt>
                <c:pt idx="155">
                  <c:v>401.95098506455048</c:v>
                </c:pt>
                <c:pt idx="156">
                  <c:v>401.95098506455048</c:v>
                </c:pt>
                <c:pt idx="157">
                  <c:v>401.95098506455048</c:v>
                </c:pt>
                <c:pt idx="158">
                  <c:v>401.95098506455048</c:v>
                </c:pt>
                <c:pt idx="159">
                  <c:v>401.95098506455048</c:v>
                </c:pt>
                <c:pt idx="160">
                  <c:v>401.95098506455048</c:v>
                </c:pt>
                <c:pt idx="161">
                  <c:v>401.95098506455048</c:v>
                </c:pt>
                <c:pt idx="162">
                  <c:v>401.95098506455048</c:v>
                </c:pt>
                <c:pt idx="163">
                  <c:v>401.95098506455048</c:v>
                </c:pt>
                <c:pt idx="164">
                  <c:v>401.95098506455048</c:v>
                </c:pt>
                <c:pt idx="165">
                  <c:v>401.95098506455048</c:v>
                </c:pt>
                <c:pt idx="166">
                  <c:v>401.95098506455048</c:v>
                </c:pt>
                <c:pt idx="167">
                  <c:v>401.95098506455048</c:v>
                </c:pt>
                <c:pt idx="168">
                  <c:v>401.95098506455048</c:v>
                </c:pt>
                <c:pt idx="169">
                  <c:v>401.95098506455048</c:v>
                </c:pt>
                <c:pt idx="170">
                  <c:v>401.95098506455048</c:v>
                </c:pt>
                <c:pt idx="171">
                  <c:v>401.95098506455048</c:v>
                </c:pt>
                <c:pt idx="172">
                  <c:v>401.95098506455048</c:v>
                </c:pt>
                <c:pt idx="173">
                  <c:v>401.95098506455048</c:v>
                </c:pt>
                <c:pt idx="174">
                  <c:v>401.95098506455048</c:v>
                </c:pt>
                <c:pt idx="175">
                  <c:v>401.95098506455048</c:v>
                </c:pt>
                <c:pt idx="176">
                  <c:v>401.95098506455048</c:v>
                </c:pt>
                <c:pt idx="177">
                  <c:v>401.95098506455048</c:v>
                </c:pt>
                <c:pt idx="178">
                  <c:v>401.95098506455048</c:v>
                </c:pt>
                <c:pt idx="179">
                  <c:v>401.95098506455048</c:v>
                </c:pt>
                <c:pt idx="180">
                  <c:v>401.95098506455048</c:v>
                </c:pt>
                <c:pt idx="181">
                  <c:v>401.95098506455048</c:v>
                </c:pt>
                <c:pt idx="182">
                  <c:v>401.95098506455048</c:v>
                </c:pt>
                <c:pt idx="183">
                  <c:v>401.95098506455048</c:v>
                </c:pt>
                <c:pt idx="184">
                  <c:v>401.95098506455048</c:v>
                </c:pt>
                <c:pt idx="185">
                  <c:v>401.95098506455048</c:v>
                </c:pt>
                <c:pt idx="186">
                  <c:v>401.95098506455048</c:v>
                </c:pt>
                <c:pt idx="187">
                  <c:v>401.95098506455048</c:v>
                </c:pt>
                <c:pt idx="188">
                  <c:v>401.95098506455048</c:v>
                </c:pt>
                <c:pt idx="189">
                  <c:v>401.95098506455048</c:v>
                </c:pt>
                <c:pt idx="190">
                  <c:v>401.95098506455048</c:v>
                </c:pt>
                <c:pt idx="191">
                  <c:v>401.95098506455048</c:v>
                </c:pt>
                <c:pt idx="192">
                  <c:v>401.95098506455048</c:v>
                </c:pt>
                <c:pt idx="193">
                  <c:v>401.95098506455048</c:v>
                </c:pt>
                <c:pt idx="194">
                  <c:v>401.95098506455048</c:v>
                </c:pt>
                <c:pt idx="195">
                  <c:v>401.95098506455048</c:v>
                </c:pt>
                <c:pt idx="196">
                  <c:v>401.95098506455048</c:v>
                </c:pt>
                <c:pt idx="197">
                  <c:v>401.95098506455048</c:v>
                </c:pt>
                <c:pt idx="198">
                  <c:v>401.95098506455048</c:v>
                </c:pt>
                <c:pt idx="199">
                  <c:v>401.95098506455048</c:v>
                </c:pt>
                <c:pt idx="200">
                  <c:v>401.95098506455048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1.4559517368790669</c:v>
                </c:pt>
                <c:pt idx="2">
                  <c:v>1.729987284132541</c:v>
                </c:pt>
                <c:pt idx="3">
                  <c:v>2.0557977278009294</c:v>
                </c:pt>
                <c:pt idx="4">
                  <c:v>2.4432003726025537</c:v>
                </c:pt>
                <c:pt idx="5">
                  <c:v>2.9038803166105365</c:v>
                </c:pt>
                <c:pt idx="6">
                  <c:v>3.4517469258326074</c:v>
                </c:pt>
                <c:pt idx="7">
                  <c:v>4.1033585411030424</c:v>
                </c:pt>
                <c:pt idx="8">
                  <c:v>4.8784285125057369</c:v>
                </c:pt>
                <c:pt idx="9">
                  <c:v>5.8004281759541811</c:v>
                </c:pt>
                <c:pt idx="10">
                  <c:v>6.8973053917546716</c:v>
                </c:pt>
                <c:pt idx="11">
                  <c:v>8.2023408498340427</c:v>
                </c:pt>
                <c:pt idx="12">
                  <c:v>9.7551686228512136</c:v>
                </c:pt>
                <c:pt idx="13">
                  <c:v>11.602992550352086</c:v>
                </c:pt>
                <c:pt idx="14">
                  <c:v>13.802036124085888</c:v>
                </c:pt>
                <c:pt idx="15">
                  <c:v>16.419270807113978</c:v>
                </c:pt>
                <c:pt idx="16">
                  <c:v>19.534476384865641</c:v>
                </c:pt>
                <c:pt idx="17">
                  <c:v>23.24269728636807</c:v>
                </c:pt>
                <c:pt idx="18">
                  <c:v>27.657171152681755</c:v>
                </c:pt>
                <c:pt idx="19">
                  <c:v>32.912820654148106</c:v>
                </c:pt>
                <c:pt idx="20">
                  <c:v>39.170417130515368</c:v>
                </c:pt>
                <c:pt idx="21">
                  <c:v>46.621545600109563</c:v>
                </c:pt>
                <c:pt idx="22">
                  <c:v>55.494525714785674</c:v>
                </c:pt>
                <c:pt idx="23">
                  <c:v>66.061473113123796</c:v>
                </c:pt>
                <c:pt idx="24">
                  <c:v>78.646721284642979</c:v>
                </c:pt>
                <c:pt idx="25">
                  <c:v>93.636866624515463</c:v>
                </c:pt>
                <c:pt idx="26">
                  <c:v>111.4927501710773</c:v>
                </c:pt>
                <c:pt idx="27">
                  <c:v>132.76375017728887</c:v>
                </c:pt>
                <c:pt idx="28">
                  <c:v>158.10483208300809</c:v>
                </c:pt>
                <c:pt idx="29">
                  <c:v>188.29688890963698</c:v>
                </c:pt>
                <c:pt idx="30">
                  <c:v>224.27100831811845</c:v>
                </c:pt>
                <c:pt idx="31">
                  <c:v>240.53376204318738</c:v>
                </c:pt>
                <c:pt idx="32">
                  <c:v>256.7714919771762</c:v>
                </c:pt>
                <c:pt idx="33">
                  <c:v>272.98600338495862</c:v>
                </c:pt>
                <c:pt idx="34">
                  <c:v>289.17886949122021</c:v>
                </c:pt>
                <c:pt idx="35">
                  <c:v>305.35147290504159</c:v>
                </c:pt>
                <c:pt idx="36">
                  <c:v>321.5050378012242</c:v>
                </c:pt>
                <c:pt idx="37">
                  <c:v>337.64065529108387</c:v>
                </c:pt>
                <c:pt idx="38">
                  <c:v>353.75930368720213</c:v>
                </c:pt>
                <c:pt idx="39">
                  <c:v>369.86186488028119</c:v>
                </c:pt>
                <c:pt idx="40">
                  <c:v>385.94913771420806</c:v>
                </c:pt>
                <c:pt idx="41">
                  <c:v>402.02184901423874</c:v>
                </c:pt>
                <c:pt idx="42">
                  <c:v>418.08066275933976</c:v>
                </c:pt>
                <c:pt idx="43">
                  <c:v>253.84068765287489</c:v>
                </c:pt>
                <c:pt idx="44">
                  <c:v>269.54411534645834</c:v>
                </c:pt>
                <c:pt idx="45">
                  <c:v>285.22695568687891</c:v>
                </c:pt>
                <c:pt idx="46">
                  <c:v>300.89050001330901</c:v>
                </c:pt>
                <c:pt idx="47">
                  <c:v>316.5358942158237</c:v>
                </c:pt>
                <c:pt idx="48">
                  <c:v>332.16416164893707</c:v>
                </c:pt>
                <c:pt idx="49">
                  <c:v>347.77622150490646</c:v>
                </c:pt>
                <c:pt idx="50">
                  <c:v>267.82045439526422</c:v>
                </c:pt>
                <c:pt idx="51">
                  <c:v>282.55146979709662</c:v>
                </c:pt>
                <c:pt idx="52">
                  <c:v>297.26528301549314</c:v>
                </c:pt>
                <c:pt idx="53">
                  <c:v>311.96286547341651</c:v>
                </c:pt>
                <c:pt idx="54">
                  <c:v>326.64508957022116</c:v>
                </c:pt>
                <c:pt idx="55">
                  <c:v>341.31274286695992</c:v>
                </c:pt>
                <c:pt idx="56">
                  <c:v>355.96653970474637</c:v>
                </c:pt>
                <c:pt idx="57">
                  <c:v>297.43935110788397</c:v>
                </c:pt>
                <c:pt idx="58">
                  <c:v>311.7383572269693</c:v>
                </c:pt>
                <c:pt idx="59">
                  <c:v>326.02281510462137</c:v>
                </c:pt>
                <c:pt idx="60">
                  <c:v>340.29345196940289</c:v>
                </c:pt>
                <c:pt idx="61">
                  <c:v>354.55092906999738</c:v>
                </c:pt>
                <c:pt idx="62">
                  <c:v>368.79585012980647</c:v>
                </c:pt>
                <c:pt idx="63">
                  <c:v>383.02876842673123</c:v>
                </c:pt>
                <c:pt idx="64">
                  <c:v>325.71840229311169</c:v>
                </c:pt>
                <c:pt idx="65">
                  <c:v>339.45671552357044</c:v>
                </c:pt>
                <c:pt idx="66">
                  <c:v>353.18279929233978</c:v>
                </c:pt>
                <c:pt idx="67">
                  <c:v>366.89719586105952</c:v>
                </c:pt>
                <c:pt idx="68">
                  <c:v>380.60040364107721</c:v>
                </c:pt>
                <c:pt idx="69">
                  <c:v>394.29288222380774</c:v>
                </c:pt>
                <c:pt idx="70">
                  <c:v>407.97505667577428</c:v>
                </c:pt>
                <c:pt idx="71">
                  <c:v>421.647321227367</c:v>
                </c:pt>
                <c:pt idx="72">
                  <c:v>354.38219978506419</c:v>
                </c:pt>
                <c:pt idx="73">
                  <c:v>367.27332514561107</c:v>
                </c:pt>
                <c:pt idx="74">
                  <c:v>380.15457568105836</c:v>
                </c:pt>
                <c:pt idx="75">
                  <c:v>393.02633316528846</c:v>
                </c:pt>
                <c:pt idx="76">
                  <c:v>405.88895232312825</c:v>
                </c:pt>
                <c:pt idx="77">
                  <c:v>418.74276356136397</c:v>
                </c:pt>
                <c:pt idx="78">
                  <c:v>431.58807534691499</c:v>
                </c:pt>
                <c:pt idx="79">
                  <c:v>444.42517628710794</c:v>
                </c:pt>
                <c:pt idx="80">
                  <c:v>379.50930344710491</c:v>
                </c:pt>
                <c:pt idx="81">
                  <c:v>391.59489202964716</c:v>
                </c:pt>
                <c:pt idx="82">
                  <c:v>403.67239195063979</c:v>
                </c:pt>
                <c:pt idx="83">
                  <c:v>415.7420793489016</c:v>
                </c:pt>
                <c:pt idx="84">
                  <c:v>427.80421301983375</c:v>
                </c:pt>
                <c:pt idx="85">
                  <c:v>439.85903597336824</c:v>
                </c:pt>
                <c:pt idx="86">
                  <c:v>451.90677681221678</c:v>
                </c:pt>
                <c:pt idx="87">
                  <c:v>463.94765095548405</c:v>
                </c:pt>
                <c:pt idx="88">
                  <c:v>398.22609617089216</c:v>
                </c:pt>
                <c:pt idx="89">
                  <c:v>409.42150396683786</c:v>
                </c:pt>
                <c:pt idx="90">
                  <c:v>420.6103021791476</c:v>
                </c:pt>
                <c:pt idx="91">
                  <c:v>431.79269144575846</c:v>
                </c:pt>
                <c:pt idx="92">
                  <c:v>442.96886116304557</c:v>
                </c:pt>
                <c:pt idx="93">
                  <c:v>454.13899038945743</c:v>
                </c:pt>
                <c:pt idx="94">
                  <c:v>465.3032486556088</c:v>
                </c:pt>
                <c:pt idx="95">
                  <c:v>476.46179669257441</c:v>
                </c:pt>
                <c:pt idx="96">
                  <c:v>249.87566695731167</c:v>
                </c:pt>
                <c:pt idx="97">
                  <c:v>257.42321497634555</c:v>
                </c:pt>
                <c:pt idx="98">
                  <c:v>264.96575978377672</c:v>
                </c:pt>
                <c:pt idx="99">
                  <c:v>272.50346405734365</c:v>
                </c:pt>
                <c:pt idx="100">
                  <c:v>280.03648073000704</c:v>
                </c:pt>
                <c:pt idx="101">
                  <c:v>287.56495382593954</c:v>
                </c:pt>
                <c:pt idx="102">
                  <c:v>295.08901920431265</c:v>
                </c:pt>
                <c:pt idx="103">
                  <c:v>302.6088052231903</c:v>
                </c:pt>
                <c:pt idx="104">
                  <c:v>310.12443333392656</c:v>
                </c:pt>
                <c:pt idx="105">
                  <c:v>317.63601861488428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2.5419361243387457</c:v>
                </c:pt>
                <c:pt idx="2">
                  <c:v>3.1655725638916965</c:v>
                </c:pt>
                <c:pt idx="3">
                  <c:v>3.9428035750244419</c:v>
                </c:pt>
                <c:pt idx="4">
                  <c:v>4.9115952921971058</c:v>
                </c:pt>
                <c:pt idx="5">
                  <c:v>6.1193302965732146</c:v>
                </c:pt>
                <c:pt idx="6">
                  <c:v>7.6251504406534805</c:v>
                </c:pt>
                <c:pt idx="7">
                  <c:v>9.5028842563757507</c:v>
                </c:pt>
                <c:pt idx="8">
                  <c:v>11.844705198464125</c:v>
                </c:pt>
                <c:pt idx="9">
                  <c:v>14.765703652419754</c:v>
                </c:pt>
                <c:pt idx="10">
                  <c:v>18.409601532395097</c:v>
                </c:pt>
                <c:pt idx="11">
                  <c:v>22.955895729680325</c:v>
                </c:pt>
                <c:pt idx="12">
                  <c:v>28.628788554676579</c:v>
                </c:pt>
                <c:pt idx="13">
                  <c:v>35.708353284652667</c:v>
                </c:pt>
                <c:pt idx="14">
                  <c:v>44.544495545902528</c:v>
                </c:pt>
                <c:pt idx="15">
                  <c:v>55.574412233109683</c:v>
                </c:pt>
                <c:pt idx="16">
                  <c:v>69.344426154250357</c:v>
                </c:pt>
                <c:pt idx="17">
                  <c:v>86.537295547085179</c:v>
                </c:pt>
                <c:pt idx="18">
                  <c:v>108.00637426873294</c:v>
                </c:pt>
                <c:pt idx="19">
                  <c:v>134.81834487636456</c:v>
                </c:pt>
                <c:pt idx="20">
                  <c:v>168.30668061428091</c:v>
                </c:pt>
                <c:pt idx="21">
                  <c:v>114.89636998864779</c:v>
                </c:pt>
                <c:pt idx="22">
                  <c:v>136.11149105418758</c:v>
                </c:pt>
                <c:pt idx="23">
                  <c:v>157.24688373565013</c:v>
                </c:pt>
                <c:pt idx="24">
                  <c:v>178.31479007290764</c:v>
                </c:pt>
                <c:pt idx="25">
                  <c:v>199.32431229219446</c:v>
                </c:pt>
                <c:pt idx="26">
                  <c:v>220.28247236407125</c:v>
                </c:pt>
                <c:pt idx="27">
                  <c:v>241.19484478237635</c:v>
                </c:pt>
                <c:pt idx="28">
                  <c:v>262.06595742232184</c:v>
                </c:pt>
                <c:pt idx="29">
                  <c:v>282.89955759178861</c:v>
                </c:pt>
                <c:pt idx="30">
                  <c:v>303.69879541443913</c:v>
                </c:pt>
                <c:pt idx="31">
                  <c:v>225.42891467822554</c:v>
                </c:pt>
                <c:pt idx="32">
                  <c:v>242.90708874646216</c:v>
                </c:pt>
                <c:pt idx="33">
                  <c:v>260.35666841385739</c:v>
                </c:pt>
                <c:pt idx="34">
                  <c:v>277.77983970169777</c:v>
                </c:pt>
                <c:pt idx="35">
                  <c:v>295.17849192957436</c:v>
                </c:pt>
                <c:pt idx="36">
                  <c:v>312.55427347160997</c:v>
                </c:pt>
                <c:pt idx="37">
                  <c:v>329.90863445331962</c:v>
                </c:pt>
                <c:pt idx="38">
                  <c:v>347.24285998792817</c:v>
                </c:pt>
                <c:pt idx="39">
                  <c:v>364.55809642552708</c:v>
                </c:pt>
                <c:pt idx="40">
                  <c:v>381.85537235272409</c:v>
                </c:pt>
                <c:pt idx="41">
                  <c:v>299.78012652729893</c:v>
                </c:pt>
                <c:pt idx="42">
                  <c:v>312.89475650137177</c:v>
                </c:pt>
                <c:pt idx="43">
                  <c:v>325.9971979435436</c:v>
                </c:pt>
                <c:pt idx="44">
                  <c:v>339.08800983656238</c:v>
                </c:pt>
                <c:pt idx="45">
                  <c:v>352.16770447084946</c:v>
                </c:pt>
                <c:pt idx="46">
                  <c:v>365.23675297080734</c:v>
                </c:pt>
                <c:pt idx="47">
                  <c:v>378.29558998861233</c:v>
                </c:pt>
                <c:pt idx="48">
                  <c:v>391.34461771590031</c:v>
                </c:pt>
                <c:pt idx="49">
                  <c:v>404.38420933237239</c:v>
                </c:pt>
                <c:pt idx="50">
                  <c:v>417.41471198632871</c:v>
                </c:pt>
                <c:pt idx="51">
                  <c:v>360.82499034748571</c:v>
                </c:pt>
                <c:pt idx="52">
                  <c:v>370.32580293370683</c:v>
                </c:pt>
                <c:pt idx="53">
                  <c:v>379.82129986564109</c:v>
                </c:pt>
                <c:pt idx="54">
                  <c:v>389.31163283661289</c:v>
                </c:pt>
                <c:pt idx="55">
                  <c:v>398.79694553728024</c:v>
                </c:pt>
                <c:pt idx="56">
                  <c:v>408.27737426224047</c:v>
                </c:pt>
                <c:pt idx="57">
                  <c:v>417.7530484573353</c:v>
                </c:pt>
                <c:pt idx="58">
                  <c:v>427.22409121469786</c:v>
                </c:pt>
                <c:pt idx="59">
                  <c:v>436.69061972160131</c:v>
                </c:pt>
                <c:pt idx="60">
                  <c:v>446.15274566834916</c:v>
                </c:pt>
                <c:pt idx="61">
                  <c:v>410.81596227236088</c:v>
                </c:pt>
                <c:pt idx="62">
                  <c:v>417.7530484573353</c:v>
                </c:pt>
                <c:pt idx="63">
                  <c:v>424.68765216037281</c:v>
                </c:pt>
                <c:pt idx="64">
                  <c:v>431.61981966331041</c:v>
                </c:pt>
                <c:pt idx="65">
                  <c:v>438.54959563904839</c:v>
                </c:pt>
                <c:pt idx="66">
                  <c:v>445.477023232585</c:v>
                </c:pt>
                <c:pt idx="67">
                  <c:v>452.40214413674408</c:v>
                </c:pt>
                <c:pt idx="68">
                  <c:v>459.32499866302322</c:v>
                </c:pt>
                <c:pt idx="69">
                  <c:v>466.24562580794571</c:v>
                </c:pt>
                <c:pt idx="70">
                  <c:v>473.16406331526701</c:v>
                </c:pt>
                <c:pt idx="71">
                  <c:v>442.94286825616126</c:v>
                </c:pt>
                <c:pt idx="72">
                  <c:v>448.17978162908167</c:v>
                </c:pt>
                <c:pt idx="73">
                  <c:v>453.41538541847422</c:v>
                </c:pt>
                <c:pt idx="74">
                  <c:v>458.64969689218088</c:v>
                </c:pt>
                <c:pt idx="75">
                  <c:v>463.88273289143444</c:v>
                </c:pt>
                <c:pt idx="76">
                  <c:v>469.11450984619825</c:v>
                </c:pt>
                <c:pt idx="77">
                  <c:v>474.3450437897875</c:v>
                </c:pt>
                <c:pt idx="78">
                  <c:v>479.5743503728101</c:v>
                </c:pt>
                <c:pt idx="79">
                  <c:v>484.80244487646905</c:v>
                </c:pt>
                <c:pt idx="80">
                  <c:v>490.02934222525914</c:v>
                </c:pt>
                <c:pt idx="81">
                  <c:v>1.3765621991510601E-12</c:v>
                </c:pt>
                <c:pt idx="82">
                  <c:v>1.3765621991510601E-12</c:v>
                </c:pt>
                <c:pt idx="83">
                  <c:v>1.3765621991510601E-12</c:v>
                </c:pt>
                <c:pt idx="84">
                  <c:v>1.3765621991510601E-12</c:v>
                </c:pt>
                <c:pt idx="85">
                  <c:v>1.3765621991510601E-12</c:v>
                </c:pt>
                <c:pt idx="86">
                  <c:v>1.3765621991510601E-12</c:v>
                </c:pt>
                <c:pt idx="87">
                  <c:v>1.3765621991510601E-12</c:v>
                </c:pt>
                <c:pt idx="88">
                  <c:v>1.3765621991510601E-12</c:v>
                </c:pt>
                <c:pt idx="89">
                  <c:v>1.3765621991510601E-12</c:v>
                </c:pt>
                <c:pt idx="90">
                  <c:v>1.3765621991510601E-12</c:v>
                </c:pt>
                <c:pt idx="91">
                  <c:v>1.3765621991510601E-12</c:v>
                </c:pt>
                <c:pt idx="92">
                  <c:v>1.3765621991510601E-12</c:v>
                </c:pt>
                <c:pt idx="93">
                  <c:v>1.3765621991510601E-12</c:v>
                </c:pt>
                <c:pt idx="94">
                  <c:v>1.3765621991510601E-12</c:v>
                </c:pt>
                <c:pt idx="95">
                  <c:v>1.3765621991510601E-12</c:v>
                </c:pt>
                <c:pt idx="96">
                  <c:v>1.3765621991510601E-12</c:v>
                </c:pt>
                <c:pt idx="97">
                  <c:v>1.3765621991510601E-12</c:v>
                </c:pt>
                <c:pt idx="98">
                  <c:v>1.3765621991510601E-12</c:v>
                </c:pt>
                <c:pt idx="99">
                  <c:v>1.3765621991510601E-12</c:v>
                </c:pt>
                <c:pt idx="100">
                  <c:v>1.3765621991510601E-12</c:v>
                </c:pt>
                <c:pt idx="101">
                  <c:v>1.3765621991510601E-12</c:v>
                </c:pt>
                <c:pt idx="102">
                  <c:v>1.3765621991510601E-12</c:v>
                </c:pt>
                <c:pt idx="103">
                  <c:v>1.3765621991510601E-12</c:v>
                </c:pt>
                <c:pt idx="104">
                  <c:v>1.3765621991510601E-12</c:v>
                </c:pt>
                <c:pt idx="105">
                  <c:v>1.3765621991510601E-12</c:v>
                </c:pt>
                <c:pt idx="106">
                  <c:v>1.3765621991510601E-12</c:v>
                </c:pt>
                <c:pt idx="107">
                  <c:v>1.3765621991510601E-12</c:v>
                </c:pt>
                <c:pt idx="108">
                  <c:v>1.3765621991510601E-12</c:v>
                </c:pt>
                <c:pt idx="109">
                  <c:v>1.3765621991510601E-12</c:v>
                </c:pt>
                <c:pt idx="110">
                  <c:v>1.3765621991510601E-12</c:v>
                </c:pt>
                <c:pt idx="111">
                  <c:v>1.3765621991510601E-12</c:v>
                </c:pt>
                <c:pt idx="112">
                  <c:v>1.3765621991510601E-12</c:v>
                </c:pt>
                <c:pt idx="113">
                  <c:v>1.3765621991510601E-12</c:v>
                </c:pt>
                <c:pt idx="114">
                  <c:v>1.3765621991510601E-12</c:v>
                </c:pt>
                <c:pt idx="115">
                  <c:v>1.3765621991510601E-12</c:v>
                </c:pt>
                <c:pt idx="116">
                  <c:v>1.3765621991510601E-12</c:v>
                </c:pt>
                <c:pt idx="117">
                  <c:v>1.3765621991510601E-12</c:v>
                </c:pt>
                <c:pt idx="118">
                  <c:v>1.3765621991510601E-12</c:v>
                </c:pt>
                <c:pt idx="119">
                  <c:v>1.3765621991510601E-12</c:v>
                </c:pt>
                <c:pt idx="120">
                  <c:v>1.3765621991510601E-12</c:v>
                </c:pt>
                <c:pt idx="121">
                  <c:v>1.3765621991510601E-12</c:v>
                </c:pt>
                <c:pt idx="122">
                  <c:v>1.3765621991510601E-12</c:v>
                </c:pt>
                <c:pt idx="123">
                  <c:v>1.3765621991510601E-12</c:v>
                </c:pt>
                <c:pt idx="124">
                  <c:v>1.3765621991510601E-12</c:v>
                </c:pt>
                <c:pt idx="125">
                  <c:v>1.3765621991510601E-12</c:v>
                </c:pt>
                <c:pt idx="126">
                  <c:v>1.3765621991510601E-12</c:v>
                </c:pt>
                <c:pt idx="127">
                  <c:v>1.3765621991510601E-12</c:v>
                </c:pt>
                <c:pt idx="128">
                  <c:v>1.3765621991510601E-12</c:v>
                </c:pt>
                <c:pt idx="129">
                  <c:v>1.3765621991510601E-12</c:v>
                </c:pt>
                <c:pt idx="130">
                  <c:v>1.3765621991510601E-12</c:v>
                </c:pt>
                <c:pt idx="131">
                  <c:v>1.3765621991510601E-12</c:v>
                </c:pt>
                <c:pt idx="132">
                  <c:v>1.3765621991510601E-12</c:v>
                </c:pt>
                <c:pt idx="133">
                  <c:v>1.3765621991510601E-12</c:v>
                </c:pt>
                <c:pt idx="134">
                  <c:v>1.3765621991510601E-12</c:v>
                </c:pt>
                <c:pt idx="135">
                  <c:v>1.3765621991510601E-12</c:v>
                </c:pt>
                <c:pt idx="136">
                  <c:v>1.3765621991510601E-12</c:v>
                </c:pt>
                <c:pt idx="137">
                  <c:v>1.3765621991510601E-12</c:v>
                </c:pt>
                <c:pt idx="138">
                  <c:v>1.3765621991510601E-12</c:v>
                </c:pt>
                <c:pt idx="139">
                  <c:v>1.3765621991510601E-12</c:v>
                </c:pt>
                <c:pt idx="140">
                  <c:v>1.3765621991510601E-12</c:v>
                </c:pt>
                <c:pt idx="141">
                  <c:v>1.3765621991510601E-12</c:v>
                </c:pt>
                <c:pt idx="142">
                  <c:v>1.3765621991510601E-12</c:v>
                </c:pt>
                <c:pt idx="143">
                  <c:v>1.3765621991510601E-12</c:v>
                </c:pt>
                <c:pt idx="144">
                  <c:v>1.3765621991510601E-12</c:v>
                </c:pt>
                <c:pt idx="145">
                  <c:v>1.3765621991510601E-12</c:v>
                </c:pt>
                <c:pt idx="146">
                  <c:v>1.3765621991510601E-12</c:v>
                </c:pt>
                <c:pt idx="147">
                  <c:v>1.3765621991510601E-12</c:v>
                </c:pt>
                <c:pt idx="148">
                  <c:v>1.3765621991510601E-12</c:v>
                </c:pt>
                <c:pt idx="149">
                  <c:v>1.3765621991510601E-12</c:v>
                </c:pt>
                <c:pt idx="150">
                  <c:v>1.3765621991510601E-12</c:v>
                </c:pt>
                <c:pt idx="151">
                  <c:v>1.3765621991510601E-12</c:v>
                </c:pt>
                <c:pt idx="152">
                  <c:v>1.3765621991510601E-12</c:v>
                </c:pt>
                <c:pt idx="153">
                  <c:v>1.3765621991510601E-12</c:v>
                </c:pt>
                <c:pt idx="154">
                  <c:v>1.3765621991510601E-12</c:v>
                </c:pt>
                <c:pt idx="155">
                  <c:v>1.3765621991510601E-12</c:v>
                </c:pt>
                <c:pt idx="156">
                  <c:v>1.3765621991510601E-12</c:v>
                </c:pt>
                <c:pt idx="157">
                  <c:v>1.3765621991510601E-12</c:v>
                </c:pt>
                <c:pt idx="158">
                  <c:v>1.3765621991510601E-12</c:v>
                </c:pt>
                <c:pt idx="159">
                  <c:v>1.3765621991510601E-12</c:v>
                </c:pt>
                <c:pt idx="160">
                  <c:v>1.3765621991510601E-12</c:v>
                </c:pt>
                <c:pt idx="161">
                  <c:v>1.3765621991510601E-12</c:v>
                </c:pt>
                <c:pt idx="162">
                  <c:v>1.3765621991510601E-12</c:v>
                </c:pt>
                <c:pt idx="163">
                  <c:v>1.3765621991510601E-12</c:v>
                </c:pt>
                <c:pt idx="164">
                  <c:v>1.3765621991510601E-12</c:v>
                </c:pt>
                <c:pt idx="165">
                  <c:v>1.3765621991510601E-12</c:v>
                </c:pt>
                <c:pt idx="166">
                  <c:v>1.3765621991510601E-12</c:v>
                </c:pt>
                <c:pt idx="167">
                  <c:v>1.3765621991510601E-12</c:v>
                </c:pt>
                <c:pt idx="168">
                  <c:v>1.3765621991510601E-12</c:v>
                </c:pt>
                <c:pt idx="169">
                  <c:v>1.3765621991510601E-12</c:v>
                </c:pt>
                <c:pt idx="170">
                  <c:v>1.3765621991510601E-12</c:v>
                </c:pt>
                <c:pt idx="171">
                  <c:v>1.3765621991510601E-12</c:v>
                </c:pt>
                <c:pt idx="172">
                  <c:v>1.3765621991510601E-12</c:v>
                </c:pt>
                <c:pt idx="173">
                  <c:v>1.3765621991510601E-12</c:v>
                </c:pt>
                <c:pt idx="174">
                  <c:v>1.3765621991510601E-12</c:v>
                </c:pt>
                <c:pt idx="175">
                  <c:v>1.3765621991510601E-12</c:v>
                </c:pt>
                <c:pt idx="176">
                  <c:v>1.3765621991510601E-12</c:v>
                </c:pt>
                <c:pt idx="177">
                  <c:v>1.3765621991510601E-12</c:v>
                </c:pt>
                <c:pt idx="178">
                  <c:v>1.3765621991510601E-12</c:v>
                </c:pt>
                <c:pt idx="179">
                  <c:v>1.3765621991510601E-12</c:v>
                </c:pt>
                <c:pt idx="180">
                  <c:v>1.3765621991510601E-12</c:v>
                </c:pt>
                <c:pt idx="181">
                  <c:v>1.3765621991510601E-12</c:v>
                </c:pt>
                <c:pt idx="182">
                  <c:v>1.3765621991510601E-12</c:v>
                </c:pt>
                <c:pt idx="183">
                  <c:v>1.3765621991510601E-12</c:v>
                </c:pt>
                <c:pt idx="184">
                  <c:v>1.3765621991510601E-12</c:v>
                </c:pt>
                <c:pt idx="185">
                  <c:v>1.3765621991510601E-12</c:v>
                </c:pt>
                <c:pt idx="186">
                  <c:v>1.3765621991510601E-12</c:v>
                </c:pt>
                <c:pt idx="187">
                  <c:v>1.3765621991510601E-12</c:v>
                </c:pt>
                <c:pt idx="188">
                  <c:v>1.3765621991510601E-12</c:v>
                </c:pt>
                <c:pt idx="189">
                  <c:v>1.3765621991510601E-12</c:v>
                </c:pt>
                <c:pt idx="190">
                  <c:v>1.3765621991510601E-12</c:v>
                </c:pt>
                <c:pt idx="191">
                  <c:v>1.3765621991510601E-12</c:v>
                </c:pt>
                <c:pt idx="192">
                  <c:v>1.3765621991510601E-12</c:v>
                </c:pt>
                <c:pt idx="193">
                  <c:v>1.3765621991510601E-12</c:v>
                </c:pt>
                <c:pt idx="194">
                  <c:v>1.3765621991510601E-12</c:v>
                </c:pt>
                <c:pt idx="195">
                  <c:v>1.3765621991510601E-12</c:v>
                </c:pt>
                <c:pt idx="196">
                  <c:v>1.3765621991510601E-12</c:v>
                </c:pt>
                <c:pt idx="197">
                  <c:v>1.3765621991510601E-12</c:v>
                </c:pt>
                <c:pt idx="198">
                  <c:v>1.3765621991510601E-12</c:v>
                </c:pt>
                <c:pt idx="199">
                  <c:v>1.3765621991510601E-12</c:v>
                </c:pt>
                <c:pt idx="200">
                  <c:v>1.3765621991510601E-12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1.9508946107432275</c:v>
                </c:pt>
                <c:pt idx="2">
                  <c:v>2.4541577777849692</c:v>
                </c:pt>
                <c:pt idx="3">
                  <c:v>3.0877594432242415</c:v>
                </c:pt>
                <c:pt idx="4">
                  <c:v>3.8855812951691147</c:v>
                </c:pt>
                <c:pt idx="5">
                  <c:v>4.8903432539889566</c:v>
                </c:pt>
                <c:pt idx="6">
                  <c:v>6.1559164125763592</c:v>
                </c:pt>
                <c:pt idx="7">
                  <c:v>7.7502430654644883</c:v>
                </c:pt>
                <c:pt idx="8">
                  <c:v>9.759023606181179</c:v>
                </c:pt>
                <c:pt idx="9">
                  <c:v>12.290372228750266</c:v>
                </c:pt>
                <c:pt idx="10">
                  <c:v>15.480696673450021</c:v>
                </c:pt>
                <c:pt idx="11">
                  <c:v>19.502124662623089</c:v>
                </c:pt>
                <c:pt idx="12">
                  <c:v>24.571884917422917</c:v>
                </c:pt>
                <c:pt idx="13">
                  <c:v>30.964158461385495</c:v>
                </c:pt>
                <c:pt idx="14">
                  <c:v>39.025052288726734</c:v>
                </c:pt>
                <c:pt idx="15">
                  <c:v>49.1915199822785</c:v>
                </c:pt>
                <c:pt idx="16">
                  <c:v>67.141068601994363</c:v>
                </c:pt>
                <c:pt idx="17">
                  <c:v>84.965895845508868</c:v>
                </c:pt>
                <c:pt idx="18">
                  <c:v>102.69609677832152</c:v>
                </c:pt>
                <c:pt idx="19">
                  <c:v>120.35039026570223</c:v>
                </c:pt>
                <c:pt idx="20">
                  <c:v>137.94151075020798</c:v>
                </c:pt>
                <c:pt idx="21">
                  <c:v>155.47866232925674</c:v>
                </c:pt>
                <c:pt idx="22">
                  <c:v>172.96879566591463</c:v>
                </c:pt>
                <c:pt idx="23">
                  <c:v>120.81303316585546</c:v>
                </c:pt>
                <c:pt idx="24">
                  <c:v>137.39493931950179</c:v>
                </c:pt>
                <c:pt idx="25">
                  <c:v>153.92869031769388</c:v>
                </c:pt>
                <c:pt idx="26">
                  <c:v>170.42019183619729</c:v>
                </c:pt>
                <c:pt idx="27">
                  <c:v>186.8741105331159</c:v>
                </c:pt>
                <c:pt idx="28">
                  <c:v>158.76051047616974</c:v>
                </c:pt>
                <c:pt idx="29">
                  <c:v>175.59896515661083</c:v>
                </c:pt>
                <c:pt idx="30">
                  <c:v>192.39950654022337</c:v>
                </c:pt>
                <c:pt idx="31">
                  <c:v>209.16591247422164</c:v>
                </c:pt>
                <c:pt idx="32">
                  <c:v>225.90130495746598</c:v>
                </c:pt>
                <c:pt idx="33">
                  <c:v>242.60830522574886</c:v>
                </c:pt>
                <c:pt idx="34">
                  <c:v>203.58097513744312</c:v>
                </c:pt>
                <c:pt idx="35">
                  <c:v>220.02792534458789</c:v>
                </c:pt>
                <c:pt idx="36">
                  <c:v>236.44664825214033</c:v>
                </c:pt>
                <c:pt idx="37">
                  <c:v>252.83938003643598</c:v>
                </c:pt>
                <c:pt idx="38">
                  <c:v>269.20804307840729</c:v>
                </c:pt>
                <c:pt idx="39">
                  <c:v>285.55430680854636</c:v>
                </c:pt>
                <c:pt idx="40">
                  <c:v>301.87963387321702</c:v>
                </c:pt>
                <c:pt idx="41">
                  <c:v>318.18531578207222</c:v>
                </c:pt>
                <c:pt idx="42">
                  <c:v>258.41598708702207</c:v>
                </c:pt>
                <c:pt idx="43">
                  <c:v>273.64897539352847</c:v>
                </c:pt>
                <c:pt idx="44">
                  <c:v>288.86291050410301</c:v>
                </c:pt>
                <c:pt idx="45">
                  <c:v>304.05893725366747</c:v>
                </c:pt>
                <c:pt idx="46">
                  <c:v>319.23807668113341</c:v>
                </c:pt>
                <c:pt idx="47">
                  <c:v>334.40124478994881</c:v>
                </c:pt>
                <c:pt idx="48">
                  <c:v>349.54926772624776</c:v>
                </c:pt>
                <c:pt idx="49">
                  <c:v>364.68289418741483</c:v>
                </c:pt>
                <c:pt idx="50">
                  <c:v>379.80280566271313</c:v>
                </c:pt>
                <c:pt idx="51">
                  <c:v>322.84049712168786</c:v>
                </c:pt>
                <c:pt idx="52">
                  <c:v>336.46900936276592</c:v>
                </c:pt>
                <c:pt idx="53">
                  <c:v>350.08536930552197</c:v>
                </c:pt>
                <c:pt idx="54">
                  <c:v>363.69011622210314</c:v>
                </c:pt>
                <c:pt idx="55">
                  <c:v>377.28374574247255</c:v>
                </c:pt>
                <c:pt idx="56">
                  <c:v>390.8667148646162</c:v>
                </c:pt>
                <c:pt idx="57">
                  <c:v>404.43944623185251</c:v>
                </c:pt>
                <c:pt idx="58">
                  <c:v>418.00233180594455</c:v>
                </c:pt>
                <c:pt idx="59">
                  <c:v>431.55573603859699</c:v>
                </c:pt>
                <c:pt idx="60">
                  <c:v>445.09999862375906</c:v>
                </c:pt>
                <c:pt idx="61">
                  <c:v>387.77711671492489</c:v>
                </c:pt>
                <c:pt idx="62">
                  <c:v>399.46857547560211</c:v>
                </c:pt>
                <c:pt idx="63">
                  <c:v>411.15262834415722</c:v>
                </c:pt>
                <c:pt idx="64">
                  <c:v>422.82951547202788</c:v>
                </c:pt>
                <c:pt idx="65">
                  <c:v>434.4994626626833</c:v>
                </c:pt>
                <c:pt idx="66">
                  <c:v>446.16268259938084</c:v>
                </c:pt>
                <c:pt idx="67">
                  <c:v>457.81937593784551</c:v>
                </c:pt>
                <c:pt idx="68">
                  <c:v>469.46973228186403</c:v>
                </c:pt>
                <c:pt idx="69">
                  <c:v>481.11393105699329</c:v>
                </c:pt>
                <c:pt idx="70">
                  <c:v>492.75214229528314</c:v>
                </c:pt>
                <c:pt idx="71">
                  <c:v>435.52165251525486</c:v>
                </c:pt>
                <c:pt idx="72">
                  <c:v>445.12148725674388</c:v>
                </c:pt>
                <c:pt idx="73">
                  <c:v>454.71688879830623</c:v>
                </c:pt>
                <c:pt idx="74">
                  <c:v>464.30796390444101</c:v>
                </c:pt>
                <c:pt idx="75">
                  <c:v>473.8948145679185</c:v>
                </c:pt>
                <c:pt idx="76">
                  <c:v>483.47753831734195</c:v>
                </c:pt>
                <c:pt idx="77">
                  <c:v>493.05622849905507</c:v>
                </c:pt>
                <c:pt idx="78">
                  <c:v>502.63097453599829</c:v>
                </c:pt>
                <c:pt idx="79">
                  <c:v>512.20186216581487</c:v>
                </c:pt>
                <c:pt idx="80">
                  <c:v>521.76897366023286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3.1628863339481534</c:v>
                </c:pt>
                <c:pt idx="2">
                  <c:v>3.6628992871920438</c:v>
                </c:pt>
                <c:pt idx="3">
                  <c:v>4.2422409244936503</c:v>
                </c:pt>
                <c:pt idx="4">
                  <c:v>4.9135393564650593</c:v>
                </c:pt>
                <c:pt idx="5">
                  <c:v>5.6914392471718847</c:v>
                </c:pt>
                <c:pt idx="6">
                  <c:v>6.5929247726706288</c:v>
                </c:pt>
                <c:pt idx="7">
                  <c:v>7.6376944418802752</c:v>
                </c:pt>
                <c:pt idx="8">
                  <c:v>8.8485961287004873</c:v>
                </c:pt>
                <c:pt idx="9">
                  <c:v>10.252132011350932</c:v>
                </c:pt>
                <c:pt idx="10">
                  <c:v>11.879044679757373</c:v>
                </c:pt>
                <c:pt idx="11">
                  <c:v>13.764997489727833</c:v>
                </c:pt>
                <c:pt idx="12">
                  <c:v>15.951364354646456</c:v>
                </c:pt>
                <c:pt idx="13">
                  <c:v>18.486146619119001</c:v>
                </c:pt>
                <c:pt idx="14">
                  <c:v>21.425037509820857</c:v>
                </c:pt>
                <c:pt idx="15">
                  <c:v>24.832657971109484</c:v>
                </c:pt>
                <c:pt idx="16">
                  <c:v>28.783991541603669</c:v>
                </c:pt>
                <c:pt idx="17">
                  <c:v>33.366050399895471</c:v>
                </c:pt>
                <c:pt idx="18">
                  <c:v>38.679809903968007</c:v>
                </c:pt>
                <c:pt idx="19">
                  <c:v>44.842454987298908</c:v>
                </c:pt>
                <c:pt idx="20">
                  <c:v>51.989988791691758</c:v>
                </c:pt>
                <c:pt idx="21">
                  <c:v>59.913833569367917</c:v>
                </c:pt>
                <c:pt idx="22">
                  <c:v>67.810344455939074</c:v>
                </c:pt>
                <c:pt idx="23">
                  <c:v>75.683163274684077</c:v>
                </c:pt>
                <c:pt idx="24">
                  <c:v>83.535108609331004</c:v>
                </c:pt>
                <c:pt idx="25">
                  <c:v>91.368423745432267</c:v>
                </c:pt>
                <c:pt idx="26">
                  <c:v>99.184934559084454</c:v>
                </c:pt>
                <c:pt idx="27">
                  <c:v>106.98615474786317</c:v>
                </c:pt>
                <c:pt idx="28">
                  <c:v>114.77335861397849</c:v>
                </c:pt>
                <c:pt idx="29">
                  <c:v>122.54763297757977</c:v>
                </c:pt>
                <c:pt idx="30">
                  <c:v>130.30991517841116</c:v>
                </c:pt>
                <c:pt idx="31">
                  <c:v>118.07305729235821</c:v>
                </c:pt>
                <c:pt idx="32">
                  <c:v>127.01823551970169</c:v>
                </c:pt>
                <c:pt idx="33">
                  <c:v>135.94814921445345</c:v>
                </c:pt>
                <c:pt idx="34">
                  <c:v>144.86394385180279</c:v>
                </c:pt>
                <c:pt idx="35">
                  <c:v>153.76661212101561</c:v>
                </c:pt>
                <c:pt idx="36">
                  <c:v>162.65702216988487</c:v>
                </c:pt>
                <c:pt idx="37">
                  <c:v>171.53593933539187</c:v>
                </c:pt>
                <c:pt idx="38">
                  <c:v>180.40404312945893</c:v>
                </c:pt>
                <c:pt idx="39">
                  <c:v>189.26194070315486</c:v>
                </c:pt>
                <c:pt idx="40">
                  <c:v>198.11017765361623</c:v>
                </c:pt>
                <c:pt idx="41">
                  <c:v>167.33152417187659</c:v>
                </c:pt>
                <c:pt idx="42">
                  <c:v>176.20467025441357</c:v>
                </c:pt>
                <c:pt idx="43">
                  <c:v>185.0673307995938</c:v>
                </c:pt>
                <c:pt idx="44">
                  <c:v>193.92007935590095</c:v>
                </c:pt>
                <c:pt idx="45">
                  <c:v>202.76343275622796</c:v>
                </c:pt>
                <c:pt idx="46">
                  <c:v>211.59785901000387</c:v>
                </c:pt>
                <c:pt idx="47">
                  <c:v>220.42378380631862</c:v>
                </c:pt>
                <c:pt idx="48">
                  <c:v>229.2415959195134</c:v>
                </c:pt>
                <c:pt idx="49">
                  <c:v>238.05165173845288</c:v>
                </c:pt>
                <c:pt idx="50">
                  <c:v>246.85427908940051</c:v>
                </c:pt>
                <c:pt idx="51">
                  <c:v>214.15358842114577</c:v>
                </c:pt>
                <c:pt idx="52">
                  <c:v>223.20921499711031</c:v>
                </c:pt>
                <c:pt idx="53">
                  <c:v>232.25641816933307</c:v>
                </c:pt>
                <c:pt idx="54">
                  <c:v>241.29557265534095</c:v>
                </c:pt>
                <c:pt idx="55">
                  <c:v>250.32702277578449</c:v>
                </c:pt>
                <c:pt idx="56">
                  <c:v>259.35108595201473</c:v>
                </c:pt>
                <c:pt idx="57">
                  <c:v>268.3680556909045</c:v>
                </c:pt>
                <c:pt idx="58">
                  <c:v>277.37820414715026</c:v>
                </c:pt>
                <c:pt idx="59">
                  <c:v>286.38178433493778</c:v>
                </c:pt>
                <c:pt idx="60">
                  <c:v>295.37903204669743</c:v>
                </c:pt>
                <c:pt idx="61">
                  <c:v>257.73191283791931</c:v>
                </c:pt>
                <c:pt idx="62">
                  <c:v>266.28783154661136</c:v>
                </c:pt>
                <c:pt idx="63">
                  <c:v>274.83755586772605</c:v>
                </c:pt>
                <c:pt idx="64">
                  <c:v>283.38130585648281</c:v>
                </c:pt>
                <c:pt idx="65">
                  <c:v>291.91928720317543</c:v>
                </c:pt>
                <c:pt idx="66">
                  <c:v>300.45169257284408</c:v>
                </c:pt>
                <c:pt idx="67">
                  <c:v>308.97870278469276</c:v>
                </c:pt>
                <c:pt idx="68">
                  <c:v>317.50048785441055</c:v>
                </c:pt>
                <c:pt idx="69">
                  <c:v>326.01720791865984</c:v>
                </c:pt>
                <c:pt idx="70">
                  <c:v>334.52901405785121</c:v>
                </c:pt>
                <c:pt idx="71">
                  <c:v>296.30147749206867</c:v>
                </c:pt>
                <c:pt idx="72">
                  <c:v>304.13970022013865</c:v>
                </c:pt>
                <c:pt idx="73">
                  <c:v>311.97343047900415</c:v>
                </c:pt>
                <c:pt idx="74">
                  <c:v>319.80279709344182</c:v>
                </c:pt>
                <c:pt idx="75">
                  <c:v>327.62792205981231</c:v>
                </c:pt>
                <c:pt idx="76">
                  <c:v>335.4489210660484</c:v>
                </c:pt>
                <c:pt idx="77">
                  <c:v>343.26590396058282</c:v>
                </c:pt>
                <c:pt idx="78">
                  <c:v>351.07897517630312</c:v>
                </c:pt>
                <c:pt idx="79">
                  <c:v>358.88823411477216</c:v>
                </c:pt>
                <c:pt idx="80">
                  <c:v>366.6937754952408</c:v>
                </c:pt>
                <c:pt idx="81">
                  <c:v>330.15869135047194</c:v>
                </c:pt>
                <c:pt idx="82">
                  <c:v>337.28856851572158</c:v>
                </c:pt>
                <c:pt idx="83">
                  <c:v>344.4151279098221</c:v>
                </c:pt>
                <c:pt idx="84">
                  <c:v>351.53844793236186</c:v>
                </c:pt>
                <c:pt idx="85">
                  <c:v>358.65860354345728</c:v>
                </c:pt>
                <c:pt idx="86">
                  <c:v>365.77566648144415</c:v>
                </c:pt>
                <c:pt idx="87">
                  <c:v>372.88970546273254</c:v>
                </c:pt>
                <c:pt idx="88">
                  <c:v>380.00078636560312</c:v>
                </c:pt>
                <c:pt idx="89">
                  <c:v>387.1089723995205</c:v>
                </c:pt>
                <c:pt idx="90">
                  <c:v>394.21432426135431</c:v>
                </c:pt>
                <c:pt idx="91">
                  <c:v>359.57710654471788</c:v>
                </c:pt>
                <c:pt idx="92">
                  <c:v>366.23472727218905</c:v>
                </c:pt>
                <c:pt idx="93">
                  <c:v>372.88970546273254</c:v>
                </c:pt>
                <c:pt idx="94">
                  <c:v>379.542094974186</c:v>
                </c:pt>
                <c:pt idx="95">
                  <c:v>386.19194762067508</c:v>
                </c:pt>
                <c:pt idx="96">
                  <c:v>392.83931328480304</c:v>
                </c:pt>
                <c:pt idx="97">
                  <c:v>399.48424002184493</c:v>
                </c:pt>
                <c:pt idx="98">
                  <c:v>406.12677415664308</c:v>
                </c:pt>
                <c:pt idx="99">
                  <c:v>412.76696037383107</c:v>
                </c:pt>
                <c:pt idx="100">
                  <c:v>419.40484180194295</c:v>
                </c:pt>
                <c:pt idx="101">
                  <c:v>384.81632170233365</c:v>
                </c:pt>
                <c:pt idx="102">
                  <c:v>391.4641979129978</c:v>
                </c:pt>
                <c:pt idx="103">
                  <c:v>398.10962539917432</c:v>
                </c:pt>
                <c:pt idx="104">
                  <c:v>404.75265083611242</c:v>
                </c:pt>
                <c:pt idx="105">
                  <c:v>411.39331924070416</c:v>
                </c:pt>
                <c:pt idx="106">
                  <c:v>418.03167405681648</c:v>
                </c:pt>
                <c:pt idx="107">
                  <c:v>424.66775723491764</c:v>
                </c:pt>
                <c:pt idx="108">
                  <c:v>431.30160930646502</c:v>
                </c:pt>
                <c:pt idx="109">
                  <c:v>437.93326945347417</c:v>
                </c:pt>
                <c:pt idx="110">
                  <c:v>444.56277557365325</c:v>
                </c:pt>
                <c:pt idx="111">
                  <c:v>407.95878231757456</c:v>
                </c:pt>
                <c:pt idx="112">
                  <c:v>414.82723721388493</c:v>
                </c:pt>
                <c:pt idx="113">
                  <c:v>421.69323961894685</c:v>
                </c:pt>
                <c:pt idx="114">
                  <c:v>428.5568351254658</c:v>
                </c:pt>
                <c:pt idx="115">
                  <c:v>435.41806774560126</c:v>
                </c:pt>
                <c:pt idx="116">
                  <c:v>442.27697999035132</c:v>
                </c:pt>
                <c:pt idx="117">
                  <c:v>449.13361294375426</c:v>
                </c:pt>
                <c:pt idx="118">
                  <c:v>455.98800633231963</c:v>
                </c:pt>
                <c:pt idx="119">
                  <c:v>462.84019859006776</c:v>
                </c:pt>
                <c:pt idx="120">
                  <c:v>469.69022691951341</c:v>
                </c:pt>
                <c:pt idx="121">
                  <c:v>423.98137001578181</c:v>
                </c:pt>
                <c:pt idx="122">
                  <c:v>423.98137001578181</c:v>
                </c:pt>
                <c:pt idx="123">
                  <c:v>423.98137001578181</c:v>
                </c:pt>
                <c:pt idx="124">
                  <c:v>423.98137001578181</c:v>
                </c:pt>
                <c:pt idx="125">
                  <c:v>423.98137001578181</c:v>
                </c:pt>
                <c:pt idx="126">
                  <c:v>423.98137001578181</c:v>
                </c:pt>
                <c:pt idx="127">
                  <c:v>423.98137001578181</c:v>
                </c:pt>
                <c:pt idx="128">
                  <c:v>423.98137001578181</c:v>
                </c:pt>
                <c:pt idx="129">
                  <c:v>423.98137001578181</c:v>
                </c:pt>
                <c:pt idx="130">
                  <c:v>423.98137001578181</c:v>
                </c:pt>
                <c:pt idx="131">
                  <c:v>423.98137001578181</c:v>
                </c:pt>
                <c:pt idx="132">
                  <c:v>423.98137001578181</c:v>
                </c:pt>
                <c:pt idx="133">
                  <c:v>423.98137001578181</c:v>
                </c:pt>
                <c:pt idx="134">
                  <c:v>423.98137001578181</c:v>
                </c:pt>
                <c:pt idx="135">
                  <c:v>423.98137001578181</c:v>
                </c:pt>
                <c:pt idx="136">
                  <c:v>423.98137001578181</c:v>
                </c:pt>
                <c:pt idx="137">
                  <c:v>423.98137001578181</c:v>
                </c:pt>
                <c:pt idx="138">
                  <c:v>423.98137001578181</c:v>
                </c:pt>
                <c:pt idx="139">
                  <c:v>423.98137001578181</c:v>
                </c:pt>
                <c:pt idx="140">
                  <c:v>423.98137001578181</c:v>
                </c:pt>
                <c:pt idx="141">
                  <c:v>423.98137001578181</c:v>
                </c:pt>
                <c:pt idx="142">
                  <c:v>423.98137001578181</c:v>
                </c:pt>
                <c:pt idx="143">
                  <c:v>423.98137001578181</c:v>
                </c:pt>
                <c:pt idx="144">
                  <c:v>423.98137001578181</c:v>
                </c:pt>
                <c:pt idx="145">
                  <c:v>423.98137001578181</c:v>
                </c:pt>
                <c:pt idx="146">
                  <c:v>423.98137001578181</c:v>
                </c:pt>
                <c:pt idx="147">
                  <c:v>423.98137001578181</c:v>
                </c:pt>
                <c:pt idx="148">
                  <c:v>423.98137001578181</c:v>
                </c:pt>
                <c:pt idx="149">
                  <c:v>423.98137001578181</c:v>
                </c:pt>
                <c:pt idx="150">
                  <c:v>423.98137001578181</c:v>
                </c:pt>
                <c:pt idx="151">
                  <c:v>423.98137001578181</c:v>
                </c:pt>
                <c:pt idx="152">
                  <c:v>423.98137001578181</c:v>
                </c:pt>
                <c:pt idx="153">
                  <c:v>423.98137001578181</c:v>
                </c:pt>
                <c:pt idx="154">
                  <c:v>423.98137001578181</c:v>
                </c:pt>
                <c:pt idx="155">
                  <c:v>423.98137001578181</c:v>
                </c:pt>
                <c:pt idx="156">
                  <c:v>423.98137001578181</c:v>
                </c:pt>
                <c:pt idx="157">
                  <c:v>423.98137001578181</c:v>
                </c:pt>
                <c:pt idx="158">
                  <c:v>423.98137001578181</c:v>
                </c:pt>
                <c:pt idx="159">
                  <c:v>423.98137001578181</c:v>
                </c:pt>
                <c:pt idx="160">
                  <c:v>423.98137001578181</c:v>
                </c:pt>
                <c:pt idx="161">
                  <c:v>423.98137001578181</c:v>
                </c:pt>
                <c:pt idx="162">
                  <c:v>423.98137001578181</c:v>
                </c:pt>
                <c:pt idx="163">
                  <c:v>423.98137001578181</c:v>
                </c:pt>
                <c:pt idx="164">
                  <c:v>423.98137001578181</c:v>
                </c:pt>
                <c:pt idx="165">
                  <c:v>423.98137001578181</c:v>
                </c:pt>
                <c:pt idx="166">
                  <c:v>423.98137001578181</c:v>
                </c:pt>
                <c:pt idx="167">
                  <c:v>423.98137001578181</c:v>
                </c:pt>
                <c:pt idx="168">
                  <c:v>423.98137001578181</c:v>
                </c:pt>
                <c:pt idx="169">
                  <c:v>423.98137001578181</c:v>
                </c:pt>
                <c:pt idx="170">
                  <c:v>423.98137001578181</c:v>
                </c:pt>
                <c:pt idx="171">
                  <c:v>423.98137001578181</c:v>
                </c:pt>
                <c:pt idx="172">
                  <c:v>423.98137001578181</c:v>
                </c:pt>
                <c:pt idx="173">
                  <c:v>423.98137001578181</c:v>
                </c:pt>
                <c:pt idx="174">
                  <c:v>423.98137001578181</c:v>
                </c:pt>
                <c:pt idx="175">
                  <c:v>423.98137001578181</c:v>
                </c:pt>
                <c:pt idx="176">
                  <c:v>423.98137001578181</c:v>
                </c:pt>
                <c:pt idx="177">
                  <c:v>423.98137001578181</c:v>
                </c:pt>
                <c:pt idx="178">
                  <c:v>423.98137001578181</c:v>
                </c:pt>
                <c:pt idx="179">
                  <c:v>423.98137001578181</c:v>
                </c:pt>
                <c:pt idx="180">
                  <c:v>423.98137001578181</c:v>
                </c:pt>
                <c:pt idx="181">
                  <c:v>423.98137001578181</c:v>
                </c:pt>
                <c:pt idx="182">
                  <c:v>423.98137001578181</c:v>
                </c:pt>
                <c:pt idx="183">
                  <c:v>423.98137001578181</c:v>
                </c:pt>
                <c:pt idx="184">
                  <c:v>423.98137001578181</c:v>
                </c:pt>
                <c:pt idx="185">
                  <c:v>423.98137001578181</c:v>
                </c:pt>
                <c:pt idx="186">
                  <c:v>423.98137001578181</c:v>
                </c:pt>
                <c:pt idx="187">
                  <c:v>423.98137001578181</c:v>
                </c:pt>
                <c:pt idx="188">
                  <c:v>423.98137001578181</c:v>
                </c:pt>
                <c:pt idx="189">
                  <c:v>423.98137001578181</c:v>
                </c:pt>
                <c:pt idx="190">
                  <c:v>423.98137001578181</c:v>
                </c:pt>
                <c:pt idx="191">
                  <c:v>423.98137001578181</c:v>
                </c:pt>
                <c:pt idx="192">
                  <c:v>423.98137001578181</c:v>
                </c:pt>
                <c:pt idx="193">
                  <c:v>423.98137001578181</c:v>
                </c:pt>
                <c:pt idx="194">
                  <c:v>423.98137001578181</c:v>
                </c:pt>
                <c:pt idx="195">
                  <c:v>423.98137001578181</c:v>
                </c:pt>
                <c:pt idx="196">
                  <c:v>423.98137001578181</c:v>
                </c:pt>
                <c:pt idx="197">
                  <c:v>423.98137001578181</c:v>
                </c:pt>
                <c:pt idx="198">
                  <c:v>423.98137001578181</c:v>
                </c:pt>
                <c:pt idx="199">
                  <c:v>423.98137001578181</c:v>
                </c:pt>
                <c:pt idx="200">
                  <c:v>423.98137001578181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4140625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0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1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E22" sqref="E2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9" t="s">
        <v>2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4</v>
      </c>
      <c r="C3" s="265"/>
      <c r="D3" s="265"/>
      <c r="E3" s="265"/>
      <c r="F3" s="266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9" t="s">
        <v>7</v>
      </c>
      <c r="B5" s="269"/>
      <c r="C5" s="24">
        <v>21.447800000000001</v>
      </c>
      <c r="D5" s="270" t="s">
        <v>8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9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15</v>
      </c>
      <c r="B9" s="31" t="s">
        <v>27</v>
      </c>
      <c r="C9" s="32">
        <v>0.34668104075454825</v>
      </c>
      <c r="D9" s="33">
        <f t="shared" ref="D9:D18" si="0">C9*$C$5</f>
        <v>7.4355456258954007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18</v>
      </c>
      <c r="B10" s="31" t="s">
        <v>23</v>
      </c>
      <c r="C10" s="32">
        <v>0.27828771853464368</v>
      </c>
      <c r="D10" s="33">
        <f t="shared" si="0"/>
        <v>5.9686593295873314</v>
      </c>
      <c r="E10" s="34">
        <v>130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20</v>
      </c>
      <c r="B11" s="31" t="s">
        <v>16</v>
      </c>
      <c r="C11" s="32">
        <v>0.1202657274824202</v>
      </c>
      <c r="D11" s="33">
        <f t="shared" si="0"/>
        <v>2.5794352698974521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22</v>
      </c>
      <c r="B12" s="31" t="s">
        <v>19</v>
      </c>
      <c r="C12" s="32">
        <v>8.6421310391242956E-2</v>
      </c>
      <c r="D12" s="33">
        <f t="shared" si="0"/>
        <v>1.8535469810093008</v>
      </c>
      <c r="E12" s="34">
        <v>90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24</v>
      </c>
      <c r="B13" s="31" t="s">
        <v>270</v>
      </c>
      <c r="C13" s="32">
        <v>7.067980655176144E-2</v>
      </c>
      <c r="D13" s="33">
        <f t="shared" si="0"/>
        <v>1.515926354960869</v>
      </c>
      <c r="E13" s="34">
        <v>120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26</v>
      </c>
      <c r="B14" s="31" t="s">
        <v>130</v>
      </c>
      <c r="C14" s="32">
        <v>2.1335022608452412E-2</v>
      </c>
      <c r="D14" s="33">
        <f t="shared" si="0"/>
        <v>0.45758929790156566</v>
      </c>
      <c r="E14" s="34">
        <v>105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28</v>
      </c>
      <c r="B15" s="31" t="s">
        <v>33</v>
      </c>
      <c r="C15" s="32">
        <v>2.126855017513854E-2</v>
      </c>
      <c r="D15" s="33">
        <f t="shared" si="0"/>
        <v>0.45616361044633641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30</v>
      </c>
      <c r="B16" s="31" t="s">
        <v>227</v>
      </c>
      <c r="C16" s="32">
        <v>1.3165932249001802E-2</v>
      </c>
      <c r="D16" s="33">
        <f t="shared" si="0"/>
        <v>0.28238028169014084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32</v>
      </c>
      <c r="B17" s="31" t="s">
        <v>29</v>
      </c>
      <c r="C17" s="32">
        <v>6.3769605015318092E-3</v>
      </c>
      <c r="D17" s="33">
        <f t="shared" si="0"/>
        <v>0.13677177344475394</v>
      </c>
      <c r="E17" s="34">
        <v>120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34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36</v>
      </c>
      <c r="C19" s="37">
        <f>SUM(C9:C18)</f>
        <v>0.96448206924874103</v>
      </c>
      <c r="D19" s="38">
        <f>SUM(D9:D18)</f>
        <v>20.686018524833152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37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38</v>
      </c>
      <c r="B24" s="42" t="s">
        <v>39</v>
      </c>
      <c r="C24" s="43">
        <v>0</v>
      </c>
      <c r="D24" s="44" t="s">
        <v>40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41</v>
      </c>
      <c r="B25" s="42" t="s">
        <v>42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43</v>
      </c>
      <c r="B26" s="42" t="s">
        <v>44</v>
      </c>
      <c r="C26" s="43">
        <v>0</v>
      </c>
      <c r="D26" s="44" t="s">
        <v>45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46</v>
      </c>
      <c r="B27" s="42" t="s">
        <v>47</v>
      </c>
      <c r="C27" s="43">
        <v>0</v>
      </c>
      <c r="D27" s="44" t="s">
        <v>48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49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15</v>
      </c>
      <c r="B32" s="47" t="str">
        <f>IF(B9="","",B9)</f>
        <v>Chêne pubescent</v>
      </c>
      <c r="D32" s="229" t="s">
        <v>50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51</v>
      </c>
      <c r="C34" s="260" t="s">
        <v>52</v>
      </c>
      <c r="D34" s="260"/>
      <c r="E34" s="261" t="s">
        <v>53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54</v>
      </c>
      <c r="B35" s="36" t="s">
        <v>55</v>
      </c>
      <c r="C35" s="48" t="s">
        <v>56</v>
      </c>
      <c r="D35" s="48" t="s">
        <v>57</v>
      </c>
      <c r="E35" s="36" t="s">
        <v>58</v>
      </c>
      <c r="F35" s="36" t="s">
        <v>59</v>
      </c>
      <c r="G35" s="36" t="s">
        <v>60</v>
      </c>
      <c r="H35" s="36" t="s">
        <v>61</v>
      </c>
      <c r="I35" s="48" t="s">
        <v>62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60">
        <v>20</v>
      </c>
      <c r="B36" s="60">
        <f>46+11</f>
        <v>57</v>
      </c>
      <c r="C36" s="60">
        <v>1</v>
      </c>
      <c r="D36" s="60">
        <v>11</v>
      </c>
      <c r="E36" s="51"/>
      <c r="F36" s="51"/>
      <c r="G36" s="51"/>
      <c r="H36" s="257">
        <v>1</v>
      </c>
      <c r="I36" s="49">
        <f>IFERROR(B36/A36,"")</f>
        <v>2.85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60">
        <v>30</v>
      </c>
      <c r="B37" s="60">
        <f>82+32</f>
        <v>114</v>
      </c>
      <c r="C37" s="60">
        <v>2</v>
      </c>
      <c r="D37" s="60">
        <v>32</v>
      </c>
      <c r="E37" s="51"/>
      <c r="F37" s="51"/>
      <c r="G37" s="51"/>
      <c r="H37" s="51"/>
      <c r="I37" s="53">
        <f t="shared" ref="I37:I55" si="1">IF(A37&lt;&gt;0,(B37-(B36-D36))/(A37-A36),"")</f>
        <v>6.8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60">
        <v>40</v>
      </c>
      <c r="B38" s="60">
        <f>117+39</f>
        <v>156</v>
      </c>
      <c r="C38" s="60">
        <v>3</v>
      </c>
      <c r="D38" s="60">
        <v>39</v>
      </c>
      <c r="E38" s="51"/>
      <c r="F38" s="51"/>
      <c r="G38" s="51"/>
      <c r="H38" s="257"/>
      <c r="I38" s="53">
        <f t="shared" si="1"/>
        <v>7.4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60">
        <v>50</v>
      </c>
      <c r="B39" s="60">
        <f>149+43</f>
        <v>192</v>
      </c>
      <c r="C39" s="60">
        <v>4</v>
      </c>
      <c r="D39" s="60">
        <v>43</v>
      </c>
      <c r="E39" s="51"/>
      <c r="F39" s="51"/>
      <c r="G39" s="51"/>
      <c r="H39" s="257"/>
      <c r="I39" s="49">
        <f t="shared" si="1"/>
        <v>7.5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60">
        <v>60</v>
      </c>
      <c r="B40" s="60">
        <f>177+44</f>
        <v>221</v>
      </c>
      <c r="C40" s="60">
        <v>5</v>
      </c>
      <c r="D40" s="60">
        <v>44</v>
      </c>
      <c r="E40" s="51"/>
      <c r="F40" s="51"/>
      <c r="G40" s="51"/>
      <c r="H40" s="257"/>
      <c r="I40" s="49">
        <f t="shared" si="1"/>
        <v>7.2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60">
        <v>70</v>
      </c>
      <c r="B41" s="60">
        <f>201+44</f>
        <v>245</v>
      </c>
      <c r="C41" s="60">
        <v>6</v>
      </c>
      <c r="D41" s="60">
        <v>44</v>
      </c>
      <c r="E41" s="51"/>
      <c r="F41" s="51"/>
      <c r="G41" s="51"/>
      <c r="H41" s="257"/>
      <c r="I41" s="53">
        <f t="shared" si="1"/>
        <v>6.8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60">
        <v>80</v>
      </c>
      <c r="B42" s="60">
        <f>222+43</f>
        <v>265</v>
      </c>
      <c r="C42" s="60">
        <v>7</v>
      </c>
      <c r="D42" s="60">
        <v>43</v>
      </c>
      <c r="E42" s="51"/>
      <c r="F42" s="51"/>
      <c r="G42" s="51"/>
      <c r="H42" s="257"/>
      <c r="I42" s="53">
        <f t="shared" si="1"/>
        <v>6.4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60">
        <v>90</v>
      </c>
      <c r="B43" s="60">
        <f>239+40</f>
        <v>279</v>
      </c>
      <c r="C43" s="60">
        <v>8</v>
      </c>
      <c r="D43" s="60">
        <v>40</v>
      </c>
      <c r="E43" s="51"/>
      <c r="F43" s="51"/>
      <c r="G43" s="51"/>
      <c r="H43" s="257"/>
      <c r="I43" s="49">
        <f t="shared" si="1"/>
        <v>5.7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60">
        <v>100</v>
      </c>
      <c r="B44" s="60">
        <f>253+37</f>
        <v>290</v>
      </c>
      <c r="C44" s="60">
        <v>9</v>
      </c>
      <c r="D44" s="60">
        <v>37</v>
      </c>
      <c r="E44" s="51"/>
      <c r="F44" s="51"/>
      <c r="G44" s="51"/>
      <c r="H44" s="257"/>
      <c r="I44" s="49">
        <f t="shared" si="1"/>
        <v>5.0999999999999996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60">
        <v>110</v>
      </c>
      <c r="B45" s="60">
        <f>265+34</f>
        <v>299</v>
      </c>
      <c r="C45" s="60">
        <v>10</v>
      </c>
      <c r="D45" s="60">
        <v>34</v>
      </c>
      <c r="E45" s="51"/>
      <c r="F45" s="51"/>
      <c r="G45" s="51"/>
      <c r="H45" s="257"/>
      <c r="I45" s="49">
        <f t="shared" si="1"/>
        <v>4.5999999999999996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60">
        <v>120</v>
      </c>
      <c r="B46" s="60">
        <f>275+31</f>
        <v>306</v>
      </c>
      <c r="C46" s="60">
        <v>11</v>
      </c>
      <c r="D46" s="60">
        <v>31</v>
      </c>
      <c r="E46" s="51"/>
      <c r="F46" s="51"/>
      <c r="G46" s="51"/>
      <c r="H46" s="257"/>
      <c r="I46" s="49">
        <f t="shared" si="1"/>
        <v>4.0999999999999996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18</v>
      </c>
      <c r="B58" s="52" t="str">
        <f>IF(B10="","",B10)</f>
        <v>Chêne chevelu</v>
      </c>
      <c r="D58" s="229" t="s">
        <v>50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51</v>
      </c>
      <c r="C60" s="260" t="s">
        <v>52</v>
      </c>
      <c r="D60" s="260"/>
      <c r="E60" s="261" t="s">
        <v>53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54</v>
      </c>
      <c r="B61" s="36" t="s">
        <v>55</v>
      </c>
      <c r="C61" s="48" t="s">
        <v>56</v>
      </c>
      <c r="D61" s="48" t="s">
        <v>57</v>
      </c>
      <c r="E61" s="36" t="s">
        <v>58</v>
      </c>
      <c r="F61" s="36" t="s">
        <v>59</v>
      </c>
      <c r="G61" s="36" t="s">
        <v>60</v>
      </c>
      <c r="H61" s="36" t="s">
        <v>61</v>
      </c>
      <c r="I61" s="48" t="s">
        <v>62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5">
        <v>15</v>
      </c>
      <c r="B62" s="55">
        <f>47/1.56</f>
        <v>30.128205128205128</v>
      </c>
      <c r="C62" s="55">
        <v>1</v>
      </c>
      <c r="D62" s="55">
        <f>6/1.56</f>
        <v>3.8461538461538458</v>
      </c>
      <c r="E62" s="51"/>
      <c r="F62" s="51"/>
      <c r="G62" s="51"/>
      <c r="H62" s="51">
        <v>1</v>
      </c>
      <c r="I62" s="53">
        <f>IFERROR(B62/A62,"")</f>
        <v>2.0085470085470085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5">
        <v>20</v>
      </c>
      <c r="B63" s="55">
        <f>86/1.56</f>
        <v>55.128205128205124</v>
      </c>
      <c r="C63" s="55">
        <v>2</v>
      </c>
      <c r="D63" s="55">
        <f>10/1.56</f>
        <v>6.4102564102564097</v>
      </c>
      <c r="E63" s="51"/>
      <c r="F63" s="51"/>
      <c r="G63" s="51">
        <v>0.5</v>
      </c>
      <c r="H63" s="51">
        <v>0.5</v>
      </c>
      <c r="I63" s="49">
        <f>IF(A63&lt;&gt;0,(B63-(B62-D62))/(A63-A62),"")</f>
        <v>5.7692307692307683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5">
        <v>30</v>
      </c>
      <c r="B64" s="55">
        <f>(167+13)/1.56</f>
        <v>115.38461538461539</v>
      </c>
      <c r="C64" s="55">
        <v>3</v>
      </c>
      <c r="D64" s="55">
        <f>28/1.56</f>
        <v>17.948717948717949</v>
      </c>
      <c r="E64" s="51"/>
      <c r="F64" s="51"/>
      <c r="G64" s="51"/>
      <c r="H64" s="51"/>
      <c r="I64" s="49">
        <f>IF(A64&lt;&gt;0,(B64-(B63-D63))/(A64-A63),"")</f>
        <v>6.666666666666667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5">
        <v>40</v>
      </c>
      <c r="B65" s="55">
        <f>(239+17)/1.56</f>
        <v>164.10256410256409</v>
      </c>
      <c r="C65" s="55">
        <v>4</v>
      </c>
      <c r="D65" s="55">
        <f>35/1.56</f>
        <v>22.435897435897434</v>
      </c>
      <c r="E65" s="51"/>
      <c r="F65" s="51"/>
      <c r="G65" s="51"/>
      <c r="H65" s="51"/>
      <c r="I65" s="49">
        <f>IF(A65&lt;&gt;0,(B65-(B64-D64))/(A65-A64),"")</f>
        <v>6.6666666666666661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5">
        <v>50</v>
      </c>
      <c r="B66" s="55">
        <f>(298+19)/1.56</f>
        <v>203.2051282051282</v>
      </c>
      <c r="C66" s="55">
        <v>5</v>
      </c>
      <c r="D66" s="55">
        <f>38/1.56</f>
        <v>24.358974358974358</v>
      </c>
      <c r="E66" s="51"/>
      <c r="F66" s="51"/>
      <c r="G66" s="51"/>
      <c r="H66" s="51"/>
      <c r="I66" s="49">
        <f t="shared" ref="I66:I81" si="2">IF(A66&lt;&gt;0,(B66-(B65-D65))/(A66-A65),"")</f>
        <v>6.1538461538461551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5">
        <v>60</v>
      </c>
      <c r="B67" s="55">
        <f>(345+19)/1.56</f>
        <v>233.33333333333331</v>
      </c>
      <c r="C67" s="55">
        <v>6</v>
      </c>
      <c r="D67" s="55">
        <f>38/1.56</f>
        <v>24.358974358974358</v>
      </c>
      <c r="E67" s="51"/>
      <c r="F67" s="51"/>
      <c r="G67" s="51"/>
      <c r="H67" s="51"/>
      <c r="I67" s="49">
        <f t="shared" si="2"/>
        <v>5.4487179487179471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5">
        <v>70</v>
      </c>
      <c r="B68" s="55">
        <f>(385+18)/1.56</f>
        <v>258.33333333333331</v>
      </c>
      <c r="C68" s="55">
        <v>7</v>
      </c>
      <c r="D68" s="55">
        <f>36/1.56</f>
        <v>23.076923076923077</v>
      </c>
      <c r="E68" s="51"/>
      <c r="F68" s="51"/>
      <c r="G68" s="51"/>
      <c r="H68" s="51"/>
      <c r="I68" s="49">
        <f t="shared" si="2"/>
        <v>4.9358974358974361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80</v>
      </c>
      <c r="B69" s="50">
        <f>(418+18)/1.56</f>
        <v>279.4871794871795</v>
      </c>
      <c r="C69" s="50">
        <v>8</v>
      </c>
      <c r="D69" s="50">
        <f>35/1.56</f>
        <v>22.435897435897434</v>
      </c>
      <c r="E69" s="51"/>
      <c r="F69" s="51"/>
      <c r="G69" s="51"/>
      <c r="H69" s="51"/>
      <c r="I69" s="49">
        <f t="shared" si="2"/>
        <v>4.4230769230769251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90</v>
      </c>
      <c r="B70" s="50">
        <f>(445+17)/1.56</f>
        <v>296.15384615384613</v>
      </c>
      <c r="C70" s="50">
        <v>9</v>
      </c>
      <c r="D70" s="50">
        <f>33/1.56</f>
        <v>21.153846153846153</v>
      </c>
      <c r="E70" s="51"/>
      <c r="F70" s="51"/>
      <c r="G70" s="51"/>
      <c r="H70" s="51"/>
      <c r="I70" s="49">
        <f t="shared" si="2"/>
        <v>3.9102564102564088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100</v>
      </c>
      <c r="B71" s="50">
        <f>(467+16)/1.56</f>
        <v>309.61538461538458</v>
      </c>
      <c r="C71" s="50">
        <v>10</v>
      </c>
      <c r="D71" s="50">
        <f>32/1.56</f>
        <v>20.512820512820511</v>
      </c>
      <c r="E71" s="51"/>
      <c r="F71" s="51"/>
      <c r="G71" s="51"/>
      <c r="H71" s="51"/>
      <c r="I71" s="49">
        <f t="shared" si="2"/>
        <v>3.4615384615384586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110</v>
      </c>
      <c r="B72" s="50">
        <f>(486+15)/1.56</f>
        <v>321.15384615384613</v>
      </c>
      <c r="C72" s="50">
        <v>11</v>
      </c>
      <c r="D72" s="50">
        <f>30/1.56</f>
        <v>19.23076923076923</v>
      </c>
      <c r="E72" s="51"/>
      <c r="F72" s="51"/>
      <c r="G72" s="51"/>
      <c r="H72" s="51"/>
      <c r="I72" s="49">
        <f t="shared" si="2"/>
        <v>3.2051282051282044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120</v>
      </c>
      <c r="B73" s="50">
        <f>(502+14)/1.56</f>
        <v>330.76923076923077</v>
      </c>
      <c r="C73" s="50">
        <v>12</v>
      </c>
      <c r="D73" s="50">
        <f>28/1.56</f>
        <v>17.948717948717949</v>
      </c>
      <c r="E73" s="51"/>
      <c r="F73" s="51"/>
      <c r="G73" s="51"/>
      <c r="H73" s="51"/>
      <c r="I73" s="49">
        <f t="shared" si="2"/>
        <v>2.8846153846153868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130</v>
      </c>
      <c r="B74" s="50">
        <f>(516+13)/1.56</f>
        <v>339.10256410256409</v>
      </c>
      <c r="C74" s="50">
        <v>13</v>
      </c>
      <c r="D74" s="50">
        <f>B74</f>
        <v>339.10256410256409</v>
      </c>
      <c r="E74" s="51"/>
      <c r="F74" s="51"/>
      <c r="G74" s="51"/>
      <c r="H74" s="51"/>
      <c r="I74" s="49">
        <f t="shared" si="2"/>
        <v>2.6282051282051269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20</v>
      </c>
      <c r="B84" s="52" t="str">
        <f>IF(B11="","",B11)</f>
        <v>Alisier torminal</v>
      </c>
      <c r="D84" s="229" t="s">
        <v>50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51</v>
      </c>
      <c r="C86" s="260" t="s">
        <v>52</v>
      </c>
      <c r="D86" s="260"/>
      <c r="E86" s="261" t="s">
        <v>53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54</v>
      </c>
      <c r="B87" s="36" t="s">
        <v>55</v>
      </c>
      <c r="C87" s="48" t="s">
        <v>56</v>
      </c>
      <c r="D87" s="48" t="s">
        <v>57</v>
      </c>
      <c r="E87" s="36" t="s">
        <v>58</v>
      </c>
      <c r="F87" s="36" t="s">
        <v>59</v>
      </c>
      <c r="G87" s="36" t="s">
        <v>60</v>
      </c>
      <c r="H87" s="36" t="s">
        <v>61</v>
      </c>
      <c r="I87" s="48" t="s">
        <v>62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5">
        <v>20</v>
      </c>
      <c r="B88" s="55">
        <v>21</v>
      </c>
      <c r="C88" s="55"/>
      <c r="D88" s="55"/>
      <c r="E88" s="51"/>
      <c r="F88" s="51"/>
      <c r="G88" s="51"/>
      <c r="H88" s="51"/>
      <c r="I88" s="53">
        <f>IFERROR(B88/A88,"")</f>
        <v>1.05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5">
        <v>30</v>
      </c>
      <c r="B89" s="55">
        <f>45+9</f>
        <v>54</v>
      </c>
      <c r="C89" s="55">
        <v>1</v>
      </c>
      <c r="D89" s="55">
        <v>9</v>
      </c>
      <c r="E89" s="51"/>
      <c r="F89" s="51"/>
      <c r="G89" s="51"/>
      <c r="H89" s="51"/>
      <c r="I89" s="53">
        <f t="shared" ref="I89:I107" si="3">IF(A89&lt;&gt;0,(B89-(B88-D88))/(A89-A88),"")</f>
        <v>3.3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5">
        <v>40</v>
      </c>
      <c r="B90" s="55">
        <f>66+17</f>
        <v>83</v>
      </c>
      <c r="C90" s="55">
        <v>2</v>
      </c>
      <c r="D90" s="55">
        <v>17</v>
      </c>
      <c r="E90" s="51"/>
      <c r="F90" s="51"/>
      <c r="G90" s="51"/>
      <c r="H90" s="51"/>
      <c r="I90" s="53">
        <f t="shared" si="3"/>
        <v>3.8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5">
        <v>50</v>
      </c>
      <c r="B91" s="55">
        <f>86+18</f>
        <v>104</v>
      </c>
      <c r="C91" s="55">
        <v>3</v>
      </c>
      <c r="D91" s="55">
        <v>18</v>
      </c>
      <c r="E91" s="51"/>
      <c r="F91" s="51"/>
      <c r="G91" s="51"/>
      <c r="H91" s="51"/>
      <c r="I91" s="53">
        <f t="shared" si="3"/>
        <v>3.8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5">
        <v>60</v>
      </c>
      <c r="B92" s="55">
        <f>105+20</f>
        <v>125</v>
      </c>
      <c r="C92" s="55">
        <v>4</v>
      </c>
      <c r="D92" s="55">
        <v>20</v>
      </c>
      <c r="E92" s="51"/>
      <c r="F92" s="51"/>
      <c r="G92" s="51"/>
      <c r="H92" s="51"/>
      <c r="I92" s="53">
        <f t="shared" si="3"/>
        <v>3.9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5">
        <v>70</v>
      </c>
      <c r="B93" s="55">
        <f>122+20</f>
        <v>142</v>
      </c>
      <c r="C93" s="55">
        <v>5</v>
      </c>
      <c r="D93" s="55">
        <v>20</v>
      </c>
      <c r="E93" s="51"/>
      <c r="F93" s="51"/>
      <c r="G93" s="51"/>
      <c r="H93" s="51"/>
      <c r="I93" s="53">
        <f t="shared" si="3"/>
        <v>3.7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5">
        <v>80</v>
      </c>
      <c r="B94" s="55">
        <f>137+19</f>
        <v>156</v>
      </c>
      <c r="C94" s="55">
        <v>6</v>
      </c>
      <c r="D94" s="55">
        <v>19</v>
      </c>
      <c r="E94" s="51"/>
      <c r="F94" s="51"/>
      <c r="G94" s="51"/>
      <c r="H94" s="51"/>
      <c r="I94" s="53">
        <f t="shared" si="3"/>
        <v>3.4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90</v>
      </c>
      <c r="B95" s="60">
        <f>150+18</f>
        <v>168</v>
      </c>
      <c r="C95" s="60">
        <v>7</v>
      </c>
      <c r="D95" s="60">
        <v>18</v>
      </c>
      <c r="E95" s="87"/>
      <c r="F95" s="87"/>
      <c r="G95" s="87"/>
      <c r="H95" s="87"/>
      <c r="I95" s="53">
        <f t="shared" si="3"/>
        <v>3.1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100</v>
      </c>
      <c r="B96" s="60">
        <f>161+18</f>
        <v>179</v>
      </c>
      <c r="C96" s="60">
        <v>8</v>
      </c>
      <c r="D96" s="60">
        <v>18</v>
      </c>
      <c r="E96" s="87"/>
      <c r="F96" s="87"/>
      <c r="G96" s="87"/>
      <c r="H96" s="87"/>
      <c r="I96" s="53">
        <f t="shared" si="3"/>
        <v>2.9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110</v>
      </c>
      <c r="B97" s="60">
        <f>171+19</f>
        <v>190</v>
      </c>
      <c r="C97" s="60">
        <v>9</v>
      </c>
      <c r="D97" s="60">
        <v>19</v>
      </c>
      <c r="E97" s="87"/>
      <c r="F97" s="87"/>
      <c r="G97" s="87"/>
      <c r="H97" s="87"/>
      <c r="I97" s="53">
        <f t="shared" si="3"/>
        <v>2.9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120</v>
      </c>
      <c r="B98" s="60">
        <f>181+20</f>
        <v>201</v>
      </c>
      <c r="C98" s="60">
        <v>10</v>
      </c>
      <c r="D98" s="60">
        <v>20</v>
      </c>
      <c r="E98" s="87"/>
      <c r="F98" s="87"/>
      <c r="G98" s="87"/>
      <c r="H98" s="87"/>
      <c r="I98" s="53">
        <f t="shared" si="3"/>
        <v>3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22</v>
      </c>
      <c r="B110" s="52" t="str">
        <f>IF(B12="","",B12)</f>
        <v>Bouleau verruqueux</v>
      </c>
      <c r="D110" s="229" t="s">
        <v>50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51</v>
      </c>
      <c r="C112" s="260" t="s">
        <v>52</v>
      </c>
      <c r="D112" s="260"/>
      <c r="E112" s="261" t="s">
        <v>53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54</v>
      </c>
      <c r="B113" s="36" t="s">
        <v>55</v>
      </c>
      <c r="C113" s="48" t="s">
        <v>56</v>
      </c>
      <c r="D113" s="48" t="s">
        <v>57</v>
      </c>
      <c r="E113" s="36" t="s">
        <v>58</v>
      </c>
      <c r="F113" s="36" t="s">
        <v>59</v>
      </c>
      <c r="G113" s="36" t="s">
        <v>60</v>
      </c>
      <c r="H113" s="36" t="s">
        <v>61</v>
      </c>
      <c r="I113" s="48" t="s">
        <v>62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5">
        <v>20</v>
      </c>
      <c r="B114" s="55">
        <f>54+15</f>
        <v>69</v>
      </c>
      <c r="C114" s="55">
        <v>1</v>
      </c>
      <c r="D114" s="55">
        <v>15</v>
      </c>
      <c r="E114" s="51"/>
      <c r="F114" s="51"/>
      <c r="G114" s="51">
        <v>0.5</v>
      </c>
      <c r="H114" s="51">
        <v>0.5</v>
      </c>
      <c r="I114" s="53">
        <f>IFERROR(B114/A114,"")</f>
        <v>3.45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5">
        <v>30</v>
      </c>
      <c r="B115" s="55">
        <f>92+21</f>
        <v>113</v>
      </c>
      <c r="C115" s="55">
        <v>2</v>
      </c>
      <c r="D115" s="55">
        <v>21</v>
      </c>
      <c r="E115" s="51"/>
      <c r="F115" s="51"/>
      <c r="G115" s="51"/>
      <c r="H115" s="51"/>
      <c r="I115" s="53">
        <f t="shared" ref="I115:I133" si="4">IF(A115&lt;&gt;0,(B115-(B114-D114))/(A115-A114),"")</f>
        <v>5.9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5">
        <v>40</v>
      </c>
      <c r="B116" s="55">
        <f>126+25</f>
        <v>151</v>
      </c>
      <c r="C116" s="55">
        <v>3</v>
      </c>
      <c r="D116" s="55">
        <v>25</v>
      </c>
      <c r="E116" s="51"/>
      <c r="F116" s="51"/>
      <c r="G116" s="51"/>
      <c r="H116" s="51"/>
      <c r="I116" s="53">
        <f t="shared" si="4"/>
        <v>5.9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5">
        <v>50</v>
      </c>
      <c r="B117" s="55">
        <f>157+28</f>
        <v>185</v>
      </c>
      <c r="C117" s="55">
        <v>4</v>
      </c>
      <c r="D117" s="55">
        <v>28</v>
      </c>
      <c r="E117" s="51"/>
      <c r="F117" s="51"/>
      <c r="G117" s="51"/>
      <c r="H117" s="51"/>
      <c r="I117" s="53">
        <f t="shared" si="4"/>
        <v>5.9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5">
        <v>60</v>
      </c>
      <c r="B118" s="55">
        <f>183+28</f>
        <v>211</v>
      </c>
      <c r="C118" s="55">
        <v>5</v>
      </c>
      <c r="D118" s="55">
        <v>28</v>
      </c>
      <c r="E118" s="51"/>
      <c r="F118" s="51"/>
      <c r="G118" s="51"/>
      <c r="H118" s="51"/>
      <c r="I118" s="53">
        <f t="shared" si="4"/>
        <v>5.4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5">
        <v>70</v>
      </c>
      <c r="B119" s="55">
        <f>204+28</f>
        <v>232</v>
      </c>
      <c r="C119" s="55">
        <v>6</v>
      </c>
      <c r="D119" s="55">
        <v>28</v>
      </c>
      <c r="E119" s="51"/>
      <c r="F119" s="51"/>
      <c r="G119" s="51"/>
      <c r="H119" s="51"/>
      <c r="I119" s="53">
        <f t="shared" si="4"/>
        <v>4.9000000000000004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55">
        <v>80</v>
      </c>
      <c r="B120" s="55">
        <f>221+27</f>
        <v>248</v>
      </c>
      <c r="C120" s="55">
        <v>7</v>
      </c>
      <c r="D120" s="55">
        <v>27</v>
      </c>
      <c r="E120" s="51"/>
      <c r="F120" s="51"/>
      <c r="G120" s="51"/>
      <c r="H120" s="51"/>
      <c r="I120" s="53">
        <f t="shared" si="4"/>
        <v>4.4000000000000004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55">
        <v>90</v>
      </c>
      <c r="B121" s="55">
        <f>234+25</f>
        <v>259</v>
      </c>
      <c r="C121" s="55">
        <v>8</v>
      </c>
      <c r="D121" s="55">
        <v>25</v>
      </c>
      <c r="E121" s="51"/>
      <c r="F121" s="51"/>
      <c r="G121" s="51"/>
      <c r="H121" s="51"/>
      <c r="I121" s="53">
        <f t="shared" si="4"/>
        <v>3.8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55"/>
      <c r="B122" s="55"/>
      <c r="C122" s="55"/>
      <c r="D122" s="55"/>
      <c r="E122" s="51"/>
      <c r="F122" s="51"/>
      <c r="G122" s="51"/>
      <c r="H122" s="51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55"/>
      <c r="B123" s="55"/>
      <c r="C123" s="55"/>
      <c r="D123" s="55"/>
      <c r="E123" s="51"/>
      <c r="F123" s="51"/>
      <c r="G123" s="51"/>
      <c r="H123" s="51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55"/>
      <c r="B124" s="55"/>
      <c r="C124" s="55"/>
      <c r="D124" s="55"/>
      <c r="E124" s="51"/>
      <c r="F124" s="51"/>
      <c r="G124" s="51"/>
      <c r="H124" s="51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55"/>
      <c r="B125" s="55"/>
      <c r="C125" s="55"/>
      <c r="D125" s="55"/>
      <c r="E125" s="51"/>
      <c r="F125" s="51"/>
      <c r="G125" s="51"/>
      <c r="H125" s="51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55"/>
      <c r="B126" s="55"/>
      <c r="C126" s="55"/>
      <c r="D126" s="55"/>
      <c r="E126" s="51"/>
      <c r="F126" s="51"/>
      <c r="G126" s="51"/>
      <c r="H126" s="51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55"/>
      <c r="B127" s="55"/>
      <c r="C127" s="55"/>
      <c r="D127" s="55"/>
      <c r="E127" s="51"/>
      <c r="F127" s="51"/>
      <c r="G127" s="51"/>
      <c r="H127" s="51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24</v>
      </c>
      <c r="B136" s="52" t="str">
        <f>IF(B13="","",B13)</f>
        <v>Tilleul</v>
      </c>
      <c r="D136" s="229" t="s">
        <v>50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51</v>
      </c>
      <c r="C138" s="260" t="s">
        <v>52</v>
      </c>
      <c r="D138" s="260"/>
      <c r="E138" s="261" t="s">
        <v>53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54</v>
      </c>
      <c r="B139" s="36" t="s">
        <v>55</v>
      </c>
      <c r="C139" s="48" t="s">
        <v>56</v>
      </c>
      <c r="D139" s="48" t="s">
        <v>57</v>
      </c>
      <c r="E139" s="36" t="s">
        <v>58</v>
      </c>
      <c r="F139" s="36" t="s">
        <v>59</v>
      </c>
      <c r="G139" s="36" t="s">
        <v>60</v>
      </c>
      <c r="H139" s="36" t="s">
        <v>61</v>
      </c>
      <c r="I139" s="48" t="s">
        <v>62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60">
        <v>20</v>
      </c>
      <c r="B140" s="60">
        <f>46+11</f>
        <v>57</v>
      </c>
      <c r="C140" s="60">
        <v>1</v>
      </c>
      <c r="D140" s="60">
        <v>11</v>
      </c>
      <c r="E140" s="51"/>
      <c r="F140" s="51"/>
      <c r="G140" s="51">
        <v>0.5</v>
      </c>
      <c r="H140" s="257">
        <v>0.5</v>
      </c>
      <c r="I140" s="57">
        <f>IFERROR(B140/A140,"")</f>
        <v>2.85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60">
        <v>30</v>
      </c>
      <c r="B141" s="60">
        <f>82+32</f>
        <v>114</v>
      </c>
      <c r="C141" s="60">
        <v>2</v>
      </c>
      <c r="D141" s="60">
        <v>32</v>
      </c>
      <c r="E141" s="51"/>
      <c r="F141" s="51"/>
      <c r="G141" s="51"/>
      <c r="H141" s="51"/>
      <c r="I141" s="57">
        <f t="shared" ref="I141:I159" si="5">IF(A141&lt;&gt;0,(B141-(B140-D140))/(A141-A140),"")</f>
        <v>6.8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60">
        <v>40</v>
      </c>
      <c r="B142" s="60">
        <f>117+39</f>
        <v>156</v>
      </c>
      <c r="C142" s="60">
        <v>3</v>
      </c>
      <c r="D142" s="60">
        <v>39</v>
      </c>
      <c r="E142" s="51"/>
      <c r="F142" s="51"/>
      <c r="G142" s="51"/>
      <c r="H142" s="257"/>
      <c r="I142" s="57">
        <f t="shared" si="5"/>
        <v>7.4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60">
        <v>50</v>
      </c>
      <c r="B143" s="60">
        <f>149+43</f>
        <v>192</v>
      </c>
      <c r="C143" s="60">
        <v>4</v>
      </c>
      <c r="D143" s="60">
        <v>43</v>
      </c>
      <c r="E143" s="51"/>
      <c r="F143" s="51"/>
      <c r="G143" s="51"/>
      <c r="H143" s="257"/>
      <c r="I143" s="57">
        <f t="shared" si="5"/>
        <v>7.5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60">
        <v>60</v>
      </c>
      <c r="B144" s="60">
        <f>177+44</f>
        <v>221</v>
      </c>
      <c r="C144" s="60">
        <v>5</v>
      </c>
      <c r="D144" s="60">
        <v>44</v>
      </c>
      <c r="E144" s="51"/>
      <c r="F144" s="51"/>
      <c r="G144" s="51"/>
      <c r="H144" s="257"/>
      <c r="I144" s="57">
        <f t="shared" si="5"/>
        <v>7.2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60">
        <v>70</v>
      </c>
      <c r="B145" s="60">
        <f>201+44</f>
        <v>245</v>
      </c>
      <c r="C145" s="60">
        <v>6</v>
      </c>
      <c r="D145" s="60">
        <v>44</v>
      </c>
      <c r="E145" s="51"/>
      <c r="F145" s="51"/>
      <c r="G145" s="51"/>
      <c r="H145" s="257"/>
      <c r="I145" s="57">
        <f t="shared" si="5"/>
        <v>6.8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60">
        <v>80</v>
      </c>
      <c r="B146" s="60">
        <f>222+43</f>
        <v>265</v>
      </c>
      <c r="C146" s="60">
        <v>7</v>
      </c>
      <c r="D146" s="60">
        <v>43</v>
      </c>
      <c r="E146" s="51"/>
      <c r="F146" s="51"/>
      <c r="G146" s="51"/>
      <c r="H146" s="257"/>
      <c r="I146" s="57">
        <f t="shared" si="5"/>
        <v>6.4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60">
        <v>90</v>
      </c>
      <c r="B147" s="60">
        <f>239+40</f>
        <v>279</v>
      </c>
      <c r="C147" s="60">
        <v>8</v>
      </c>
      <c r="D147" s="60">
        <v>40</v>
      </c>
      <c r="E147" s="51"/>
      <c r="F147" s="51"/>
      <c r="G147" s="51"/>
      <c r="H147" s="257"/>
      <c r="I147" s="57">
        <f>IF(A147&lt;&gt;0,(B147-(B146-D146))/(A147-A146),"")</f>
        <v>5.7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60">
        <v>100</v>
      </c>
      <c r="B148" s="60">
        <f>253+37</f>
        <v>290</v>
      </c>
      <c r="C148" s="60">
        <v>9</v>
      </c>
      <c r="D148" s="60">
        <v>37</v>
      </c>
      <c r="E148" s="51"/>
      <c r="F148" s="51"/>
      <c r="G148" s="51"/>
      <c r="H148" s="257"/>
      <c r="I148" s="57">
        <f t="shared" si="5"/>
        <v>5.0999999999999996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60">
        <v>110</v>
      </c>
      <c r="B149" s="60">
        <f>265+34</f>
        <v>299</v>
      </c>
      <c r="C149" s="60">
        <v>10</v>
      </c>
      <c r="D149" s="60">
        <v>34</v>
      </c>
      <c r="E149" s="51"/>
      <c r="F149" s="51"/>
      <c r="G149" s="51"/>
      <c r="H149" s="257"/>
      <c r="I149" s="57">
        <f t="shared" si="5"/>
        <v>4.5999999999999996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60">
        <v>120</v>
      </c>
      <c r="B150" s="60">
        <f>275+31</f>
        <v>306</v>
      </c>
      <c r="C150" s="60">
        <v>11</v>
      </c>
      <c r="D150" s="60">
        <v>31</v>
      </c>
      <c r="E150" s="51"/>
      <c r="F150" s="51"/>
      <c r="G150" s="51"/>
      <c r="H150" s="257"/>
      <c r="I150" s="57">
        <f t="shared" si="5"/>
        <v>4.0999999999999996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26</v>
      </c>
      <c r="B162" s="52" t="str">
        <f>IF(B14="","",B14)</f>
        <v>Cèdre de l'Atlas</v>
      </c>
      <c r="D162" s="229" t="s">
        <v>50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51</v>
      </c>
      <c r="C164" s="260" t="s">
        <v>52</v>
      </c>
      <c r="D164" s="260"/>
      <c r="E164" s="261" t="s">
        <v>53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54</v>
      </c>
      <c r="B165" s="36" t="s">
        <v>55</v>
      </c>
      <c r="C165" s="48" t="s">
        <v>56</v>
      </c>
      <c r="D165" s="48" t="s">
        <v>57</v>
      </c>
      <c r="E165" s="36" t="s">
        <v>58</v>
      </c>
      <c r="F165" s="36" t="s">
        <v>59</v>
      </c>
      <c r="G165" s="36" t="s">
        <v>60</v>
      </c>
      <c r="H165" s="36" t="s">
        <v>61</v>
      </c>
      <c r="I165" s="48" t="s">
        <v>62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60">
        <v>30</v>
      </c>
      <c r="B166" s="60">
        <f>281.83/1.3</f>
        <v>216.79230769230767</v>
      </c>
      <c r="C166" s="60"/>
      <c r="D166" s="60"/>
      <c r="E166" s="51"/>
      <c r="F166" s="51"/>
      <c r="G166" s="51"/>
      <c r="H166" s="257"/>
      <c r="I166" s="49">
        <f>IFERROR(B166/A166,"")</f>
        <v>7.2264102564102561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60">
        <v>42</v>
      </c>
      <c r="B167" s="60">
        <f>533.48/1.3</f>
        <v>410.3692307692308</v>
      </c>
      <c r="C167" s="60">
        <v>1</v>
      </c>
      <c r="D167" s="60">
        <f>233.8/1.3</f>
        <v>179.84615384615384</v>
      </c>
      <c r="E167" s="51"/>
      <c r="F167" s="51"/>
      <c r="G167" s="51"/>
      <c r="H167" s="51"/>
      <c r="I167" s="49">
        <f t="shared" ref="I167:I185" si="6">IF(A167&lt;&gt;0,(B167-(B166-D166))/(A167-A166),"")</f>
        <v>16.131410256410259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60">
        <v>49</v>
      </c>
      <c r="B168" s="60">
        <f>441.81/1.3</f>
        <v>339.85384615384612</v>
      </c>
      <c r="C168" s="60">
        <v>2</v>
      </c>
      <c r="D168" s="60">
        <f>122.82/1.3</f>
        <v>94.476923076923072</v>
      </c>
      <c r="E168" s="51"/>
      <c r="F168" s="51"/>
      <c r="G168" s="51"/>
      <c r="H168" s="257"/>
      <c r="I168" s="49">
        <f t="shared" si="6"/>
        <v>15.618681318681309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60">
        <v>56</v>
      </c>
      <c r="B169" s="60">
        <f>452.47/1.3</f>
        <v>348.05384615384617</v>
      </c>
      <c r="C169" s="60">
        <v>3</v>
      </c>
      <c r="D169" s="60">
        <f>94.6/1.3</f>
        <v>72.769230769230759</v>
      </c>
      <c r="E169" s="51"/>
      <c r="F169" s="51"/>
      <c r="G169" s="51"/>
      <c r="H169" s="257"/>
      <c r="I169" s="49">
        <f t="shared" si="6"/>
        <v>14.668131868131875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60">
        <v>63</v>
      </c>
      <c r="B170" s="60">
        <f>487.73/1.3</f>
        <v>375.17692307692306</v>
      </c>
      <c r="C170" s="60">
        <v>4</v>
      </c>
      <c r="D170" s="60">
        <f>92.46/1.3</f>
        <v>71.123076923076923</v>
      </c>
      <c r="E170" s="51"/>
      <c r="F170" s="51"/>
      <c r="G170" s="51"/>
      <c r="H170" s="257"/>
      <c r="I170" s="49">
        <f t="shared" si="6"/>
        <v>14.270329670329668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60">
        <v>71</v>
      </c>
      <c r="B171" s="60">
        <f>538.14/1.3</f>
        <v>413.95384615384614</v>
      </c>
      <c r="C171" s="60">
        <v>5</v>
      </c>
      <c r="D171" s="60">
        <f>104.52/1.3</f>
        <v>80.399999999999991</v>
      </c>
      <c r="E171" s="51"/>
      <c r="F171" s="51"/>
      <c r="G171" s="51"/>
      <c r="H171" s="257"/>
      <c r="I171" s="49">
        <f t="shared" si="6"/>
        <v>13.737499999999997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60">
        <v>79</v>
      </c>
      <c r="B172" s="60">
        <f>567.92/1.3</f>
        <v>436.86153846153843</v>
      </c>
      <c r="C172" s="60">
        <v>6</v>
      </c>
      <c r="D172" s="60">
        <f>100.54/1.3</f>
        <v>77.338461538461544</v>
      </c>
      <c r="E172" s="51"/>
      <c r="F172" s="51"/>
      <c r="G172" s="51"/>
      <c r="H172" s="257"/>
      <c r="I172" s="49">
        <f t="shared" si="6"/>
        <v>12.913461538461533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60">
        <v>87</v>
      </c>
      <c r="B173" s="60">
        <f>593.47/1.3</f>
        <v>456.51538461538462</v>
      </c>
      <c r="C173" s="60">
        <v>7</v>
      </c>
      <c r="D173" s="60">
        <f>100.53/1.3</f>
        <v>77.330769230769235</v>
      </c>
      <c r="E173" s="51"/>
      <c r="F173" s="51"/>
      <c r="G173" s="51"/>
      <c r="H173" s="257"/>
      <c r="I173" s="49">
        <f t="shared" si="6"/>
        <v>12.124038461538468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60">
        <v>95</v>
      </c>
      <c r="B174" s="60">
        <f>609.86/1.3</f>
        <v>469.12307692307689</v>
      </c>
      <c r="C174" s="60">
        <v>8</v>
      </c>
      <c r="D174" s="60">
        <f>304.75/1.3</f>
        <v>234.42307692307691</v>
      </c>
      <c r="E174" s="51"/>
      <c r="F174" s="51"/>
      <c r="G174" s="51"/>
      <c r="H174" s="257"/>
      <c r="I174" s="49">
        <f t="shared" si="6"/>
        <v>11.242307692307691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60">
        <v>105</v>
      </c>
      <c r="B175" s="60">
        <f>402.63/1.3</f>
        <v>309.71538461538461</v>
      </c>
      <c r="C175" s="60">
        <v>9</v>
      </c>
      <c r="D175" s="60">
        <f>402.63/1.3</f>
        <v>309.71538461538461</v>
      </c>
      <c r="E175" s="51"/>
      <c r="F175" s="51"/>
      <c r="G175" s="51"/>
      <c r="H175" s="257"/>
      <c r="I175" s="49">
        <f t="shared" si="6"/>
        <v>7.5015384615384617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60"/>
      <c r="B176" s="60"/>
      <c r="C176" s="60"/>
      <c r="D176" s="60"/>
      <c r="E176" s="51"/>
      <c r="F176" s="51"/>
      <c r="G176" s="51"/>
      <c r="H176" s="257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28</v>
      </c>
      <c r="B188" s="52" t="str">
        <f>IF(B15="","",B15)</f>
        <v>Erable plane</v>
      </c>
      <c r="D188" s="229" t="s">
        <v>50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51</v>
      </c>
      <c r="C190" s="260" t="s">
        <v>52</v>
      </c>
      <c r="D190" s="260"/>
      <c r="E190" s="261" t="s">
        <v>53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54</v>
      </c>
      <c r="B191" s="36" t="s">
        <v>55</v>
      </c>
      <c r="C191" s="48" t="s">
        <v>56</v>
      </c>
      <c r="D191" s="48" t="s">
        <v>57</v>
      </c>
      <c r="E191" s="36" t="s">
        <v>58</v>
      </c>
      <c r="F191" s="36" t="s">
        <v>59</v>
      </c>
      <c r="G191" s="36" t="s">
        <v>60</v>
      </c>
      <c r="H191" s="36" t="s">
        <v>61</v>
      </c>
      <c r="I191" s="48" t="s">
        <v>62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60">
        <v>20</v>
      </c>
      <c r="B192" s="60">
        <v>95</v>
      </c>
      <c r="C192" s="60">
        <v>1</v>
      </c>
      <c r="D192" s="60">
        <f>15+28</f>
        <v>43</v>
      </c>
      <c r="E192" s="51"/>
      <c r="F192" s="51">
        <v>0.25</v>
      </c>
      <c r="G192" s="51">
        <v>0.25</v>
      </c>
      <c r="H192" s="257">
        <v>0.5</v>
      </c>
      <c r="I192" s="49">
        <f>IFERROR(B192/A192,"")</f>
        <v>4.75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60">
        <v>30</v>
      </c>
      <c r="B193" s="60">
        <v>174</v>
      </c>
      <c r="C193" s="60">
        <v>2</v>
      </c>
      <c r="D193" s="60">
        <f>28+28</f>
        <v>56</v>
      </c>
      <c r="E193" s="51"/>
      <c r="F193" s="51"/>
      <c r="G193" s="51"/>
      <c r="H193" s="51"/>
      <c r="I193" s="49">
        <f t="shared" ref="I193:I211" si="7">IF(A193&lt;&gt;0,(B193-(B192-D192))/(A193-A192),"")</f>
        <v>12.2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60">
        <v>40</v>
      </c>
      <c r="B194" s="60">
        <v>220</v>
      </c>
      <c r="C194" s="60">
        <v>3</v>
      </c>
      <c r="D194" s="60">
        <f>28+28</f>
        <v>56</v>
      </c>
      <c r="E194" s="51"/>
      <c r="F194" s="51"/>
      <c r="G194" s="51"/>
      <c r="H194" s="257"/>
      <c r="I194" s="49">
        <f t="shared" si="7"/>
        <v>10.199999999999999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60">
        <v>50</v>
      </c>
      <c r="B195" s="60">
        <v>241</v>
      </c>
      <c r="C195" s="60">
        <v>4</v>
      </c>
      <c r="D195" s="60">
        <f>22+17</f>
        <v>39</v>
      </c>
      <c r="E195" s="51"/>
      <c r="F195" s="51"/>
      <c r="G195" s="51"/>
      <c r="H195" s="257"/>
      <c r="I195" s="49">
        <f t="shared" si="7"/>
        <v>7.7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60">
        <v>60</v>
      </c>
      <c r="B196" s="60">
        <v>258</v>
      </c>
      <c r="C196" s="60">
        <v>5</v>
      </c>
      <c r="D196" s="60">
        <f>13+12</f>
        <v>25</v>
      </c>
      <c r="E196" s="51"/>
      <c r="F196" s="51"/>
      <c r="G196" s="51"/>
      <c r="H196" s="257"/>
      <c r="I196" s="49">
        <f t="shared" si="7"/>
        <v>5.6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60">
        <v>70</v>
      </c>
      <c r="B197" s="60">
        <v>274</v>
      </c>
      <c r="C197" s="60">
        <v>6</v>
      </c>
      <c r="D197" s="60">
        <f>11+10</f>
        <v>21</v>
      </c>
      <c r="E197" s="51"/>
      <c r="F197" s="51"/>
      <c r="G197" s="51"/>
      <c r="H197" s="257"/>
      <c r="I197" s="49">
        <f t="shared" si="7"/>
        <v>4.0999999999999996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60">
        <v>80</v>
      </c>
      <c r="B198" s="60">
        <f>267+9+8</f>
        <v>284</v>
      </c>
      <c r="C198" s="60">
        <v>7</v>
      </c>
      <c r="D198" s="60">
        <f>B198</f>
        <v>284</v>
      </c>
      <c r="E198" s="51"/>
      <c r="F198" s="51"/>
      <c r="G198" s="51"/>
      <c r="H198" s="257"/>
      <c r="I198" s="49">
        <f t="shared" si="7"/>
        <v>3.1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60"/>
      <c r="B199" s="60"/>
      <c r="C199" s="60"/>
      <c r="D199" s="60"/>
      <c r="E199" s="51"/>
      <c r="F199" s="51"/>
      <c r="G199" s="51"/>
      <c r="H199" s="257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60"/>
      <c r="B200" s="60"/>
      <c r="C200" s="60"/>
      <c r="D200" s="60"/>
      <c r="E200" s="51"/>
      <c r="F200" s="51"/>
      <c r="G200" s="51"/>
      <c r="H200" s="257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60"/>
      <c r="B201" s="60"/>
      <c r="C201" s="60"/>
      <c r="D201" s="60"/>
      <c r="E201" s="51"/>
      <c r="F201" s="51"/>
      <c r="G201" s="51"/>
      <c r="H201" s="257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60"/>
      <c r="B202" s="60"/>
      <c r="C202" s="60"/>
      <c r="D202" s="60"/>
      <c r="E202" s="51"/>
      <c r="F202" s="51"/>
      <c r="G202" s="51"/>
      <c r="H202" s="257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30</v>
      </c>
      <c r="B214" s="52" t="str">
        <f>IF(B16="","",B16)</f>
        <v>Pin laricio</v>
      </c>
      <c r="D214" s="229" t="s">
        <v>50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51</v>
      </c>
      <c r="C216" s="260" t="s">
        <v>52</v>
      </c>
      <c r="D216" s="260"/>
      <c r="E216" s="261" t="s">
        <v>53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54</v>
      </c>
      <c r="B217" s="36" t="s">
        <v>55</v>
      </c>
      <c r="C217" s="48" t="s">
        <v>56</v>
      </c>
      <c r="D217" s="48" t="s">
        <v>57</v>
      </c>
      <c r="E217" s="36" t="s">
        <v>58</v>
      </c>
      <c r="F217" s="36" t="s">
        <v>59</v>
      </c>
      <c r="G217" s="36" t="s">
        <v>60</v>
      </c>
      <c r="H217" s="36" t="s">
        <v>61</v>
      </c>
      <c r="I217" s="48" t="s">
        <v>62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60">
        <v>15</v>
      </c>
      <c r="B218" s="60">
        <f>46.42/1.3</f>
        <v>35.707692307692305</v>
      </c>
      <c r="C218" s="60"/>
      <c r="D218" s="60"/>
      <c r="E218" s="51"/>
      <c r="F218" s="51"/>
      <c r="G218" s="51"/>
      <c r="H218" s="257"/>
      <c r="I218" s="53">
        <f>IFERROR(B218/A218,"")</f>
        <v>2.3805128205128203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60">
        <v>22</v>
      </c>
      <c r="B219" s="60">
        <f>168.98/1.3</f>
        <v>129.98461538461538</v>
      </c>
      <c r="C219" s="60">
        <v>1</v>
      </c>
      <c r="D219" s="60">
        <f>68.57/1.3</f>
        <v>52.746153846153838</v>
      </c>
      <c r="E219" s="51"/>
      <c r="F219" s="51">
        <v>0.2</v>
      </c>
      <c r="G219" s="51">
        <v>0.4</v>
      </c>
      <c r="H219" s="51">
        <v>0.4</v>
      </c>
      <c r="I219" s="53">
        <f t="shared" ref="I219:I237" si="8">IF(A219&lt;&gt;0,(B219-(B218-D218))/(A219-A218),"")</f>
        <v>13.468131868131868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60">
        <v>27</v>
      </c>
      <c r="B220" s="60">
        <f>182.93/1.3</f>
        <v>140.71538461538461</v>
      </c>
      <c r="C220" s="60">
        <v>2</v>
      </c>
      <c r="D220" s="60">
        <f>45.04/1.3</f>
        <v>34.646153846153844</v>
      </c>
      <c r="E220" s="51">
        <v>0.2</v>
      </c>
      <c r="F220" s="51">
        <v>0.4</v>
      </c>
      <c r="G220" s="51">
        <v>0.4</v>
      </c>
      <c r="H220" s="257"/>
      <c r="I220" s="53">
        <f t="shared" si="8"/>
        <v>12.695384615384615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60">
        <v>33</v>
      </c>
      <c r="B221" s="60">
        <f>239.07/1.3</f>
        <v>183.89999999999998</v>
      </c>
      <c r="C221" s="60">
        <v>3</v>
      </c>
      <c r="D221" s="60">
        <f>55.91/1.3</f>
        <v>43.007692307692302</v>
      </c>
      <c r="E221" s="51"/>
      <c r="F221" s="51"/>
      <c r="G221" s="51"/>
      <c r="H221" s="257"/>
      <c r="I221" s="53">
        <f t="shared" si="8"/>
        <v>12.97179487179487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60">
        <v>41</v>
      </c>
      <c r="B222" s="60">
        <f>315.66/1.3</f>
        <v>242.81538461538463</v>
      </c>
      <c r="C222" s="60">
        <v>4</v>
      </c>
      <c r="D222" s="60">
        <f>76.03/1.3</f>
        <v>58.484615384615381</v>
      </c>
      <c r="E222" s="51"/>
      <c r="F222" s="51"/>
      <c r="G222" s="51"/>
      <c r="H222" s="257"/>
      <c r="I222" s="53">
        <f t="shared" si="8"/>
        <v>12.74038461538462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60">
        <v>50</v>
      </c>
      <c r="B223" s="60">
        <f>378.41/1.3</f>
        <v>291.0846153846154</v>
      </c>
      <c r="C223" s="60">
        <v>5</v>
      </c>
      <c r="D223" s="60">
        <f>71.88/1.3</f>
        <v>55.292307692307688</v>
      </c>
      <c r="E223" s="51"/>
      <c r="F223" s="51"/>
      <c r="G223" s="51"/>
      <c r="H223" s="257"/>
      <c r="I223" s="53">
        <f t="shared" si="8"/>
        <v>11.861538461538462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60">
        <v>60</v>
      </c>
      <c r="B224" s="60">
        <f>445.15/1.3</f>
        <v>342.42307692307691</v>
      </c>
      <c r="C224" s="60">
        <v>6</v>
      </c>
      <c r="D224" s="60">
        <f>70.54/1.3</f>
        <v>54.261538461538464</v>
      </c>
      <c r="E224" s="51"/>
      <c r="F224" s="51"/>
      <c r="G224" s="51"/>
      <c r="H224" s="257"/>
      <c r="I224" s="53">
        <f t="shared" si="8"/>
        <v>10.66307692307692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60">
        <v>70</v>
      </c>
      <c r="B225" s="60">
        <f>493.99/1.3</f>
        <v>379.99230769230769</v>
      </c>
      <c r="C225" s="60">
        <v>7</v>
      </c>
      <c r="D225" s="60">
        <f>68.47/1.3</f>
        <v>52.669230769230765</v>
      </c>
      <c r="E225" s="51"/>
      <c r="F225" s="51"/>
      <c r="G225" s="51"/>
      <c r="H225" s="257"/>
      <c r="I225" s="53">
        <f t="shared" si="8"/>
        <v>9.1830769230769249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60">
        <v>80</v>
      </c>
      <c r="B226" s="60">
        <f>523.78/1.3</f>
        <v>402.90769230769229</v>
      </c>
      <c r="C226" s="60">
        <v>8</v>
      </c>
      <c r="D226" s="60">
        <f>523.78/1.3</f>
        <v>402.90769230769229</v>
      </c>
      <c r="E226" s="51"/>
      <c r="F226" s="51"/>
      <c r="G226" s="51"/>
      <c r="H226" s="257"/>
      <c r="I226" s="53">
        <f t="shared" si="8"/>
        <v>7.5584615384615343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60"/>
      <c r="B227" s="60"/>
      <c r="C227" s="60"/>
      <c r="D227" s="60"/>
      <c r="E227" s="51"/>
      <c r="F227" s="51"/>
      <c r="G227" s="51"/>
      <c r="H227" s="257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60"/>
      <c r="B228" s="60"/>
      <c r="C228" s="60"/>
      <c r="D228" s="60"/>
      <c r="E228" s="51"/>
      <c r="F228" s="51"/>
      <c r="G228" s="51"/>
      <c r="H228" s="257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32</v>
      </c>
      <c r="B240" s="52" t="str">
        <f>IF(B17="","",B17)</f>
        <v>Cormier</v>
      </c>
      <c r="D240" s="229" t="s">
        <v>50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51</v>
      </c>
      <c r="C242" s="260" t="s">
        <v>52</v>
      </c>
      <c r="D242" s="260"/>
      <c r="E242" s="261" t="s">
        <v>53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54</v>
      </c>
      <c r="B243" s="36" t="s">
        <v>55</v>
      </c>
      <c r="C243" s="48" t="s">
        <v>56</v>
      </c>
      <c r="D243" s="48" t="s">
        <v>57</v>
      </c>
      <c r="E243" s="36" t="s">
        <v>58</v>
      </c>
      <c r="F243" s="36" t="s">
        <v>59</v>
      </c>
      <c r="G243" s="36" t="s">
        <v>60</v>
      </c>
      <c r="H243" s="36" t="s">
        <v>61</v>
      </c>
      <c r="I243" s="48" t="s">
        <v>62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60">
        <v>20</v>
      </c>
      <c r="B244" s="60">
        <v>21</v>
      </c>
      <c r="C244" s="60"/>
      <c r="D244" s="60"/>
      <c r="E244" s="51"/>
      <c r="F244" s="51"/>
      <c r="G244" s="51"/>
      <c r="H244" s="257"/>
      <c r="I244" s="53">
        <f>IFERROR(B244/A244,"")</f>
        <v>1.05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60">
        <v>30</v>
      </c>
      <c r="B245" s="60">
        <v>54</v>
      </c>
      <c r="C245" s="60">
        <v>1</v>
      </c>
      <c r="D245" s="60">
        <v>9</v>
      </c>
      <c r="E245" s="51"/>
      <c r="F245" s="51"/>
      <c r="G245" s="51"/>
      <c r="H245" s="51"/>
      <c r="I245" s="53">
        <f>IF(A245&lt;&gt;0,(B245-(B244-D244))/(A245-A244),"")</f>
        <v>3.3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60">
        <v>40</v>
      </c>
      <c r="B246" s="60">
        <v>83</v>
      </c>
      <c r="C246" s="60">
        <v>2</v>
      </c>
      <c r="D246" s="60">
        <v>17</v>
      </c>
      <c r="E246" s="51"/>
      <c r="F246" s="51"/>
      <c r="G246" s="51"/>
      <c r="H246" s="257"/>
      <c r="I246" s="53">
        <f>IF(A246&lt;&gt;0,(B246-(B245-D245))/(A246-A245),"")</f>
        <v>3.8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60">
        <v>50</v>
      </c>
      <c r="B247" s="60">
        <v>104</v>
      </c>
      <c r="C247" s="60">
        <v>3</v>
      </c>
      <c r="D247" s="60">
        <v>18</v>
      </c>
      <c r="E247" s="51"/>
      <c r="F247" s="51"/>
      <c r="G247" s="51"/>
      <c r="H247" s="257"/>
      <c r="I247" s="53">
        <f t="shared" ref="I247:I263" si="9">IF(A247&lt;&gt;0,(B247-(B246-D246))/(A247-A246),"")</f>
        <v>3.8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60">
        <v>60</v>
      </c>
      <c r="B248" s="60">
        <v>125</v>
      </c>
      <c r="C248" s="60">
        <v>4</v>
      </c>
      <c r="D248" s="60">
        <v>20</v>
      </c>
      <c r="E248" s="51"/>
      <c r="F248" s="51"/>
      <c r="G248" s="51"/>
      <c r="H248" s="257"/>
      <c r="I248" s="53">
        <f t="shared" si="9"/>
        <v>3.9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60">
        <v>70</v>
      </c>
      <c r="B249" s="60">
        <v>142</v>
      </c>
      <c r="C249" s="60">
        <v>5</v>
      </c>
      <c r="D249" s="60">
        <v>20</v>
      </c>
      <c r="E249" s="51"/>
      <c r="F249" s="51"/>
      <c r="G249" s="51"/>
      <c r="H249" s="257"/>
      <c r="I249" s="53">
        <f t="shared" si="9"/>
        <v>3.7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60">
        <v>80</v>
      </c>
      <c r="B250" s="60">
        <v>156</v>
      </c>
      <c r="C250" s="60">
        <v>6</v>
      </c>
      <c r="D250" s="60">
        <v>19</v>
      </c>
      <c r="E250" s="51"/>
      <c r="F250" s="51"/>
      <c r="G250" s="51"/>
      <c r="H250" s="257"/>
      <c r="I250" s="53">
        <f t="shared" si="9"/>
        <v>3.4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60">
        <v>90</v>
      </c>
      <c r="B251" s="60">
        <v>168</v>
      </c>
      <c r="C251" s="60">
        <v>7</v>
      </c>
      <c r="D251" s="60">
        <v>18</v>
      </c>
      <c r="E251" s="51"/>
      <c r="F251" s="51"/>
      <c r="G251" s="51"/>
      <c r="H251" s="257"/>
      <c r="I251" s="53">
        <f t="shared" si="9"/>
        <v>3.1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60">
        <v>100</v>
      </c>
      <c r="B252" s="60">
        <v>179</v>
      </c>
      <c r="C252" s="60">
        <v>8</v>
      </c>
      <c r="D252" s="60">
        <v>18</v>
      </c>
      <c r="E252" s="51"/>
      <c r="F252" s="51"/>
      <c r="G252" s="51"/>
      <c r="H252" s="257"/>
      <c r="I252" s="53">
        <f t="shared" si="9"/>
        <v>2.9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60">
        <v>110</v>
      </c>
      <c r="B253" s="60">
        <v>190</v>
      </c>
      <c r="C253" s="60">
        <v>9</v>
      </c>
      <c r="D253" s="60">
        <v>19</v>
      </c>
      <c r="E253" s="51"/>
      <c r="F253" s="51"/>
      <c r="G253" s="51"/>
      <c r="H253" s="257"/>
      <c r="I253" s="53">
        <f t="shared" si="9"/>
        <v>2.9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60">
        <v>120</v>
      </c>
      <c r="B254" s="60">
        <v>201</v>
      </c>
      <c r="C254" s="60">
        <v>10</v>
      </c>
      <c r="D254" s="60">
        <v>20</v>
      </c>
      <c r="E254" s="51"/>
      <c r="F254" s="51"/>
      <c r="G254" s="51"/>
      <c r="H254" s="257"/>
      <c r="I254" s="53">
        <f t="shared" si="9"/>
        <v>3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34</v>
      </c>
      <c r="B266" s="52" t="str">
        <f>IF(B18="","",B18)</f>
        <v/>
      </c>
      <c r="D266" s="229" t="s">
        <v>50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51</v>
      </c>
      <c r="C268" s="260" t="s">
        <v>52</v>
      </c>
      <c r="D268" s="260"/>
      <c r="E268" s="261" t="s">
        <v>53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54</v>
      </c>
      <c r="B269" s="36" t="s">
        <v>55</v>
      </c>
      <c r="C269" s="48" t="s">
        <v>56</v>
      </c>
      <c r="D269" s="48" t="s">
        <v>57</v>
      </c>
      <c r="E269" s="36" t="s">
        <v>58</v>
      </c>
      <c r="F269" s="36" t="s">
        <v>59</v>
      </c>
      <c r="G269" s="36" t="s">
        <v>60</v>
      </c>
      <c r="H269" s="36" t="s">
        <v>61</v>
      </c>
      <c r="I269" s="48" t="s">
        <v>62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5"/>
      <c r="B270" s="55"/>
      <c r="C270" s="55"/>
      <c r="D270" s="55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5"/>
      <c r="B271" s="55"/>
      <c r="C271" s="55"/>
      <c r="D271" s="55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5"/>
      <c r="B272" s="55"/>
      <c r="C272" s="55"/>
      <c r="D272" s="55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5"/>
      <c r="B273" s="55"/>
      <c r="C273" s="55"/>
      <c r="D273" s="55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5"/>
      <c r="B274" s="55"/>
      <c r="C274" s="55"/>
      <c r="D274" s="55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5"/>
      <c r="B275" s="55"/>
      <c r="C275" s="55"/>
      <c r="D275" s="55"/>
      <c r="E275" s="51"/>
      <c r="F275" s="51"/>
      <c r="G275" s="51"/>
      <c r="H275" s="51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5"/>
      <c r="B276" s="55"/>
      <c r="C276" s="55"/>
      <c r="D276" s="55"/>
      <c r="E276" s="51"/>
      <c r="F276" s="51"/>
      <c r="G276" s="51"/>
      <c r="H276" s="51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disablePrompts="1"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34" sqref="C34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3" t="s">
        <v>63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64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65</v>
      </c>
      <c r="C7" s="100" t="s">
        <v>66</v>
      </c>
      <c r="D7" s="215"/>
      <c r="E7" s="101"/>
      <c r="F7" s="26" t="s">
        <v>65</v>
      </c>
      <c r="G7" s="100" t="s">
        <v>67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68</v>
      </c>
      <c r="D8" s="23"/>
      <c r="E8" s="105">
        <v>4</v>
      </c>
      <c r="F8" s="61">
        <v>0</v>
      </c>
      <c r="G8" s="102" t="s">
        <v>69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70</v>
      </c>
      <c r="D9" s="23"/>
      <c r="E9" s="105">
        <v>5</v>
      </c>
      <c r="F9" s="61">
        <v>0</v>
      </c>
      <c r="G9" s="103" t="s">
        <v>71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72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73</v>
      </c>
      <c r="D13" s="216"/>
      <c r="E13" s="99"/>
      <c r="F13" s="107"/>
      <c r="G13" s="98" t="s">
        <v>74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75</v>
      </c>
      <c r="D14" s="216"/>
      <c r="E14" s="99"/>
      <c r="F14" s="107"/>
      <c r="G14" s="98" t="s">
        <v>76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65</v>
      </c>
      <c r="C15" s="4"/>
      <c r="D15" s="23"/>
      <c r="E15" s="4"/>
      <c r="F15" s="4"/>
      <c r="G15" s="2" t="s">
        <v>77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10" t="s">
        <v>78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79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80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DH1" zoomScaleNormal="100" workbookViewId="0">
      <selection activeCell="D102" sqref="D10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9" t="s">
        <v>81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Chêne pubescent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Chêne chevelu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Alisier torminal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>Bouleau verruqueux</v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>Tilleul</v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>Cèdre de l'Atlas</v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>Erable plane</v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>Pin laricio</v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>Cormier</v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82</v>
      </c>
      <c r="B2" s="72" t="s">
        <v>83</v>
      </c>
      <c r="C2" s="5" t="s">
        <v>84</v>
      </c>
      <c r="D2" s="5" t="s">
        <v>85</v>
      </c>
      <c r="E2" s="5" t="s">
        <v>86</v>
      </c>
      <c r="F2" s="5" t="s">
        <v>87</v>
      </c>
      <c r="G2" s="5" t="s">
        <v>88</v>
      </c>
      <c r="H2" s="66" t="s">
        <v>89</v>
      </c>
      <c r="I2" s="68" t="s">
        <v>86</v>
      </c>
      <c r="J2" s="69" t="s">
        <v>87</v>
      </c>
      <c r="K2" s="6" t="s">
        <v>90</v>
      </c>
      <c r="L2" s="6" t="s">
        <v>91</v>
      </c>
      <c r="M2" s="6" t="s">
        <v>91</v>
      </c>
      <c r="N2" s="6" t="s">
        <v>92</v>
      </c>
      <c r="O2" s="6" t="s">
        <v>93</v>
      </c>
      <c r="P2" s="6" t="s">
        <v>94</v>
      </c>
      <c r="Q2" s="6" t="s">
        <v>88</v>
      </c>
      <c r="R2" s="6" t="s">
        <v>95</v>
      </c>
      <c r="S2" s="6" t="s">
        <v>96</v>
      </c>
      <c r="T2" s="6" t="s">
        <v>97</v>
      </c>
      <c r="U2" s="7" t="s">
        <v>98</v>
      </c>
      <c r="V2" s="8" t="s">
        <v>99</v>
      </c>
      <c r="W2" s="7" t="s">
        <v>58</v>
      </c>
      <c r="X2" s="7" t="s">
        <v>59</v>
      </c>
      <c r="Y2" s="7" t="s">
        <v>100</v>
      </c>
      <c r="Z2" s="8" t="s">
        <v>101</v>
      </c>
      <c r="AA2" s="8" t="s">
        <v>102</v>
      </c>
      <c r="AB2" s="8" t="s">
        <v>103</v>
      </c>
      <c r="AC2" s="9" t="s">
        <v>104</v>
      </c>
      <c r="AD2" s="69" t="s">
        <v>86</v>
      </c>
      <c r="AE2" s="69" t="s">
        <v>87</v>
      </c>
      <c r="AF2" s="6" t="s">
        <v>90</v>
      </c>
      <c r="AG2" s="6" t="s">
        <v>91</v>
      </c>
      <c r="AH2" s="6" t="s">
        <v>91</v>
      </c>
      <c r="AI2" s="6" t="s">
        <v>92</v>
      </c>
      <c r="AJ2" s="6" t="s">
        <v>93</v>
      </c>
      <c r="AK2" s="6" t="s">
        <v>94</v>
      </c>
      <c r="AL2" s="6" t="s">
        <v>88</v>
      </c>
      <c r="AM2" s="6" t="s">
        <v>95</v>
      </c>
      <c r="AN2" s="6" t="s">
        <v>96</v>
      </c>
      <c r="AO2" s="6" t="s">
        <v>97</v>
      </c>
      <c r="AP2" s="7" t="s">
        <v>98</v>
      </c>
      <c r="AQ2" s="8" t="s">
        <v>99</v>
      </c>
      <c r="AR2" s="7" t="s">
        <v>58</v>
      </c>
      <c r="AS2" s="7" t="s">
        <v>59</v>
      </c>
      <c r="AT2" s="8" t="s">
        <v>105</v>
      </c>
      <c r="AU2" s="8" t="s">
        <v>101</v>
      </c>
      <c r="AV2" s="8" t="s">
        <v>102</v>
      </c>
      <c r="AW2" s="8" t="s">
        <v>103</v>
      </c>
      <c r="AX2" s="8" t="s">
        <v>104</v>
      </c>
      <c r="AY2" s="68" t="s">
        <v>86</v>
      </c>
      <c r="AZ2" s="69" t="s">
        <v>87</v>
      </c>
      <c r="BA2" s="6" t="s">
        <v>90</v>
      </c>
      <c r="BB2" s="6" t="s">
        <v>91</v>
      </c>
      <c r="BC2" s="6" t="s">
        <v>91</v>
      </c>
      <c r="BD2" s="6" t="s">
        <v>92</v>
      </c>
      <c r="BE2" s="6" t="s">
        <v>93</v>
      </c>
      <c r="BF2" s="6" t="s">
        <v>94</v>
      </c>
      <c r="BG2" s="6" t="s">
        <v>88</v>
      </c>
      <c r="BH2" s="6" t="s">
        <v>95</v>
      </c>
      <c r="BI2" s="6" t="s">
        <v>96</v>
      </c>
      <c r="BJ2" s="6" t="s">
        <v>97</v>
      </c>
      <c r="BK2" s="7" t="s">
        <v>98</v>
      </c>
      <c r="BL2" s="8" t="s">
        <v>99</v>
      </c>
      <c r="BM2" s="7" t="s">
        <v>58</v>
      </c>
      <c r="BN2" s="7" t="s">
        <v>59</v>
      </c>
      <c r="BO2" s="8" t="s">
        <v>105</v>
      </c>
      <c r="BP2" s="8" t="s">
        <v>101</v>
      </c>
      <c r="BQ2" s="8" t="s">
        <v>102</v>
      </c>
      <c r="BR2" s="8" t="s">
        <v>103</v>
      </c>
      <c r="BS2" s="9" t="s">
        <v>104</v>
      </c>
      <c r="BT2" s="68" t="s">
        <v>86</v>
      </c>
      <c r="BU2" s="69" t="s">
        <v>87</v>
      </c>
      <c r="BV2" s="6" t="s">
        <v>90</v>
      </c>
      <c r="BW2" s="6" t="s">
        <v>91</v>
      </c>
      <c r="BX2" s="6" t="s">
        <v>91</v>
      </c>
      <c r="BY2" s="6" t="s">
        <v>92</v>
      </c>
      <c r="BZ2" s="6" t="s">
        <v>93</v>
      </c>
      <c r="CA2" s="6" t="s">
        <v>94</v>
      </c>
      <c r="CB2" s="6" t="s">
        <v>88</v>
      </c>
      <c r="CC2" s="6" t="s">
        <v>95</v>
      </c>
      <c r="CD2" s="6" t="s">
        <v>96</v>
      </c>
      <c r="CE2" s="6" t="s">
        <v>97</v>
      </c>
      <c r="CF2" s="7" t="s">
        <v>98</v>
      </c>
      <c r="CG2" s="8" t="s">
        <v>99</v>
      </c>
      <c r="CH2" s="7" t="s">
        <v>58</v>
      </c>
      <c r="CI2" s="7" t="s">
        <v>59</v>
      </c>
      <c r="CJ2" s="8" t="s">
        <v>105</v>
      </c>
      <c r="CK2" s="8" t="s">
        <v>101</v>
      </c>
      <c r="CL2" s="8" t="s">
        <v>102</v>
      </c>
      <c r="CM2" s="8" t="s">
        <v>103</v>
      </c>
      <c r="CN2" s="9" t="s">
        <v>104</v>
      </c>
      <c r="CO2" s="68" t="s">
        <v>86</v>
      </c>
      <c r="CP2" s="69" t="s">
        <v>87</v>
      </c>
      <c r="CQ2" s="6" t="s">
        <v>90</v>
      </c>
      <c r="CR2" s="6" t="s">
        <v>91</v>
      </c>
      <c r="CS2" s="6" t="s">
        <v>91</v>
      </c>
      <c r="CT2" s="6" t="s">
        <v>92</v>
      </c>
      <c r="CU2" s="6" t="s">
        <v>93</v>
      </c>
      <c r="CV2" s="6" t="s">
        <v>94</v>
      </c>
      <c r="CW2" s="6" t="s">
        <v>88</v>
      </c>
      <c r="CX2" s="6" t="s">
        <v>95</v>
      </c>
      <c r="CY2" s="6" t="s">
        <v>96</v>
      </c>
      <c r="CZ2" s="6" t="s">
        <v>97</v>
      </c>
      <c r="DA2" s="7" t="s">
        <v>98</v>
      </c>
      <c r="DB2" s="8" t="s">
        <v>99</v>
      </c>
      <c r="DC2" s="7" t="s">
        <v>58</v>
      </c>
      <c r="DD2" s="7" t="s">
        <v>59</v>
      </c>
      <c r="DE2" s="8" t="s">
        <v>105</v>
      </c>
      <c r="DF2" s="8" t="s">
        <v>101</v>
      </c>
      <c r="DG2" s="8" t="s">
        <v>102</v>
      </c>
      <c r="DH2" s="8" t="s">
        <v>103</v>
      </c>
      <c r="DI2" s="9" t="s">
        <v>104</v>
      </c>
      <c r="DJ2" s="68" t="s">
        <v>86</v>
      </c>
      <c r="DK2" s="69" t="s">
        <v>87</v>
      </c>
      <c r="DL2" s="6" t="s">
        <v>90</v>
      </c>
      <c r="DM2" s="6" t="s">
        <v>91</v>
      </c>
      <c r="DN2" s="6" t="s">
        <v>91</v>
      </c>
      <c r="DO2" s="6" t="s">
        <v>92</v>
      </c>
      <c r="DP2" s="6" t="s">
        <v>93</v>
      </c>
      <c r="DQ2" s="6" t="s">
        <v>94</v>
      </c>
      <c r="DR2" s="6" t="s">
        <v>88</v>
      </c>
      <c r="DS2" s="6" t="s">
        <v>95</v>
      </c>
      <c r="DT2" s="6" t="s">
        <v>96</v>
      </c>
      <c r="DU2" s="6" t="s">
        <v>97</v>
      </c>
      <c r="DV2" s="7" t="s">
        <v>98</v>
      </c>
      <c r="DW2" s="8" t="s">
        <v>99</v>
      </c>
      <c r="DX2" s="7" t="s">
        <v>58</v>
      </c>
      <c r="DY2" s="7" t="s">
        <v>59</v>
      </c>
      <c r="DZ2" s="8" t="s">
        <v>105</v>
      </c>
      <c r="EA2" s="8" t="s">
        <v>101</v>
      </c>
      <c r="EB2" s="8" t="s">
        <v>102</v>
      </c>
      <c r="EC2" s="8" t="s">
        <v>103</v>
      </c>
      <c r="ED2" s="9" t="s">
        <v>104</v>
      </c>
      <c r="EE2" s="68" t="s">
        <v>86</v>
      </c>
      <c r="EF2" s="69" t="s">
        <v>87</v>
      </c>
      <c r="EG2" s="6" t="s">
        <v>90</v>
      </c>
      <c r="EH2" s="6" t="s">
        <v>91</v>
      </c>
      <c r="EI2" s="6" t="s">
        <v>91</v>
      </c>
      <c r="EJ2" s="6" t="s">
        <v>92</v>
      </c>
      <c r="EK2" s="6" t="s">
        <v>93</v>
      </c>
      <c r="EL2" s="6" t="s">
        <v>94</v>
      </c>
      <c r="EM2" s="6" t="s">
        <v>88</v>
      </c>
      <c r="EN2" s="6" t="s">
        <v>95</v>
      </c>
      <c r="EO2" s="6" t="s">
        <v>96</v>
      </c>
      <c r="EP2" s="6" t="s">
        <v>97</v>
      </c>
      <c r="EQ2" s="7" t="s">
        <v>98</v>
      </c>
      <c r="ER2" s="8" t="s">
        <v>99</v>
      </c>
      <c r="ES2" s="7" t="s">
        <v>58</v>
      </c>
      <c r="ET2" s="7" t="s">
        <v>59</v>
      </c>
      <c r="EU2" s="8" t="s">
        <v>105</v>
      </c>
      <c r="EV2" s="8" t="s">
        <v>101</v>
      </c>
      <c r="EW2" s="8" t="s">
        <v>102</v>
      </c>
      <c r="EX2" s="8" t="s">
        <v>103</v>
      </c>
      <c r="EY2" s="9" t="s">
        <v>104</v>
      </c>
      <c r="EZ2" s="68" t="s">
        <v>86</v>
      </c>
      <c r="FA2" s="69" t="s">
        <v>87</v>
      </c>
      <c r="FB2" s="6" t="s">
        <v>90</v>
      </c>
      <c r="FC2" s="6" t="s">
        <v>91</v>
      </c>
      <c r="FD2" s="6" t="s">
        <v>91</v>
      </c>
      <c r="FE2" s="6" t="s">
        <v>92</v>
      </c>
      <c r="FF2" s="6" t="s">
        <v>93</v>
      </c>
      <c r="FG2" s="6" t="s">
        <v>94</v>
      </c>
      <c r="FH2" s="6" t="s">
        <v>88</v>
      </c>
      <c r="FI2" s="6" t="s">
        <v>95</v>
      </c>
      <c r="FJ2" s="6" t="s">
        <v>96</v>
      </c>
      <c r="FK2" s="6" t="s">
        <v>97</v>
      </c>
      <c r="FL2" s="7" t="s">
        <v>98</v>
      </c>
      <c r="FM2" s="8" t="s">
        <v>99</v>
      </c>
      <c r="FN2" s="7" t="s">
        <v>58</v>
      </c>
      <c r="FO2" s="7" t="s">
        <v>59</v>
      </c>
      <c r="FP2" s="8" t="s">
        <v>106</v>
      </c>
      <c r="FQ2" s="8" t="s">
        <v>101</v>
      </c>
      <c r="FR2" s="8" t="s">
        <v>102</v>
      </c>
      <c r="FS2" s="8" t="s">
        <v>103</v>
      </c>
      <c r="FT2" s="9" t="s">
        <v>104</v>
      </c>
      <c r="FU2" s="68" t="s">
        <v>86</v>
      </c>
      <c r="FV2" s="69" t="s">
        <v>87</v>
      </c>
      <c r="FW2" s="6" t="s">
        <v>90</v>
      </c>
      <c r="FX2" s="6" t="s">
        <v>91</v>
      </c>
      <c r="FY2" s="6" t="s">
        <v>91</v>
      </c>
      <c r="FZ2" s="6" t="s">
        <v>92</v>
      </c>
      <c r="GA2" s="6" t="s">
        <v>93</v>
      </c>
      <c r="GB2" s="6" t="s">
        <v>94</v>
      </c>
      <c r="GC2" s="6" t="s">
        <v>88</v>
      </c>
      <c r="GD2" s="6" t="s">
        <v>95</v>
      </c>
      <c r="GE2" s="6" t="s">
        <v>96</v>
      </c>
      <c r="GF2" s="6" t="s">
        <v>97</v>
      </c>
      <c r="GG2" s="7" t="s">
        <v>98</v>
      </c>
      <c r="GH2" s="8" t="s">
        <v>99</v>
      </c>
      <c r="GI2" s="7" t="s">
        <v>58</v>
      </c>
      <c r="GJ2" s="7" t="s">
        <v>59</v>
      </c>
      <c r="GK2" s="8" t="s">
        <v>105</v>
      </c>
      <c r="GL2" s="8" t="s">
        <v>101</v>
      </c>
      <c r="GM2" s="8" t="s">
        <v>102</v>
      </c>
      <c r="GN2" s="8" t="s">
        <v>103</v>
      </c>
      <c r="GO2" s="8" t="s">
        <v>104</v>
      </c>
      <c r="GP2" s="68" t="s">
        <v>86</v>
      </c>
      <c r="GQ2" s="69" t="s">
        <v>87</v>
      </c>
      <c r="GR2" s="6" t="s">
        <v>90</v>
      </c>
      <c r="GS2" s="6" t="s">
        <v>91</v>
      </c>
      <c r="GT2" s="6" t="s">
        <v>91</v>
      </c>
      <c r="GU2" s="6" t="s">
        <v>92</v>
      </c>
      <c r="GV2" s="6" t="s">
        <v>93</v>
      </c>
      <c r="GW2" s="6" t="s">
        <v>94</v>
      </c>
      <c r="GX2" s="6" t="s">
        <v>88</v>
      </c>
      <c r="GY2" s="6" t="s">
        <v>95</v>
      </c>
      <c r="GZ2" s="6" t="s">
        <v>96</v>
      </c>
      <c r="HA2" s="6" t="s">
        <v>97</v>
      </c>
      <c r="HB2" s="7" t="s">
        <v>98</v>
      </c>
      <c r="HC2" s="8" t="s">
        <v>99</v>
      </c>
      <c r="HD2" s="7" t="s">
        <v>58</v>
      </c>
      <c r="HE2" s="7" t="s">
        <v>59</v>
      </c>
      <c r="HF2" s="8" t="s">
        <v>105</v>
      </c>
      <c r="HG2" s="8" t="s">
        <v>101</v>
      </c>
      <c r="HH2" s="8" t="s">
        <v>102</v>
      </c>
      <c r="HI2" s="8" t="s">
        <v>103</v>
      </c>
      <c r="HJ2" s="9" t="s">
        <v>104</v>
      </c>
    </row>
    <row r="3" spans="1:218" x14ac:dyDescent="0.3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452.67426184967104</v>
      </c>
      <c r="T3" s="59">
        <f>IF('Données projet'!E9&gt;30,$R$33-$H$33,LOOKUP('Données projet'!$E$9,$A$3:$A$203,R3:R203)-LOOKUP('Données projet'!$E$9,$A$3:$A$203,$H$3:$H$203))</f>
        <v>310.47823616327639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528.45201982036087</v>
      </c>
      <c r="AO3" s="59">
        <f>IF('Données projet'!E10&gt;30,$AM$33-$H$33,LOOKUP('Données projet'!$E$10,$A$3:$A$203,AM3:AM203)-LOOKUP('Données projet'!$E$10,$A$3:$A$203,$H$3:$H$203))</f>
        <v>321.23004033257985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289.06522051625166</v>
      </c>
      <c r="BJ3" s="59">
        <f>IF('Données projet'!E11&gt;30,$BH$33-$H$33,LOOKUP('Données projet'!$E$11,$A$3:$A$203,BH3:BH203)-LOOKUP('Données projet'!$E$11,$A$3:$A$203,$H$3:$H$203))</f>
        <v>173.19148969173838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306.06916761900357</v>
      </c>
      <c r="CE3" s="59">
        <f>IF('Données projet'!E12&gt;30,$CC$33-$H$33,LOOKUP('Données projet'!$E$12,$A$3:$A$203,CC3:CC203)-LOOKUP('Données projet'!$E$12,$A$3:$A$203,$H$3:$H$203))</f>
        <v>258.90832875500337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324.58754156328285</v>
      </c>
      <c r="CZ3" s="59">
        <f>IF('Données projet'!E13&gt;30,$CX$33-$H$33,LOOKUP('Données projet'!$E$13,$A$3:$A$203,CX3:CX203)-LOOKUP('Données projet'!$E$13,$A$3:$A$203,$H$3:$H$203))</f>
        <v>226.01037731977604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325.93182817189722</v>
      </c>
      <c r="DU3" s="59">
        <f>IF('Données projet'!E14&gt;30,$DS$33-$H$33,LOOKUP('Données projet'!$E$14,$A$3:$A$203,DS3:DS203)-LOOKUP('Données projet'!$E$14,$A$3:$A$203,$H$3:$H$203))</f>
        <v>280.04509991782709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165</v>
      </c>
      <c r="EO3" s="59">
        <f ca="1">AVERAGE(OFFSET($EN$3,0,0,'Données projet'!$E$15+1,1))-AVERAGE(OFFSET($H$3,0,0,'Données projet'!$E$15+1,1))</f>
        <v>333.52903437536651</v>
      </c>
      <c r="EP3" s="59">
        <f>IF('Données projet'!E15&gt;30,$EN$33-$H$33,LOOKUP('Données projet'!$E$15,$A$3:$A$203,EN3:EN203)-LOOKUP('Données projet'!$E$15,$A$3:$A$203,$H$3:$H$203))</f>
        <v>359.47288701414777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165</v>
      </c>
      <c r="FJ3" s="59">
        <f ca="1">AVERAGE(OFFSET($FI$3,0,0,'Données projet'!$E$16+1,1))-AVERAGE(OFFSET($H$3,0,0,'Données projet'!$E$16+1,1))</f>
        <v>313.26988717307376</v>
      </c>
      <c r="FK3" s="59">
        <f>IF('Données projet'!E16&gt;30,$FI$33-$H$33,LOOKUP('Données projet'!$E$16,$A$3:$A$203,FI3:FI203)-LOOKUP('Données projet'!$E$16,$A$3:$A$203,$H$3:$H$203))</f>
        <v>248.17359813993201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165</v>
      </c>
      <c r="GE3" s="59">
        <f ca="1">AVERAGE(OFFSET($GD$3,0,0,'Données projet'!$E$17+1,1))-AVERAGE(OFFSET($H$3,0,0,'Données projet'!$E$17+1,1))</f>
        <v>313.51355235711543</v>
      </c>
      <c r="GF3" s="59">
        <f>IF('Données projet'!E17&gt;30,$GD$33-$H$33,LOOKUP('Données projet'!$E$17,$A$3:$A$203,GD3:GD203)-LOOKUP('Données projet'!$E$17,$A$3:$A$203,$H$3:$H$203))</f>
        <v>186.0840067781198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2.85</v>
      </c>
      <c r="N4" s="13">
        <f>IF('Données projet'!$A$36&gt;35,N3+M4-V3,IF(A4&lt;'Données projet'!$A$36,$K$205^A4,IF(A4='Données projet'!$A$36,'Données projet'!$B$36,N3+M4-V3)))</f>
        <v>1.2240347367580502</v>
      </c>
      <c r="O4" s="13">
        <f>N4*VLOOKUP('Données projet'!$B$9,Paramètres!$A$1:$I$89,3,0)*VLOOKUP('Données projet'!$B$9,Paramètres!$A$1:$I$89,5,0)</f>
        <v>1.241171223072663</v>
      </c>
      <c r="P4" s="13">
        <f>EXP(-1.0587+0.8836*LN(O4)+0.284)</f>
        <v>0.55777847815346437</v>
      </c>
      <c r="Q4" s="20">
        <f t="shared" ref="Q4:Q34" si="2">(O4+P4)*0.475*44/12</f>
        <v>3.1331707296355051</v>
      </c>
      <c r="R4" s="59">
        <f t="shared" si="0"/>
        <v>170.94560468255935</v>
      </c>
      <c r="S4" s="59">
        <f ca="1">AVERAGE(OFFSET($R$3,0,0,'Données projet'!$E$9+1,1))-AVERAGE(OFFSET($H$3,0,0,'Données projet'!$E$9+1,1))</f>
        <v>452.67426184967104</v>
      </c>
      <c r="T4" s="59">
        <f>$T$3</f>
        <v>310.47823616327639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2.0085470085470085</v>
      </c>
      <c r="AI4" s="13">
        <f>IF('Données projet'!$A$62&gt;35,AI3+AH4-AQ3,IF(A4&lt;'Données projet'!$A$62,$AF$205^A4,IF(A4='Données projet'!$A$62,'Données projet'!$B$62,AI3+AH4-AQ3)))</f>
        <v>1.2548684989282006</v>
      </c>
      <c r="AJ4" s="13">
        <f>AI4*VLOOKUP('Données projet'!$B$10,Paramètres!$A$1:$I$89,3,0)*VLOOKUP('Données projet'!$B$10,Paramètres!$A$1:$I$89,5,0)</f>
        <v>1.3115885550797555</v>
      </c>
      <c r="AK4" s="13">
        <f>EXP(-1.0587+0.8836*LN(AJ4)+0.284)</f>
        <v>0.5856498554818651</v>
      </c>
      <c r="AL4" s="20">
        <f t="shared" ref="AL4:AL67" si="4">(AJ4+AK4)*0.475*44/12</f>
        <v>3.3043568983948219</v>
      </c>
      <c r="AM4" s="59">
        <f t="shared" ref="AM4:AM67" si="5">AL4+(AD4+AE4)*44/12</f>
        <v>171.11679085131865</v>
      </c>
      <c r="AN4" s="59">
        <f ca="1">AVERAGE(OFFSET($AM$3,0,0,'Données projet'!$E$10+1,1))-AVERAGE(OFFSET($H$3,0,0,'Données projet'!$E$10+1,1))</f>
        <v>528.45201982036087</v>
      </c>
      <c r="AO4" s="59">
        <f>$AO$3</f>
        <v>321.23004033257985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1.05</v>
      </c>
      <c r="BD4" s="12">
        <f>IF('Données projet'!$A$88&gt;35,BD3+BC4-BL3,IF(A4&lt;'Données projet'!$A$88,$BA$205^A4,IF(A4='Données projet'!$A$88,'Données projet'!$B$88,BD3+BC4-BL3)))</f>
        <v>1.1644235083052243</v>
      </c>
      <c r="BE4" s="13">
        <f>BD4*VLOOKUP('Données projet'!$B$11,Paramètres!$A$1:$I$89,3,0)*VLOOKUP('Données projet'!$B$11,Paramètres!$A$1:$I$89,5,0)</f>
        <v>1.126230417232813</v>
      </c>
      <c r="BF4" s="13">
        <f>EXP(-1.0587+0.8836*LN(BE4)+0.284)</f>
        <v>0.51188205554259503</v>
      </c>
      <c r="BG4" s="20">
        <f t="shared" ref="BG4:BG67" si="7">(BE4+BF4)*0.475*44/12</f>
        <v>2.8530458900838358</v>
      </c>
      <c r="BH4" s="59">
        <f t="shared" ref="BH4:BH67" si="8">BG4+(AY4+AZ4)*44/12</f>
        <v>170.66547984300769</v>
      </c>
      <c r="BI4" s="59">
        <f ca="1">AVERAGE(OFFSET($BH$3,0,0,'Données projet'!$E$11+1,1))-AVERAGE(OFFSET($H$3,0,0,'Données projet'!$E$11+1,1))</f>
        <v>289.06522051625166</v>
      </c>
      <c r="BJ4" s="59">
        <f>$BJ$3</f>
        <v>173.19148969173838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3.45</v>
      </c>
      <c r="BY4" s="12">
        <f>IF('Données projet'!$A$114&gt;35,BY3+BX4-CG3,IF(A4&lt;'Données projet'!$A$114,$BV$205^A4,IF(A4='Données projet'!$A$114,'Données projet'!$B$114,BY3+BX4-CG3)))</f>
        <v>1.2357836771486921</v>
      </c>
      <c r="BZ4" s="13">
        <f>BY4*VLOOKUP('Données projet'!$B$12,Paramètres!$A$1:$I$89,3,0)*VLOOKUP('Données projet'!$B$12,Paramètres!$A$1:$I$89,5,0)</f>
        <v>1.0024677189030191</v>
      </c>
      <c r="CA4" s="13">
        <f>EXP(-1.0587+0.8836*LN(BZ4)+0.284)</f>
        <v>0.46184672382447473</v>
      </c>
      <c r="CB4" s="20">
        <f t="shared" ref="CB4:CB67" si="10">(BZ4+CA4)*0.475*44/12</f>
        <v>2.550347654417052</v>
      </c>
      <c r="CC4" s="59">
        <f t="shared" ref="CC4:CC67" si="11">CB4+(BT4+BU4)*44/12</f>
        <v>170.36278160734088</v>
      </c>
      <c r="CD4" s="59">
        <f ca="1">AVERAGE(OFFSET($CC$3,0,0,'Données projet'!$E$12+1,1))-AVERAGE(OFFSET($H$3,0,0,'Données projet'!$E$12+1,1))</f>
        <v>306.06916761900357</v>
      </c>
      <c r="CE4" s="59">
        <f>$CE$3</f>
        <v>258.90832875500337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2.85</v>
      </c>
      <c r="CT4" s="12">
        <f>IF('Données projet'!$A$140&gt;35,CT3+CS4-DB3,IF(A4&lt;'Données projet'!$A$140,$CQ$205^A4,IF(A4='Données projet'!$A$140,'Données projet'!$B$140,CT3+CS4-DB3)))</f>
        <v>1.2240347367580502</v>
      </c>
      <c r="CU4" s="17">
        <f>CT4*VLOOKUP('Données projet'!$B$13,Paramètres!$A$1:$I$89,3,0)*VLOOKUP('Données projet'!$B$13,Paramètres!$A$1:$I$89,5,0)</f>
        <v>0.82108250141729999</v>
      </c>
      <c r="CV4" s="13">
        <f>EXP(-1.0587+0.8836*LN(CU4)+0.284)</f>
        <v>0.38717226436554053</v>
      </c>
      <c r="CW4" s="20">
        <f t="shared" ref="CW4:CW67" si="13">(CU4+CV4)*0.475*44/12</f>
        <v>2.1043770504051134</v>
      </c>
      <c r="CX4" s="59">
        <f t="shared" ref="CX4:CX67" si="14">CW4+(CO4+CP4)*44/12</f>
        <v>169.91681100332895</v>
      </c>
      <c r="CY4" s="59">
        <f ca="1">AVERAGE(OFFSET($CX$3,0,0,'Données projet'!$E$13+1,1))-AVERAGE(OFFSET($H$3,0,0,'Données projet'!$E$13+1,1))</f>
        <v>324.58754156328285</v>
      </c>
      <c r="CZ4" s="59">
        <f>$CZ$3</f>
        <v>226.01037731977604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7.2264102564102561</v>
      </c>
      <c r="DO4" s="12">
        <f>IF('Données projet'!$A$166&gt;35,DO3+DN4-DW3,IF(A4&lt;'Données projet'!$A$166,$DL$205^A4,IF(A4='Données projet'!$A$166,'Données projet'!$B$166,DO3+DN4-DW3)))</f>
        <v>1.1963772029987372</v>
      </c>
      <c r="DP4" s="17">
        <f>DO4*VLOOKUP('Données projet'!$B$14,Paramètres!$A$1:$I$89,3,0)*VLOOKUP('Données projet'!$B$14,Paramètres!$A$1:$I$89,5,0)</f>
        <v>0.55990453100340898</v>
      </c>
      <c r="DQ4" s="13">
        <f>EXP(-1.0587+0.8836*LN(DP4)+0.284)</f>
        <v>0.2760486193577778</v>
      </c>
      <c r="DR4" s="20">
        <f t="shared" ref="DR4:DR67" si="16">(DP4+DQ4)*0.475*44/12</f>
        <v>1.4559517368790669</v>
      </c>
      <c r="DS4" s="59">
        <f t="shared" ref="DS4:DS67" si="17">DR4+(DJ4+DK4)*44/12</f>
        <v>169.2683856898029</v>
      </c>
      <c r="DT4" s="59">
        <f ca="1">AVERAGE(OFFSET($DS$3,0,0,'Données projet'!$E$14+1,1))-AVERAGE(OFFSET($H$3,0,0,'Données projet'!$E$14+1,1))</f>
        <v>325.93182817189722</v>
      </c>
      <c r="DU4" s="59">
        <f>$DU$3</f>
        <v>280.04509991782709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4.75</v>
      </c>
      <c r="EJ4" s="12">
        <f>IF('Données projet'!$A$192&gt;35,EJ3+EI4-ER3,IF(A4&lt;'Données projet'!$A$192,$EG$205^A4,IF(A4='Données projet'!$A$192,'Données projet'!$B$192,EJ3+EI4-ER3)))</f>
        <v>1.2557008269631629</v>
      </c>
      <c r="EK4" s="17">
        <f>EJ4*VLOOKUP('Données projet'!$B$15,Paramètres!$A$1:$I$89,3,0)*VLOOKUP('Données projet'!$B$15,Paramètres!$A$1:$I$89,5,0)</f>
        <v>0.99903557793189246</v>
      </c>
      <c r="EL4" s="13">
        <f>EXP(-1.0587+0.8836*LN(EK4)+0.284)</f>
        <v>0.46044927814777026</v>
      </c>
      <c r="EM4" s="20">
        <f t="shared" ref="EM4:EM67" si="19">(EK4+EL4)*0.475*44/12</f>
        <v>2.5419361243387457</v>
      </c>
      <c r="EN4" s="59">
        <f t="shared" ref="EN4:EN67" si="20">EM4+(EE4+EF4)*44/12</f>
        <v>170.35437007726259</v>
      </c>
      <c r="EO4" s="59">
        <f ca="1">AVERAGE(OFFSET($EN$3,0,0,'Données projet'!$E$15+1,1))-AVERAGE(OFFSET($H$3,0,0,'Données projet'!$E$15+1,1))</f>
        <v>333.52903437536651</v>
      </c>
      <c r="EP4" s="59">
        <f>$EP$3</f>
        <v>359.47288701414777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2.3805128205128203</v>
      </c>
      <c r="FE4" s="12">
        <f>IF('Données projet'!$A$218&gt;35,FE3+FD4-FM3,IF(A4&lt;'Données projet'!$A$218,$FB$205^A4,IF(A4='Données projet'!$A$218,'Données projet'!$B$218,FE3+FD4-FM3)))</f>
        <v>1.2691631451226497</v>
      </c>
      <c r="FF4" s="17">
        <f>FE4*VLOOKUP('Données projet'!$B$16,Paramètres!$A$1:$I$89,3,0)*VLOOKUP('Données projet'!$B$16,Paramètres!$A$1:$I$89,5,0)</f>
        <v>0.75895956078334459</v>
      </c>
      <c r="FG4" s="13">
        <f>EXP(-1.0587+0.8836*LN(FF4)+0.284)</f>
        <v>0.36117131619841292</v>
      </c>
      <c r="FH4" s="20">
        <f t="shared" ref="FH4:FH67" si="22">(FF4+FG4)*0.475*44/12</f>
        <v>1.9508946107432275</v>
      </c>
      <c r="FI4" s="59">
        <f t="shared" ref="FI4:FI67" si="23">FH4+(EZ4+FA4)*44/12</f>
        <v>169.76332856366707</v>
      </c>
      <c r="FJ4" s="59">
        <f ca="1">AVERAGE(OFFSET($FI$3,0,0,'Données projet'!$E$16+1,1))-AVERAGE(OFFSET($H$3,0,0,'Données projet'!$E$16+1,1))</f>
        <v>313.26988717307376</v>
      </c>
      <c r="FK4" s="59">
        <f>$FK$3</f>
        <v>248.17359813993201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1.05</v>
      </c>
      <c r="FZ4" s="12">
        <f>IF('Données projet'!$A$244&gt;35,FZ3+FY4-GH3,IF(A4&lt;'Données projet'!$A$244,$FW$205^A4,IF(A4='Données projet'!$A$244,'Données projet'!$B$244,FZ3+FY4-GH3)))</f>
        <v>1.1644235083052243</v>
      </c>
      <c r="GA4" s="17">
        <f>FZ4*VLOOKUP('Données projet'!$B$17,Paramètres!$A$1:$I$89,3,0)*VLOOKUP('Données projet'!$B$17,Paramètres!$A$1:$I$89,5,0)</f>
        <v>1.2533854643397435</v>
      </c>
      <c r="GB4" s="13">
        <f>EXP(-1.0587+0.8836*LN(GA4)+0.284)</f>
        <v>0.56262582787929238</v>
      </c>
      <c r="GC4" s="20">
        <f t="shared" ref="GC4:GC67" si="25">(GA4+GB4)*0.475*44/12</f>
        <v>3.1628863339481534</v>
      </c>
      <c r="GD4" s="59">
        <f t="shared" ref="GD4:GD67" si="26">GC4+(FU4+FV4)*44/12</f>
        <v>170.97532028687201</v>
      </c>
      <c r="GE4" s="59">
        <f ca="1">AVERAGE(OFFSET($GD$3,0,0,'Données projet'!$E$17+1,1))-AVERAGE(OFFSET($H$3,0,0,'Données projet'!$E$17+1,1))</f>
        <v>313.51355235711543</v>
      </c>
      <c r="GF4" s="59">
        <f>$GF$3</f>
        <v>186.0840067781198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2.85</v>
      </c>
      <c r="N5" s="13">
        <f>IF('Données projet'!$A$36&gt;35,N4+M5-V4,IF(A5&lt;'Données projet'!$A$36,$K$205^A5,IF(A5='Données projet'!$A$36,'Données projet'!$B$36,N4+M5-V4)))</f>
        <v>1.4982610367903493</v>
      </c>
      <c r="O5" s="13">
        <f>N5*VLOOKUP('Données projet'!$B$9,Paramètres!$A$1:$I$89,3,0)*VLOOKUP('Données projet'!$B$9,Paramètres!$A$1:$I$89,5,0)</f>
        <v>1.5192366913054143</v>
      </c>
      <c r="P5" s="13">
        <f t="shared" ref="P5:P68" si="33">EXP(-1.0587+0.8836*LN(O5)+0.284)</f>
        <v>0.66686251218853287</v>
      </c>
      <c r="Q5" s="20">
        <f t="shared" si="2"/>
        <v>3.8074561127519577</v>
      </c>
      <c r="R5" s="59">
        <f t="shared" si="0"/>
        <v>174.4047374002528</v>
      </c>
      <c r="S5" s="59">
        <f ca="1">AVERAGE(OFFSET($R$3,0,0,'Données projet'!$E$9+1,1))-AVERAGE(OFFSET($H$3,0,0,'Données projet'!$E$9+1,1))</f>
        <v>452.67426184967104</v>
      </c>
      <c r="T5" s="59">
        <f t="shared" ref="T5:T68" si="34">$T$3</f>
        <v>310.47823616327639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2.0085470085470085</v>
      </c>
      <c r="AI5" s="13">
        <f>IF('Données projet'!$A$62&gt;35,AI4+AH5-AQ4,IF(A5&lt;'Données projet'!$A$62,$AF$205^A5,IF(A5='Données projet'!$A$62,'Données projet'!$B$62,AI4+AH5-AQ4)))</f>
        <v>1.5746949496023155</v>
      </c>
      <c r="AJ5" s="13">
        <f>AI5*VLOOKUP('Données projet'!$B$10,Paramètres!$A$1:$I$89,3,0)*VLOOKUP('Données projet'!$B$10,Paramètres!$A$1:$I$89,5,0)</f>
        <v>1.6458711613243404</v>
      </c>
      <c r="AK5" s="13">
        <f t="shared" ref="AK5:AK68" si="35">EXP(-1.0587+0.8836*LN(AJ5)+0.284)</f>
        <v>0.71574681686586372</v>
      </c>
      <c r="AL5" s="20">
        <f t="shared" si="4"/>
        <v>4.1131513120146055</v>
      </c>
      <c r="AM5" s="59">
        <f t="shared" si="5"/>
        <v>174.71043259951543</v>
      </c>
      <c r="AN5" s="59">
        <f ca="1">AVERAGE(OFFSET($AM$3,0,0,'Données projet'!$E$10+1,1))-AVERAGE(OFFSET($H$3,0,0,'Données projet'!$E$10+1,1))</f>
        <v>528.45201982036087</v>
      </c>
      <c r="AO5" s="59">
        <f t="shared" ref="AO5:AO68" si="36">$AO$3</f>
        <v>321.23004033257985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1.05</v>
      </c>
      <c r="BD5" s="12">
        <f>IF('Données projet'!$A$88&gt;35,BD4+BC5-BL4,IF(A5&lt;'Données projet'!$A$88,$BA$205^A5,IF(A5='Données projet'!$A$88,'Données projet'!$B$88,BD4+BC5-BL4)))</f>
        <v>1.3558821066938469</v>
      </c>
      <c r="BE5" s="13">
        <f>BD5*VLOOKUP('Données projet'!$B$11,Paramètres!$A$1:$I$89,3,0)*VLOOKUP('Données projet'!$B$11,Paramètres!$A$1:$I$89,5,0)</f>
        <v>1.3114091735942888</v>
      </c>
      <c r="BF5" s="13">
        <f t="shared" ref="BF5:BF68" si="37">EXP(-1.0587+0.8836*LN(BE5)+0.284)</f>
        <v>0.58557908091788968</v>
      </c>
      <c r="BG5" s="20">
        <f t="shared" si="7"/>
        <v>3.3039212099420436</v>
      </c>
      <c r="BH5" s="59">
        <f t="shared" si="8"/>
        <v>173.90120249744288</v>
      </c>
      <c r="BI5" s="59">
        <f ca="1">AVERAGE(OFFSET($BH$3,0,0,'Données projet'!$E$11+1,1))-AVERAGE(OFFSET($H$3,0,0,'Données projet'!$E$11+1,1))</f>
        <v>289.06522051625166</v>
      </c>
      <c r="BJ5" s="59">
        <f t="shared" ref="BJ5:BJ68" si="38">$BJ$3</f>
        <v>173.19148969173838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3.45</v>
      </c>
      <c r="BY5" s="12">
        <f>IF('Données projet'!$A$114&gt;35,BY4+BX5-CG4,IF(A5&lt;'Données projet'!$A$114,$BV$205^A5,IF(A5='Données projet'!$A$114,'Données projet'!$B$114,BY4+BX5-CG4)))</f>
        <v>1.5271612967071428</v>
      </c>
      <c r="BZ5" s="13">
        <f>BY5*VLOOKUP('Données projet'!$B$12,Paramètres!$A$1:$I$89,3,0)*VLOOKUP('Données projet'!$B$12,Paramètres!$A$1:$I$89,5,0)</f>
        <v>1.2388332438888345</v>
      </c>
      <c r="CA5" s="13">
        <f t="shared" ref="CA5:CA68" si="39">EXP(-1.0587+0.8836*LN(BZ5)+0.284)</f>
        <v>0.55684999496347387</v>
      </c>
      <c r="CB5" s="20">
        <f t="shared" si="10"/>
        <v>3.1274816410011042</v>
      </c>
      <c r="CC5" s="59">
        <f t="shared" si="11"/>
        <v>173.72476292850195</v>
      </c>
      <c r="CD5" s="59">
        <f ca="1">AVERAGE(OFFSET($CC$3,0,0,'Données projet'!$E$12+1,1))-AVERAGE(OFFSET($H$3,0,0,'Données projet'!$E$12+1,1))</f>
        <v>306.06916761900357</v>
      </c>
      <c r="CE5" s="59">
        <f t="shared" ref="CE5:CE68" si="40">$CE$3</f>
        <v>258.90832875500337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2.85</v>
      </c>
      <c r="CT5" s="12">
        <f>IF('Données projet'!$A$140&gt;35,CT4+CS5-DB4,IF(A5&lt;'Données projet'!$A$140,$CQ$205^A5,IF(A5='Données projet'!$A$140,'Données projet'!$B$140,CT4+CS5-DB4)))</f>
        <v>1.4982610367903493</v>
      </c>
      <c r="CU5" s="17">
        <f>CT5*VLOOKUP('Données projet'!$B$13,Paramètres!$A$1:$I$89,3,0)*VLOOKUP('Données projet'!$B$13,Paramètres!$A$1:$I$89,5,0)</f>
        <v>1.0050335034789664</v>
      </c>
      <c r="CV5" s="13">
        <f t="shared" ref="CV5:CV68" si="41">EXP(-1.0587+0.8836*LN(CU5)+0.284)</f>
        <v>0.46289105617569187</v>
      </c>
      <c r="CW5" s="20">
        <f t="shared" si="13"/>
        <v>2.556635274731863</v>
      </c>
      <c r="CX5" s="59">
        <f t="shared" si="14"/>
        <v>173.15391656223269</v>
      </c>
      <c r="CY5" s="59">
        <f ca="1">AVERAGE(OFFSET($CX$3,0,0,'Données projet'!$E$13+1,1))-AVERAGE(OFFSET($H$3,0,0,'Données projet'!$E$13+1,1))</f>
        <v>324.58754156328285</v>
      </c>
      <c r="CZ5" s="59">
        <f t="shared" ref="CZ5:CZ68" si="42">$CZ$3</f>
        <v>226.01037731977604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7.2264102564102561</v>
      </c>
      <c r="DO5" s="12">
        <f>IF('Données projet'!$A$166&gt;35,DO4+DN5-DW4,IF(A5&lt;'Données projet'!$A$166,$DL$205^A5,IF(A5='Données projet'!$A$166,'Données projet'!$B$166,DO4+DN5-DW4)))</f>
        <v>1.4313184118550817</v>
      </c>
      <c r="DP5" s="17">
        <f>DO5*VLOOKUP('Données projet'!$B$14,Paramètres!$A$1:$I$89,3,0)*VLOOKUP('Données projet'!$B$14,Paramètres!$A$1:$I$89,5,0)</f>
        <v>0.66985701674817832</v>
      </c>
      <c r="DQ5" s="13">
        <f t="shared" ref="DQ5:DQ68" si="43">EXP(-1.0587+0.8836*LN(DP5)+0.284)</f>
        <v>0.32343711768198868</v>
      </c>
      <c r="DR5" s="20">
        <f t="shared" si="16"/>
        <v>1.729987284132541</v>
      </c>
      <c r="DS5" s="59">
        <f t="shared" si="17"/>
        <v>172.32726857163337</v>
      </c>
      <c r="DT5" s="59">
        <f ca="1">AVERAGE(OFFSET($DS$3,0,0,'Données projet'!$E$14+1,1))-AVERAGE(OFFSET($H$3,0,0,'Données projet'!$E$14+1,1))</f>
        <v>325.93182817189722</v>
      </c>
      <c r="DU5" s="59">
        <f t="shared" ref="DU5:DU68" si="44">$DU$3</f>
        <v>280.04509991782709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4.75</v>
      </c>
      <c r="EJ5" s="12">
        <f>IF('Données projet'!$A$192&gt;35,EJ4+EI5-ER4,IF(A5&lt;'Données projet'!$A$192,$EG$205^A5,IF(A5='Données projet'!$A$192,'Données projet'!$B$192,EJ4+EI5-ER4)))</f>
        <v>1.576784566835971</v>
      </c>
      <c r="EK5" s="17">
        <f>EJ5*VLOOKUP('Données projet'!$B$15,Paramètres!$A$1:$I$89,3,0)*VLOOKUP('Données projet'!$B$15,Paramètres!$A$1:$I$89,5,0)</f>
        <v>1.2544898013746986</v>
      </c>
      <c r="EL5" s="13">
        <f t="shared" ref="EL5:EL68" si="45">EXP(-1.0587+0.8836*LN(EK5)+0.284)</f>
        <v>0.56306382382627529</v>
      </c>
      <c r="EM5" s="20">
        <f t="shared" si="19"/>
        <v>3.1655725638916965</v>
      </c>
      <c r="EN5" s="59">
        <f t="shared" si="20"/>
        <v>173.76285385139252</v>
      </c>
      <c r="EO5" s="59">
        <f ca="1">AVERAGE(OFFSET($EN$3,0,0,'Données projet'!$E$15+1,1))-AVERAGE(OFFSET($H$3,0,0,'Données projet'!$E$15+1,1))</f>
        <v>333.52903437536651</v>
      </c>
      <c r="EP5" s="59">
        <f t="shared" ref="EP5:EP68" si="46">$EP$3</f>
        <v>359.47288701414777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2.3805128205128203</v>
      </c>
      <c r="FE5" s="12">
        <f>IF('Données projet'!$A$218&gt;35,FE4+FD5-FM4,IF(A5&lt;'Données projet'!$A$218,$FB$205^A5,IF(A5='Données projet'!$A$218,'Données projet'!$B$218,FE4+FD5-FM4)))</f>
        <v>1.610775088937616</v>
      </c>
      <c r="FF5" s="17">
        <f>FE5*VLOOKUP('Données projet'!$B$16,Paramètres!$A$1:$I$89,3,0)*VLOOKUP('Données projet'!$B$16,Paramètres!$A$1:$I$89,5,0)</f>
        <v>0.96324350318469443</v>
      </c>
      <c r="FG5" s="13">
        <f t="shared" ref="FG5:FG68" si="47">EXP(-1.0587+0.8836*LN(FF5)+0.284)</f>
        <v>0.44584230224208238</v>
      </c>
      <c r="FH5" s="20">
        <f t="shared" si="22"/>
        <v>2.4541577777849692</v>
      </c>
      <c r="FI5" s="59">
        <f t="shared" si="23"/>
        <v>173.05143906528579</v>
      </c>
      <c r="FJ5" s="59">
        <f ca="1">AVERAGE(OFFSET($FI$3,0,0,'Données projet'!$E$16+1,1))-AVERAGE(OFFSET($H$3,0,0,'Données projet'!$E$16+1,1))</f>
        <v>313.26988717307376</v>
      </c>
      <c r="FK5" s="59">
        <f t="shared" ref="FK5:FK68" si="48">$FK$3</f>
        <v>248.17359813993201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1.05</v>
      </c>
      <c r="FZ5" s="12">
        <f>IF('Données projet'!$A$244&gt;35,FZ4+FY5-GH4,IF(A5&lt;'Données projet'!$A$244,$FW$205^A5,IF(A5='Données projet'!$A$244,'Données projet'!$B$244,FZ4+FY5-GH4)))</f>
        <v>1.3558821066938469</v>
      </c>
      <c r="GA5" s="17">
        <f>FZ5*VLOOKUP('Données projet'!$B$17,Paramètres!$A$1:$I$89,3,0)*VLOOKUP('Données projet'!$B$17,Paramètres!$A$1:$I$89,5,0)</f>
        <v>1.4594714996452569</v>
      </c>
      <c r="GB5" s="13">
        <f t="shared" ref="GB5:GB68" si="49">EXP(-1.0587+0.8836*LN(GA5)+0.284)</f>
        <v>0.64362856955591685</v>
      </c>
      <c r="GC5" s="20">
        <f t="shared" si="25"/>
        <v>3.6628992871920438</v>
      </c>
      <c r="GD5" s="59">
        <f t="shared" si="26"/>
        <v>174.26018057469287</v>
      </c>
      <c r="GE5" s="59">
        <f ca="1">AVERAGE(OFFSET($GD$3,0,0,'Données projet'!$E$17+1,1))-AVERAGE(OFFSET($H$3,0,0,'Données projet'!$E$17+1,1))</f>
        <v>313.51355235711543</v>
      </c>
      <c r="GF5" s="59">
        <f t="shared" ref="GF5:GF68" si="50">$GF$3</f>
        <v>186.0840067781198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2.85</v>
      </c>
      <c r="N6" s="13">
        <f>IF('Données projet'!$A$36&gt;35,N5+M6-V5,IF(A6&lt;'Données projet'!$A$36,$K$205^A6,IF(A6='Données projet'!$A$36,'Données projet'!$B$36,N5+M6-V5)))</f>
        <v>1.8339235537625185</v>
      </c>
      <c r="O6" s="13">
        <f>N6*VLOOKUP('Données projet'!$B$9,Paramètres!$A$1:$I$89,3,0)*VLOOKUP('Données projet'!$B$9,Paramètres!$A$1:$I$89,5,0)</f>
        <v>1.8595984835151937</v>
      </c>
      <c r="P6" s="13">
        <f t="shared" si="33"/>
        <v>0.79727997328725753</v>
      </c>
      <c r="Q6" s="20">
        <f t="shared" si="2"/>
        <v>4.6273966455976021</v>
      </c>
      <c r="R6" s="59">
        <f t="shared" si="0"/>
        <v>177.98241721548249</v>
      </c>
      <c r="S6" s="59">
        <f ca="1">AVERAGE(OFFSET($R$3,0,0,'Données projet'!$E$9+1,1))-AVERAGE(OFFSET($H$3,0,0,'Données projet'!$E$9+1,1))</f>
        <v>452.67426184967104</v>
      </c>
      <c r="T6" s="59">
        <f t="shared" si="34"/>
        <v>310.47823616327639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2.0085470085470085</v>
      </c>
      <c r="AI6" s="13">
        <f>IF('Données projet'!$A$62&gt;35,AI5+AH6-AQ5,IF(A6&lt;'Données projet'!$A$62,$AF$205^A6,IF(A6='Données projet'!$A$62,'Données projet'!$B$62,AI5+AH6-AQ5)))</f>
        <v>1.9760350876772761</v>
      </c>
      <c r="AJ6" s="13">
        <f>AI6*VLOOKUP('Données projet'!$B$10,Paramètres!$A$1:$I$89,3,0)*VLOOKUP('Données projet'!$B$10,Paramètres!$A$1:$I$89,5,0)</f>
        <v>2.0653518736402892</v>
      </c>
      <c r="AK6" s="13">
        <f t="shared" si="35"/>
        <v>0.87474367330306557</v>
      </c>
      <c r="AL6" s="20">
        <f t="shared" si="4"/>
        <v>5.1206664109263427</v>
      </c>
      <c r="AM6" s="59">
        <f t="shared" si="5"/>
        <v>178.47568698081122</v>
      </c>
      <c r="AN6" s="59">
        <f ca="1">AVERAGE(OFFSET($AM$3,0,0,'Données projet'!$E$10+1,1))-AVERAGE(OFFSET($H$3,0,0,'Données projet'!$E$10+1,1))</f>
        <v>528.45201982036087</v>
      </c>
      <c r="AO6" s="59">
        <f t="shared" si="36"/>
        <v>321.23004033257985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1.05</v>
      </c>
      <c r="BD6" s="12">
        <f>IF('Données projet'!$A$88&gt;35,BD5+BC6-BL5,IF(A6&lt;'Données projet'!$A$88,$BA$205^A6,IF(A6='Données projet'!$A$88,'Données projet'!$B$88,BD5+BC6-BL5)))</f>
        <v>1.5788209995247278</v>
      </c>
      <c r="BE6" s="13">
        <f>BD6*VLOOKUP('Données projet'!$B$11,Paramètres!$A$1:$I$89,3,0)*VLOOKUP('Données projet'!$B$11,Paramètres!$A$1:$I$89,5,0)</f>
        <v>1.5270356707403168</v>
      </c>
      <c r="BF6" s="13">
        <f t="shared" si="37"/>
        <v>0.66988646367992577</v>
      </c>
      <c r="BG6" s="20">
        <f t="shared" si="7"/>
        <v>3.8263060507819229</v>
      </c>
      <c r="BH6" s="59">
        <f t="shared" si="8"/>
        <v>177.18132662066679</v>
      </c>
      <c r="BI6" s="59">
        <f ca="1">AVERAGE(OFFSET($BH$3,0,0,'Données projet'!$E$11+1,1))-AVERAGE(OFFSET($H$3,0,0,'Données projet'!$E$11+1,1))</f>
        <v>289.06522051625166</v>
      </c>
      <c r="BJ6" s="59">
        <f t="shared" si="38"/>
        <v>173.19148969173838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3.45</v>
      </c>
      <c r="BY6" s="12">
        <f>IF('Données projet'!$A$114&gt;35,BY5+BX6-CG5,IF(A6&lt;'Données projet'!$A$114,$BV$205^A6,IF(A6='Données projet'!$A$114,'Données projet'!$B$114,BY5+BX6-CG5)))</f>
        <v>1.8872410028439177</v>
      </c>
      <c r="BZ6" s="13">
        <f>BY6*VLOOKUP('Données projet'!$B$12,Paramètres!$A$1:$I$89,3,0)*VLOOKUP('Données projet'!$B$12,Paramètres!$A$1:$I$89,5,0)</f>
        <v>1.5309299015069862</v>
      </c>
      <c r="CA6" s="13">
        <f t="shared" si="39"/>
        <v>0.67139572696994554</v>
      </c>
      <c r="CB6" s="20">
        <f t="shared" si="10"/>
        <v>3.8357171362639897</v>
      </c>
      <c r="CC6" s="59">
        <f t="shared" si="11"/>
        <v>177.19073770614887</v>
      </c>
      <c r="CD6" s="59">
        <f ca="1">AVERAGE(OFFSET($CC$3,0,0,'Données projet'!$E$12+1,1))-AVERAGE(OFFSET($H$3,0,0,'Données projet'!$E$12+1,1))</f>
        <v>306.06916761900357</v>
      </c>
      <c r="CE6" s="59">
        <f t="shared" si="40"/>
        <v>258.90832875500337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2.85</v>
      </c>
      <c r="CT6" s="12">
        <f>IF('Données projet'!$A$140&gt;35,CT5+CS6-DB5,IF(A6&lt;'Données projet'!$A$140,$CQ$205^A6,IF(A6='Données projet'!$A$140,'Données projet'!$B$140,CT5+CS6-DB5)))</f>
        <v>1.8339235537625185</v>
      </c>
      <c r="CU6" s="17">
        <f>CT6*VLOOKUP('Données projet'!$B$13,Paramètres!$A$1:$I$89,3,0)*VLOOKUP('Données projet'!$B$13,Paramètres!$A$1:$I$89,5,0)</f>
        <v>1.2301959198638974</v>
      </c>
      <c r="CV6" s="13">
        <f t="shared" si="41"/>
        <v>0.55341807667594378</v>
      </c>
      <c r="CW6" s="20">
        <f t="shared" si="13"/>
        <v>3.1064610439735567</v>
      </c>
      <c r="CX6" s="59">
        <f t="shared" si="14"/>
        <v>176.46148161385844</v>
      </c>
      <c r="CY6" s="59">
        <f ca="1">AVERAGE(OFFSET($CX$3,0,0,'Données projet'!$E$13+1,1))-AVERAGE(OFFSET($H$3,0,0,'Données projet'!$E$13+1,1))</f>
        <v>324.58754156328285</v>
      </c>
      <c r="CZ6" s="59">
        <f t="shared" si="42"/>
        <v>226.01037731977604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7.2264102564102561</v>
      </c>
      <c r="DO6" s="12">
        <f>IF('Données projet'!$A$166&gt;35,DO5+DN6-DW5,IF(A6&lt;'Données projet'!$A$166,$DL$205^A6,IF(A6='Données projet'!$A$166,'Données projet'!$B$166,DO5+DN6-DW5)))</f>
        <v>1.7123967181757771</v>
      </c>
      <c r="DP6" s="17">
        <f>DO6*VLOOKUP('Données projet'!$B$14,Paramètres!$A$1:$I$89,3,0)*VLOOKUP('Données projet'!$B$14,Paramètres!$A$1:$I$89,5,0)</f>
        <v>0.80140166410626379</v>
      </c>
      <c r="DQ6" s="13">
        <f t="shared" si="43"/>
        <v>0.37896066764546593</v>
      </c>
      <c r="DR6" s="20">
        <f t="shared" si="16"/>
        <v>2.0557977278009294</v>
      </c>
      <c r="DS6" s="59">
        <f t="shared" si="17"/>
        <v>175.41081829768581</v>
      </c>
      <c r="DT6" s="59">
        <f ca="1">AVERAGE(OFFSET($DS$3,0,0,'Données projet'!$E$14+1,1))-AVERAGE(OFFSET($H$3,0,0,'Données projet'!$E$14+1,1))</f>
        <v>325.93182817189722</v>
      </c>
      <c r="DU6" s="59">
        <f t="shared" si="44"/>
        <v>280.04509991782709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4.75</v>
      </c>
      <c r="EJ6" s="12">
        <f>IF('Données projet'!$A$192&gt;35,EJ5+EI6-ER5,IF(A6&lt;'Données projet'!$A$192,$EG$205^A6,IF(A6='Données projet'!$A$192,'Données projet'!$B$192,EJ5+EI6-ER5)))</f>
        <v>1.9799696845186814</v>
      </c>
      <c r="EK6" s="17">
        <f>EJ6*VLOOKUP('Données projet'!$B$15,Paramètres!$A$1:$I$89,3,0)*VLOOKUP('Données projet'!$B$15,Paramètres!$A$1:$I$89,5,0)</f>
        <v>1.575263881003063</v>
      </c>
      <c r="EL6" s="13">
        <f t="shared" si="45"/>
        <v>0.68854678408274117</v>
      </c>
      <c r="EM6" s="20">
        <f t="shared" si="19"/>
        <v>3.9428035750244419</v>
      </c>
      <c r="EN6" s="59">
        <f t="shared" si="20"/>
        <v>177.29782414490933</v>
      </c>
      <c r="EO6" s="59">
        <f ca="1">AVERAGE(OFFSET($EN$3,0,0,'Données projet'!$E$15+1,1))-AVERAGE(OFFSET($H$3,0,0,'Données projet'!$E$15+1,1))</f>
        <v>333.52903437536651</v>
      </c>
      <c r="EP6" s="59">
        <f t="shared" si="46"/>
        <v>359.47288701414777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2.3805128205128203</v>
      </c>
      <c r="FE6" s="12">
        <f>IF('Données projet'!$A$218&gt;35,FE5+FD6-FM5,IF(A6&lt;'Données projet'!$A$218,$FB$205^A6,IF(A6='Données projet'!$A$218,'Données projet'!$B$218,FE5+FD6-FM5)))</f>
        <v>2.0443363779612804</v>
      </c>
      <c r="FF6" s="17">
        <f>FE6*VLOOKUP('Données projet'!$B$16,Paramètres!$A$1:$I$89,3,0)*VLOOKUP('Données projet'!$B$16,Paramètres!$A$1:$I$89,5,0)</f>
        <v>1.2225131540208458</v>
      </c>
      <c r="FG6" s="13">
        <f t="shared" si="47"/>
        <v>0.55036308132321654</v>
      </c>
      <c r="FH6" s="20">
        <f t="shared" si="22"/>
        <v>3.0877594432242415</v>
      </c>
      <c r="FI6" s="59">
        <f t="shared" si="23"/>
        <v>176.44278001310911</v>
      </c>
      <c r="FJ6" s="59">
        <f ca="1">AVERAGE(OFFSET($FI$3,0,0,'Données projet'!$E$16+1,1))-AVERAGE(OFFSET($H$3,0,0,'Données projet'!$E$16+1,1))</f>
        <v>313.26988717307376</v>
      </c>
      <c r="FK6" s="59">
        <f t="shared" si="48"/>
        <v>248.17359813993201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1.05</v>
      </c>
      <c r="FZ6" s="12">
        <f>IF('Données projet'!$A$244&gt;35,FZ5+FY6-GH5,IF(A6&lt;'Données projet'!$A$244,$FW$205^A6,IF(A6='Données projet'!$A$244,'Données projet'!$B$244,FZ5+FY6-GH5)))</f>
        <v>1.5788209995247278</v>
      </c>
      <c r="GA6" s="17">
        <f>FZ6*VLOOKUP('Données projet'!$B$17,Paramètres!$A$1:$I$89,3,0)*VLOOKUP('Données projet'!$B$17,Paramètres!$A$1:$I$89,5,0)</f>
        <v>1.6994429238884168</v>
      </c>
      <c r="GB6" s="13">
        <f t="shared" si="49"/>
        <v>0.73629349208879868</v>
      </c>
      <c r="GC6" s="20">
        <f t="shared" si="25"/>
        <v>4.2422409244936503</v>
      </c>
      <c r="GD6" s="59">
        <f t="shared" si="26"/>
        <v>177.59726149437853</v>
      </c>
      <c r="GE6" s="59">
        <f ca="1">AVERAGE(OFFSET($GD$3,0,0,'Données projet'!$E$17+1,1))-AVERAGE(OFFSET($H$3,0,0,'Données projet'!$E$17+1,1))</f>
        <v>313.51355235711543</v>
      </c>
      <c r="GF6" s="59">
        <f t="shared" si="50"/>
        <v>186.0840067781198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2.85</v>
      </c>
      <c r="N7" s="13">
        <f>IF('Données projet'!$A$36&gt;35,N6+M7-V6,IF(A7&lt;'Données projet'!$A$36,$K$205^A7,IF(A7='Données projet'!$A$36,'Données projet'!$B$36,N6+M7-V6)))</f>
        <v>2.2447861343640922</v>
      </c>
      <c r="O7" s="13">
        <f>N7*VLOOKUP('Données projet'!$B$9,Paramètres!$A$1:$I$89,3,0)*VLOOKUP('Données projet'!$B$9,Paramètres!$A$1:$I$89,5,0)</f>
        <v>2.2762131402451899</v>
      </c>
      <c r="P7" s="13">
        <f t="shared" si="33"/>
        <v>0.95320301289513787</v>
      </c>
      <c r="Q7" s="20">
        <f t="shared" si="2"/>
        <v>5.6245664667194042</v>
      </c>
      <c r="R7" s="59">
        <f t="shared" si="0"/>
        <v>181.71068853089636</v>
      </c>
      <c r="S7" s="59">
        <f ca="1">AVERAGE(OFFSET($R$3,0,0,'Données projet'!$E$9+1,1))-AVERAGE(OFFSET($H$3,0,0,'Données projet'!$E$9+1,1))</f>
        <v>452.67426184967104</v>
      </c>
      <c r="T7" s="59">
        <f t="shared" si="34"/>
        <v>310.47823616327639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2.0085470085470085</v>
      </c>
      <c r="AI7" s="13">
        <f>IF('Données projet'!$A$62&gt;35,AI6+AH7-AQ6,IF(A7&lt;'Données projet'!$A$62,$AF$205^A7,IF(A7='Données projet'!$A$62,'Données projet'!$B$62,AI6+AH7-AQ6)))</f>
        <v>2.4796641843030387</v>
      </c>
      <c r="AJ7" s="13">
        <f>AI7*VLOOKUP('Données projet'!$B$10,Paramètres!$A$1:$I$89,3,0)*VLOOKUP('Données projet'!$B$10,Paramètres!$A$1:$I$89,5,0)</f>
        <v>2.5917450054335363</v>
      </c>
      <c r="AK7" s="13">
        <f t="shared" si="35"/>
        <v>1.069060282146026</v>
      </c>
      <c r="AL7" s="20">
        <f t="shared" si="4"/>
        <v>6.375902542534404</v>
      </c>
      <c r="AM7" s="59">
        <f t="shared" si="5"/>
        <v>182.46202460671134</v>
      </c>
      <c r="AN7" s="59">
        <f ca="1">AVERAGE(OFFSET($AM$3,0,0,'Données projet'!$E$10+1,1))-AVERAGE(OFFSET($H$3,0,0,'Données projet'!$E$10+1,1))</f>
        <v>528.45201982036087</v>
      </c>
      <c r="AO7" s="59">
        <f t="shared" si="36"/>
        <v>321.23004033257985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1.05</v>
      </c>
      <c r="BD7" s="12">
        <f>IF('Données projet'!$A$88&gt;35,BD6+BC7-BL6,IF(A7&lt;'Données projet'!$A$88,$BA$205^A7,IF(A7='Données projet'!$A$88,'Données projet'!$B$88,BD6+BC7-BL6)))</f>
        <v>1.8384162872525445</v>
      </c>
      <c r="BE7" s="13">
        <f>BD7*VLOOKUP('Données projet'!$B$11,Paramètres!$A$1:$I$89,3,0)*VLOOKUP('Données projet'!$B$11,Paramètres!$A$1:$I$89,5,0)</f>
        <v>1.778116233030661</v>
      </c>
      <c r="BF7" s="13">
        <f t="shared" si="37"/>
        <v>0.76633180529295619</v>
      </c>
      <c r="BG7" s="20">
        <f t="shared" si="7"/>
        <v>4.431580333413633</v>
      </c>
      <c r="BH7" s="59">
        <f t="shared" si="8"/>
        <v>180.51770239759057</v>
      </c>
      <c r="BI7" s="59">
        <f ca="1">AVERAGE(OFFSET($BH$3,0,0,'Données projet'!$E$11+1,1))-AVERAGE(OFFSET($H$3,0,0,'Données projet'!$E$11+1,1))</f>
        <v>289.06522051625166</v>
      </c>
      <c r="BJ7" s="59">
        <f t="shared" si="38"/>
        <v>173.19148969173838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3.45</v>
      </c>
      <c r="BY7" s="12">
        <f>IF('Données projet'!$A$114&gt;35,BY6+BX7-CG6,IF(A7&lt;'Données projet'!$A$114,$BV$205^A7,IF(A7='Données projet'!$A$114,'Données projet'!$B$114,BY6+BX7-CG6)))</f>
        <v>2.332221626160242</v>
      </c>
      <c r="BZ7" s="13">
        <f>BY7*VLOOKUP('Données projet'!$B$12,Paramètres!$A$1:$I$89,3,0)*VLOOKUP('Données projet'!$B$12,Paramètres!$A$1:$I$89,5,0)</f>
        <v>1.8918981831411885</v>
      </c>
      <c r="CA7" s="13">
        <f t="shared" si="39"/>
        <v>0.80950386328560486</v>
      </c>
      <c r="CB7" s="20">
        <f t="shared" si="10"/>
        <v>4.7049418975266653</v>
      </c>
      <c r="CC7" s="59">
        <f t="shared" si="11"/>
        <v>180.7910639617036</v>
      </c>
      <c r="CD7" s="59">
        <f ca="1">AVERAGE(OFFSET($CC$3,0,0,'Données projet'!$E$12+1,1))-AVERAGE(OFFSET($H$3,0,0,'Données projet'!$E$12+1,1))</f>
        <v>306.06916761900357</v>
      </c>
      <c r="CE7" s="59">
        <f t="shared" si="40"/>
        <v>258.90832875500337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2.85</v>
      </c>
      <c r="CT7" s="12">
        <f>IF('Données projet'!$A$140&gt;35,CT6+CS7-DB6,IF(A7&lt;'Données projet'!$A$140,$CQ$205^A7,IF(A7='Données projet'!$A$140,'Données projet'!$B$140,CT6+CS7-DB6)))</f>
        <v>2.2447861343640922</v>
      </c>
      <c r="CU7" s="17">
        <f>CT7*VLOOKUP('Données projet'!$B$13,Paramètres!$A$1:$I$89,3,0)*VLOOKUP('Données projet'!$B$13,Paramètres!$A$1:$I$89,5,0)</f>
        <v>1.5058025389314331</v>
      </c>
      <c r="CV7" s="13">
        <f t="shared" si="41"/>
        <v>0.66164935248922685</v>
      </c>
      <c r="CW7" s="20">
        <f t="shared" si="13"/>
        <v>3.7749787108909825</v>
      </c>
      <c r="CX7" s="59">
        <f t="shared" si="14"/>
        <v>179.86110077506794</v>
      </c>
      <c r="CY7" s="59">
        <f ca="1">AVERAGE(OFFSET($CX$3,0,0,'Données projet'!$E$13+1,1))-AVERAGE(OFFSET($H$3,0,0,'Données projet'!$E$13+1,1))</f>
        <v>324.58754156328285</v>
      </c>
      <c r="CZ7" s="59">
        <f t="shared" si="42"/>
        <v>226.01037731977604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7.2264102564102561</v>
      </c>
      <c r="DO7" s="12">
        <f>IF('Données projet'!$A$166&gt;35,DO6+DN7-DW6,IF(A7&lt;'Données projet'!$A$166,$DL$205^A7,IF(A7='Données projet'!$A$166,'Données projet'!$B$166,DO6+DN7-DW6)))</f>
        <v>2.0486723961153532</v>
      </c>
      <c r="DP7" s="17">
        <f>DO7*VLOOKUP('Données projet'!$B$14,Paramètres!$A$1:$I$89,3,0)*VLOOKUP('Données projet'!$B$14,Paramètres!$A$1:$I$89,5,0)</f>
        <v>0.95877868138198519</v>
      </c>
      <c r="DQ7" s="13">
        <f t="shared" si="43"/>
        <v>0.44401579092570115</v>
      </c>
      <c r="DR7" s="20">
        <f t="shared" si="16"/>
        <v>2.4432003726025537</v>
      </c>
      <c r="DS7" s="59">
        <f t="shared" si="17"/>
        <v>178.52932243677949</v>
      </c>
      <c r="DT7" s="59">
        <f ca="1">AVERAGE(OFFSET($DS$3,0,0,'Données projet'!$E$14+1,1))-AVERAGE(OFFSET($H$3,0,0,'Données projet'!$E$14+1,1))</f>
        <v>325.93182817189722</v>
      </c>
      <c r="DU7" s="59">
        <f t="shared" si="44"/>
        <v>280.04509991782709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4.75</v>
      </c>
      <c r="EJ7" s="12">
        <f>IF('Données projet'!$A$192&gt;35,EJ6+EI7-ER6,IF(A7&lt;'Données projet'!$A$192,$EG$205^A7,IF(A7='Données projet'!$A$192,'Données projet'!$B$192,EJ6+EI7-ER6)))</f>
        <v>2.4862495702121006</v>
      </c>
      <c r="EK7" s="17">
        <f>EJ7*VLOOKUP('Données projet'!$B$15,Paramètres!$A$1:$I$89,3,0)*VLOOKUP('Données projet'!$B$15,Paramètres!$A$1:$I$89,5,0)</f>
        <v>1.9780601580607473</v>
      </c>
      <c r="EL7" s="13">
        <f t="shared" si="45"/>
        <v>0.84199455516247157</v>
      </c>
      <c r="EM7" s="20">
        <f t="shared" si="19"/>
        <v>4.9115952921971058</v>
      </c>
      <c r="EN7" s="59">
        <f t="shared" si="20"/>
        <v>180.99771735637404</v>
      </c>
      <c r="EO7" s="59">
        <f ca="1">AVERAGE(OFFSET($EN$3,0,0,'Données projet'!$E$15+1,1))-AVERAGE(OFFSET($H$3,0,0,'Données projet'!$E$15+1,1))</f>
        <v>333.52903437536651</v>
      </c>
      <c r="EP7" s="59">
        <f t="shared" si="46"/>
        <v>359.47288701414777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2.3805128205128203</v>
      </c>
      <c r="FE7" s="12">
        <f>IF('Données projet'!$A$218&gt;35,FE6+FD7-FM6,IF(A7&lt;'Données projet'!$A$218,$FB$205^A7,IF(A7='Données projet'!$A$218,'Données projet'!$B$218,FE6+FD7-FM6)))</f>
        <v>2.5945963871419848</v>
      </c>
      <c r="FF7" s="17">
        <f>FE7*VLOOKUP('Données projet'!$B$16,Paramètres!$A$1:$I$89,3,0)*VLOOKUP('Données projet'!$B$16,Paramètres!$A$1:$I$89,5,0)</f>
        <v>1.551568639510907</v>
      </c>
      <c r="FG7" s="13">
        <f t="shared" si="47"/>
        <v>0.67938712805030732</v>
      </c>
      <c r="FH7" s="20">
        <f t="shared" si="22"/>
        <v>3.8855812951691147</v>
      </c>
      <c r="FI7" s="59">
        <f t="shared" si="23"/>
        <v>179.97170335934607</v>
      </c>
      <c r="FJ7" s="59">
        <f ca="1">AVERAGE(OFFSET($FI$3,0,0,'Données projet'!$E$16+1,1))-AVERAGE(OFFSET($H$3,0,0,'Données projet'!$E$16+1,1))</f>
        <v>313.26988717307376</v>
      </c>
      <c r="FK7" s="59">
        <f t="shared" si="48"/>
        <v>248.17359813993201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1.05</v>
      </c>
      <c r="FZ7" s="12">
        <f>IF('Données projet'!$A$244&gt;35,FZ6+FY7-GH6,IF(A7&lt;'Données projet'!$A$244,$FW$205^A7,IF(A7='Données projet'!$A$244,'Données projet'!$B$244,FZ6+FY7-GH6)))</f>
        <v>1.8384162872525445</v>
      </c>
      <c r="GA7" s="17">
        <f>FZ7*VLOOKUP('Données projet'!$B$17,Paramètres!$A$1:$I$89,3,0)*VLOOKUP('Données projet'!$B$17,Paramètres!$A$1:$I$89,5,0)</f>
        <v>1.9788712915986386</v>
      </c>
      <c r="GB7" s="13">
        <f t="shared" si="49"/>
        <v>0.84229963077364478</v>
      </c>
      <c r="GC7" s="20">
        <f t="shared" si="25"/>
        <v>4.9135393564650593</v>
      </c>
      <c r="GD7" s="59">
        <f t="shared" si="26"/>
        <v>180.99966142064201</v>
      </c>
      <c r="GE7" s="59">
        <f ca="1">AVERAGE(OFFSET($GD$3,0,0,'Données projet'!$E$17+1,1))-AVERAGE(OFFSET($H$3,0,0,'Données projet'!$E$17+1,1))</f>
        <v>313.51355235711543</v>
      </c>
      <c r="GF7" s="59">
        <f t="shared" si="50"/>
        <v>186.0840067781198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2.85</v>
      </c>
      <c r="N8" s="13">
        <f>IF('Données projet'!$A$36&gt;35,N7+M8-V7,IF(A8&lt;'Données projet'!$A$36,$K$205^A8,IF(A8='Données projet'!$A$36,'Données projet'!$B$36,N7+M8-V7)))</f>
        <v>2.7476962050544729</v>
      </c>
      <c r="O8" s="13">
        <f>N8*VLOOKUP('Données projet'!$B$9,Paramètres!$A$1:$I$89,3,0)*VLOOKUP('Données projet'!$B$9,Paramètres!$A$1:$I$89,5,0)</f>
        <v>2.7861639519252357</v>
      </c>
      <c r="P8" s="13">
        <f t="shared" si="33"/>
        <v>1.1396197248579376</v>
      </c>
      <c r="Q8" s="20">
        <f t="shared" si="2"/>
        <v>6.8374065703973601</v>
      </c>
      <c r="R8" s="59">
        <f t="shared" si="0"/>
        <v>185.6284544468447</v>
      </c>
      <c r="S8" s="59">
        <f ca="1">AVERAGE(OFFSET($R$3,0,0,'Données projet'!$E$9+1,1))-AVERAGE(OFFSET($H$3,0,0,'Données projet'!$E$9+1,1))</f>
        <v>452.67426184967104</v>
      </c>
      <c r="T8" s="59">
        <f t="shared" si="34"/>
        <v>310.47823616327639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2.0085470085470085</v>
      </c>
      <c r="AI8" s="13">
        <f>IF('Données projet'!$A$62&gt;35,AI7+AH8-AQ7,IF(A8&lt;'Données projet'!$A$62,$AF$205^A8,IF(A8='Données projet'!$A$62,'Données projet'!$B$62,AI7+AH8-AQ7)))</f>
        <v>3.1116524728023753</v>
      </c>
      <c r="AJ8" s="13">
        <f>AI8*VLOOKUP('Données projet'!$B$10,Paramètres!$A$1:$I$89,3,0)*VLOOKUP('Données projet'!$B$10,Paramètres!$A$1:$I$89,5,0)</f>
        <v>3.2522991645730426</v>
      </c>
      <c r="AK8" s="13">
        <f t="shared" si="35"/>
        <v>1.3065426155602187</v>
      </c>
      <c r="AL8" s="20">
        <f t="shared" si="4"/>
        <v>7.9399827670654304</v>
      </c>
      <c r="AM8" s="59">
        <f t="shared" si="5"/>
        <v>186.73103064351278</v>
      </c>
      <c r="AN8" s="59">
        <f ca="1">AVERAGE(OFFSET($AM$3,0,0,'Données projet'!$E$10+1,1))-AVERAGE(OFFSET($H$3,0,0,'Données projet'!$E$10+1,1))</f>
        <v>528.45201982036087</v>
      </c>
      <c r="AO8" s="59">
        <f t="shared" si="36"/>
        <v>321.23004033257985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1.05</v>
      </c>
      <c r="BD8" s="12">
        <f>IF('Données projet'!$A$88&gt;35,BD7+BC8-BL7,IF(A8&lt;'Données projet'!$A$88,$BA$205^A8,IF(A8='Données projet'!$A$88,'Données projet'!$B$88,BD7+BC8-BL7)))</f>
        <v>2.1406951429280729</v>
      </c>
      <c r="BE8" s="13">
        <f>BD8*VLOOKUP('Données projet'!$B$11,Paramètres!$A$1:$I$89,3,0)*VLOOKUP('Données projet'!$B$11,Paramètres!$A$1:$I$89,5,0)</f>
        <v>2.0704803422400322</v>
      </c>
      <c r="BF8" s="13">
        <f t="shared" si="37"/>
        <v>0.87666264008009354</v>
      </c>
      <c r="BG8" s="20">
        <f t="shared" si="7"/>
        <v>5.1329406942075515</v>
      </c>
      <c r="BH8" s="59">
        <f t="shared" si="8"/>
        <v>183.9239885706549</v>
      </c>
      <c r="BI8" s="59">
        <f ca="1">AVERAGE(OFFSET($BH$3,0,0,'Données projet'!$E$11+1,1))-AVERAGE(OFFSET($H$3,0,0,'Données projet'!$E$11+1,1))</f>
        <v>289.06522051625166</v>
      </c>
      <c r="BJ8" s="59">
        <f t="shared" si="38"/>
        <v>173.19148969173838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3.45</v>
      </c>
      <c r="BY8" s="12">
        <f>IF('Données projet'!$A$114&gt;35,BY7+BX8-CG7,IF(A8&lt;'Données projet'!$A$114,$BV$205^A8,IF(A8='Données projet'!$A$114,'Données projet'!$B$114,BY7+BX8-CG7)))</f>
        <v>2.882121417102006</v>
      </c>
      <c r="BZ8" s="13">
        <f>BY8*VLOOKUP('Données projet'!$B$12,Paramètres!$A$1:$I$89,3,0)*VLOOKUP('Données projet'!$B$12,Paramètres!$A$1:$I$89,5,0)</f>
        <v>2.3379768935531478</v>
      </c>
      <c r="CA8" s="13">
        <f t="shared" si="39"/>
        <v>0.97602126190423766</v>
      </c>
      <c r="CB8" s="20">
        <f t="shared" si="10"/>
        <v>5.7718801207549459</v>
      </c>
      <c r="CC8" s="59">
        <f t="shared" si="11"/>
        <v>184.56292799720231</v>
      </c>
      <c r="CD8" s="59">
        <f ca="1">AVERAGE(OFFSET($CC$3,0,0,'Données projet'!$E$12+1,1))-AVERAGE(OFFSET($H$3,0,0,'Données projet'!$E$12+1,1))</f>
        <v>306.06916761900357</v>
      </c>
      <c r="CE8" s="59">
        <f t="shared" si="40"/>
        <v>258.90832875500337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2.85</v>
      </c>
      <c r="CT8" s="12">
        <f>IF('Données projet'!$A$140&gt;35,CT7+CS8-DB7,IF(A8&lt;'Données projet'!$A$140,$CQ$205^A8,IF(A8='Données projet'!$A$140,'Données projet'!$B$140,CT7+CS8-DB7)))</f>
        <v>2.7476962050544729</v>
      </c>
      <c r="CU8" s="17">
        <f>CT8*VLOOKUP('Données projet'!$B$13,Paramètres!$A$1:$I$89,3,0)*VLOOKUP('Données projet'!$B$13,Paramètres!$A$1:$I$89,5,0)</f>
        <v>1.8431546143505404</v>
      </c>
      <c r="CV8" s="13">
        <f t="shared" si="41"/>
        <v>0.79104728251541545</v>
      </c>
      <c r="CW8" s="20">
        <f t="shared" si="13"/>
        <v>4.5879016370415391</v>
      </c>
      <c r="CX8" s="59">
        <f t="shared" si="14"/>
        <v>183.37894951348889</v>
      </c>
      <c r="CY8" s="59">
        <f ca="1">AVERAGE(OFFSET($CX$3,0,0,'Données projet'!$E$13+1,1))-AVERAGE(OFFSET($H$3,0,0,'Données projet'!$E$13+1,1))</f>
        <v>324.58754156328285</v>
      </c>
      <c r="CZ8" s="59">
        <f t="shared" si="42"/>
        <v>226.01037731977604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7.2264102564102561</v>
      </c>
      <c r="DO8" s="12">
        <f>IF('Données projet'!$A$166&gt;35,DO7+DN8-DW7,IF(A8&lt;'Données projet'!$A$166,$DL$205^A8,IF(A8='Données projet'!$A$166,'Données projet'!$B$166,DO7+DN8-DW7)))</f>
        <v>2.4509849511252071</v>
      </c>
      <c r="DP8" s="17">
        <f>DO8*VLOOKUP('Données projet'!$B$14,Paramètres!$A$1:$I$89,3,0)*VLOOKUP('Données projet'!$B$14,Paramètres!$A$1:$I$89,5,0)</f>
        <v>1.1470609571265968</v>
      </c>
      <c r="DQ8" s="13">
        <f t="shared" si="43"/>
        <v>0.52023874619045773</v>
      </c>
      <c r="DR8" s="20">
        <f t="shared" si="16"/>
        <v>2.9038803166105365</v>
      </c>
      <c r="DS8" s="59">
        <f t="shared" si="17"/>
        <v>181.69492819305788</v>
      </c>
      <c r="DT8" s="59">
        <f ca="1">AVERAGE(OFFSET($DS$3,0,0,'Données projet'!$E$14+1,1))-AVERAGE(OFFSET($H$3,0,0,'Données projet'!$E$14+1,1))</f>
        <v>325.93182817189722</v>
      </c>
      <c r="DU8" s="59">
        <f t="shared" si="44"/>
        <v>280.04509991782709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4.75</v>
      </c>
      <c r="EJ8" s="12">
        <f>IF('Données projet'!$A$192&gt;35,EJ7+EI8-ER7,IF(A8&lt;'Données projet'!$A$192,$EG$205^A8,IF(A8='Données projet'!$A$192,'Données projet'!$B$192,EJ7+EI8-ER7)))</f>
        <v>3.121985641352143</v>
      </c>
      <c r="EK8" s="17">
        <f>EJ8*VLOOKUP('Données projet'!$B$15,Paramètres!$A$1:$I$89,3,0)*VLOOKUP('Données projet'!$B$15,Paramètres!$A$1:$I$89,5,0)</f>
        <v>2.4838517762597654</v>
      </c>
      <c r="EL8" s="13">
        <f t="shared" si="45"/>
        <v>1.0296393031124158</v>
      </c>
      <c r="EM8" s="20">
        <f t="shared" si="19"/>
        <v>6.1193302965732146</v>
      </c>
      <c r="EN8" s="59">
        <f t="shared" si="20"/>
        <v>184.91037817302058</v>
      </c>
      <c r="EO8" s="59">
        <f ca="1">AVERAGE(OFFSET($EN$3,0,0,'Données projet'!$E$15+1,1))-AVERAGE(OFFSET($H$3,0,0,'Données projet'!$E$15+1,1))</f>
        <v>333.52903437536651</v>
      </c>
      <c r="EP8" s="59">
        <f t="shared" si="46"/>
        <v>359.47288701414777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2.3805128205128203</v>
      </c>
      <c r="FE8" s="12">
        <f>IF('Données projet'!$A$218&gt;35,FE7+FD8-FM7,IF(A8&lt;'Données projet'!$A$218,$FB$205^A8,IF(A8='Données projet'!$A$218,'Données projet'!$B$218,FE7+FD8-FM7)))</f>
        <v>3.2929661110289854</v>
      </c>
      <c r="FF8" s="17">
        <f>FE8*VLOOKUP('Données projet'!$B$16,Paramètres!$A$1:$I$89,3,0)*VLOOKUP('Données projet'!$B$16,Paramètres!$A$1:$I$89,5,0)</f>
        <v>1.9691937343953334</v>
      </c>
      <c r="FG8" s="13">
        <f t="shared" si="47"/>
        <v>0.83865885162703413</v>
      </c>
      <c r="FH8" s="20">
        <f t="shared" si="22"/>
        <v>4.8903432539889566</v>
      </c>
      <c r="FI8" s="59">
        <f t="shared" si="23"/>
        <v>183.68139113043631</v>
      </c>
      <c r="FJ8" s="59">
        <f ca="1">AVERAGE(OFFSET($FI$3,0,0,'Données projet'!$E$16+1,1))-AVERAGE(OFFSET($H$3,0,0,'Données projet'!$E$16+1,1))</f>
        <v>313.26988717307376</v>
      </c>
      <c r="FK8" s="59">
        <f t="shared" si="48"/>
        <v>248.17359813993201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1.05</v>
      </c>
      <c r="FZ8" s="12">
        <f>IF('Données projet'!$A$244&gt;35,FZ7+FY8-GH7,IF(A8&lt;'Données projet'!$A$244,$FW$205^A8,IF(A8='Données projet'!$A$244,'Données projet'!$B$244,FZ7+FY8-GH7)))</f>
        <v>2.1406951429280729</v>
      </c>
      <c r="GA8" s="17">
        <f>FZ8*VLOOKUP('Données projet'!$B$17,Paramètres!$A$1:$I$89,3,0)*VLOOKUP('Données projet'!$B$17,Paramètres!$A$1:$I$89,5,0)</f>
        <v>2.3042442518477775</v>
      </c>
      <c r="GB8" s="13">
        <f t="shared" si="49"/>
        <v>0.96356775609780188</v>
      </c>
      <c r="GC8" s="20">
        <f t="shared" si="25"/>
        <v>5.6914392471718847</v>
      </c>
      <c r="GD8" s="59">
        <f t="shared" si="26"/>
        <v>184.48248712361922</v>
      </c>
      <c r="GE8" s="59">
        <f ca="1">AVERAGE(OFFSET($GD$3,0,0,'Données projet'!$E$17+1,1))-AVERAGE(OFFSET($H$3,0,0,'Données projet'!$E$17+1,1))</f>
        <v>313.51355235711543</v>
      </c>
      <c r="GF8" s="59">
        <f t="shared" si="50"/>
        <v>186.0840067781198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2.85</v>
      </c>
      <c r="N9" s="13">
        <f>IF('Données projet'!$A$36&gt;35,N8+M9-V8,IF(A9&lt;'Données projet'!$A$36,$K$205^A9,IF(A9='Données projet'!$A$36,'Données projet'!$B$36,N8+M9-V8)))</f>
        <v>3.3632756010449452</v>
      </c>
      <c r="O9" s="13">
        <f>N9*VLOOKUP('Données projet'!$B$9,Paramètres!$A$1:$I$89,3,0)*VLOOKUP('Données projet'!$B$9,Paramètres!$A$1:$I$89,5,0)</f>
        <v>3.4103614594595744</v>
      </c>
      <c r="P9" s="13">
        <f t="shared" si="33"/>
        <v>1.3624937182486174</v>
      </c>
      <c r="Q9" s="20">
        <f t="shared" si="2"/>
        <v>8.3127227678417679</v>
      </c>
      <c r="R9" s="59">
        <f t="shared" si="0"/>
        <v>189.78297486410074</v>
      </c>
      <c r="S9" s="59">
        <f ca="1">AVERAGE(OFFSET($R$3,0,0,'Données projet'!$E$9+1,1))-AVERAGE(OFFSET($H$3,0,0,'Données projet'!$E$9+1,1))</f>
        <v>452.67426184967104</v>
      </c>
      <c r="T9" s="59">
        <f t="shared" si="34"/>
        <v>310.47823616327639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2.0085470085470085</v>
      </c>
      <c r="AI9" s="13">
        <f>IF('Données projet'!$A$62&gt;35,AI8+AH9-AQ8,IF(A9&lt;'Données projet'!$A$62,$AF$205^A9,IF(A9='Données projet'!$A$62,'Données projet'!$B$62,AI8+AH9-AQ8)))</f>
        <v>3.9047146677317404</v>
      </c>
      <c r="AJ9" s="13">
        <f>AI9*VLOOKUP('Données projet'!$B$10,Paramètres!$A$1:$I$89,3,0)*VLOOKUP('Données projet'!$B$10,Paramètres!$A$1:$I$89,5,0)</f>
        <v>4.0812077707132151</v>
      </c>
      <c r="AK9" s="13">
        <f t="shared" si="35"/>
        <v>1.5967795593792025</v>
      </c>
      <c r="AL9" s="20">
        <f t="shared" si="4"/>
        <v>9.8891612665776254</v>
      </c>
      <c r="AM9" s="59">
        <f t="shared" si="5"/>
        <v>191.35941336283659</v>
      </c>
      <c r="AN9" s="59">
        <f ca="1">AVERAGE(OFFSET($AM$3,0,0,'Données projet'!$E$10+1,1))-AVERAGE(OFFSET($H$3,0,0,'Données projet'!$E$10+1,1))</f>
        <v>528.45201982036087</v>
      </c>
      <c r="AO9" s="59">
        <f t="shared" si="36"/>
        <v>321.23004033257985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1.05</v>
      </c>
      <c r="BD9" s="12">
        <f>IF('Données projet'!$A$88&gt;35,BD8+BC9-BL8,IF(A9&lt;'Données projet'!$A$88,$BA$205^A9,IF(A9='Données projet'!$A$88,'Données projet'!$B$88,BD8+BC9-BL8)))</f>
        <v>2.4926757485402602</v>
      </c>
      <c r="BE9" s="13">
        <f>BD9*VLOOKUP('Données projet'!$B$11,Paramètres!$A$1:$I$89,3,0)*VLOOKUP('Données projet'!$B$11,Paramètres!$A$1:$I$89,5,0)</f>
        <v>2.41091598398814</v>
      </c>
      <c r="BF9" s="13">
        <f t="shared" si="37"/>
        <v>1.0028780995438396</v>
      </c>
      <c r="BG9" s="20">
        <f t="shared" si="7"/>
        <v>5.945691362151531</v>
      </c>
      <c r="BH9" s="59">
        <f t="shared" si="8"/>
        <v>187.41594345841051</v>
      </c>
      <c r="BI9" s="59">
        <f ca="1">AVERAGE(OFFSET($BH$3,0,0,'Données projet'!$E$11+1,1))-AVERAGE(OFFSET($H$3,0,0,'Données projet'!$E$11+1,1))</f>
        <v>289.06522051625166</v>
      </c>
      <c r="BJ9" s="59">
        <f t="shared" si="38"/>
        <v>173.19148969173838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3.45</v>
      </c>
      <c r="BY9" s="12">
        <f>IF('Données projet'!$A$114&gt;35,BY8+BX9-CG8,IF(A9&lt;'Données projet'!$A$114,$BV$205^A9,IF(A9='Données projet'!$A$114,'Données projet'!$B$114,BY8+BX9-CG8)))</f>
        <v>3.5616786028153165</v>
      </c>
      <c r="BZ9" s="13">
        <f>BY9*VLOOKUP('Données projet'!$B$12,Paramètres!$A$1:$I$89,3,0)*VLOOKUP('Données projet'!$B$12,Paramètres!$A$1:$I$89,5,0)</f>
        <v>2.889233682603785</v>
      </c>
      <c r="CA9" s="13">
        <f t="shared" si="39"/>
        <v>1.1767917942017814</v>
      </c>
      <c r="CB9" s="20">
        <f t="shared" si="10"/>
        <v>7.0816610387696945</v>
      </c>
      <c r="CC9" s="59">
        <f t="shared" si="11"/>
        <v>188.55191313502866</v>
      </c>
      <c r="CD9" s="59">
        <f ca="1">AVERAGE(OFFSET($CC$3,0,0,'Données projet'!$E$12+1,1))-AVERAGE(OFFSET($H$3,0,0,'Données projet'!$E$12+1,1))</f>
        <v>306.06916761900357</v>
      </c>
      <c r="CE9" s="59">
        <f t="shared" si="40"/>
        <v>258.90832875500337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2.85</v>
      </c>
      <c r="CT9" s="12">
        <f>IF('Données projet'!$A$140&gt;35,CT8+CS9-DB8,IF(A9&lt;'Données projet'!$A$140,$CQ$205^A9,IF(A9='Données projet'!$A$140,'Données projet'!$B$140,CT8+CS9-DB8)))</f>
        <v>3.3632756010449452</v>
      </c>
      <c r="CU9" s="17">
        <f>CT9*VLOOKUP('Données projet'!$B$13,Paramètres!$A$1:$I$89,3,0)*VLOOKUP('Données projet'!$B$13,Paramètres!$A$1:$I$89,5,0)</f>
        <v>2.2560852731809491</v>
      </c>
      <c r="CV9" s="13">
        <f t="shared" si="41"/>
        <v>0.94575140264376234</v>
      </c>
      <c r="CW9" s="20">
        <f t="shared" si="13"/>
        <v>5.5765322103947055</v>
      </c>
      <c r="CX9" s="59">
        <f t="shared" si="14"/>
        <v>187.04678430665368</v>
      </c>
      <c r="CY9" s="59">
        <f ca="1">AVERAGE(OFFSET($CX$3,0,0,'Données projet'!$E$13+1,1))-AVERAGE(OFFSET($H$3,0,0,'Données projet'!$E$13+1,1))</f>
        <v>324.58754156328285</v>
      </c>
      <c r="CZ9" s="59">
        <f t="shared" si="42"/>
        <v>226.01037731977604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7.2264102564102561</v>
      </c>
      <c r="DO9" s="12">
        <f>IF('Données projet'!$A$166&gt;35,DO8+DN9-DW8,IF(A9&lt;'Données projet'!$A$166,$DL$205^A9,IF(A9='Données projet'!$A$166,'Données projet'!$B$166,DO8+DN9-DW8)))</f>
        <v>2.9323025204191722</v>
      </c>
      <c r="DP9" s="17">
        <f>DO9*VLOOKUP('Données projet'!$B$14,Paramètres!$A$1:$I$89,3,0)*VLOOKUP('Données projet'!$B$14,Paramètres!$A$1:$I$89,5,0)</f>
        <v>1.3723175795561726</v>
      </c>
      <c r="DQ9" s="13">
        <f t="shared" si="43"/>
        <v>0.60954668407977464</v>
      </c>
      <c r="DR9" s="20">
        <f t="shared" si="16"/>
        <v>3.4517469258326074</v>
      </c>
      <c r="DS9" s="59">
        <f t="shared" si="17"/>
        <v>184.92199902209157</v>
      </c>
      <c r="DT9" s="59">
        <f ca="1">AVERAGE(OFFSET($DS$3,0,0,'Données projet'!$E$14+1,1))-AVERAGE(OFFSET($H$3,0,0,'Données projet'!$E$14+1,1))</f>
        <v>325.93182817189722</v>
      </c>
      <c r="DU9" s="59">
        <f t="shared" si="44"/>
        <v>280.04509991782709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4.75</v>
      </c>
      <c r="EJ9" s="12">
        <f>IF('Données projet'!$A$192&gt;35,EJ8+EI9-ER8,IF(A9&lt;'Données projet'!$A$192,$EG$205^A9,IF(A9='Données projet'!$A$192,'Données projet'!$B$192,EJ8+EI9-ER8)))</f>
        <v>3.920279951613006</v>
      </c>
      <c r="EK9" s="17">
        <f>EJ9*VLOOKUP('Données projet'!$B$15,Paramètres!$A$1:$I$89,3,0)*VLOOKUP('Données projet'!$B$15,Paramètres!$A$1:$I$89,5,0)</f>
        <v>3.1189747295033077</v>
      </c>
      <c r="EL9" s="13">
        <f t="shared" si="45"/>
        <v>1.2591020785273992</v>
      </c>
      <c r="EM9" s="20">
        <f t="shared" si="19"/>
        <v>7.6251504406534805</v>
      </c>
      <c r="EN9" s="59">
        <f t="shared" si="20"/>
        <v>189.09540253691245</v>
      </c>
      <c r="EO9" s="59">
        <f ca="1">AVERAGE(OFFSET($EN$3,0,0,'Données projet'!$E$15+1,1))-AVERAGE(OFFSET($H$3,0,0,'Données projet'!$E$15+1,1))</f>
        <v>333.52903437536651</v>
      </c>
      <c r="EP9" s="59">
        <f t="shared" si="46"/>
        <v>359.47288701414777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2.3805128205128203</v>
      </c>
      <c r="FE9" s="12">
        <f>IF('Données projet'!$A$218&gt;35,FE8+FD9-FM8,IF(A9&lt;'Données projet'!$A$218,$FB$205^A9,IF(A9='Données projet'!$A$218,'Données projet'!$B$218,FE8+FD9-FM8)))</f>
        <v>4.1793112262558481</v>
      </c>
      <c r="FF9" s="17">
        <f>FE9*VLOOKUP('Données projet'!$B$16,Paramètres!$A$1:$I$89,3,0)*VLOOKUP('Données projet'!$B$16,Paramètres!$A$1:$I$89,5,0)</f>
        <v>2.4992281133009975</v>
      </c>
      <c r="FG9" s="13">
        <f t="shared" si="47"/>
        <v>1.0352693484653335</v>
      </c>
      <c r="FH9" s="20">
        <f t="shared" si="22"/>
        <v>6.1559164125763592</v>
      </c>
      <c r="FI9" s="59">
        <f t="shared" si="23"/>
        <v>187.62616850883532</v>
      </c>
      <c r="FJ9" s="59">
        <f ca="1">AVERAGE(OFFSET($FI$3,0,0,'Données projet'!$E$16+1,1))-AVERAGE(OFFSET($H$3,0,0,'Données projet'!$E$16+1,1))</f>
        <v>313.26988717307376</v>
      </c>
      <c r="FK9" s="59">
        <f t="shared" si="48"/>
        <v>248.17359813993201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1.05</v>
      </c>
      <c r="FZ9" s="12">
        <f>IF('Données projet'!$A$244&gt;35,FZ8+FY9-GH8,IF(A9&lt;'Données projet'!$A$244,$FW$205^A9,IF(A9='Données projet'!$A$244,'Données projet'!$B$244,FZ8+FY9-GH8)))</f>
        <v>2.4926757485402602</v>
      </c>
      <c r="GA9" s="17">
        <f>FZ9*VLOOKUP('Données projet'!$B$17,Paramètres!$A$1:$I$89,3,0)*VLOOKUP('Données projet'!$B$17,Paramètres!$A$1:$I$89,5,0)</f>
        <v>2.6831161757287361</v>
      </c>
      <c r="GB9" s="13">
        <f t="shared" si="49"/>
        <v>1.1022951770008116</v>
      </c>
      <c r="GC9" s="20">
        <f t="shared" si="25"/>
        <v>6.5929247726706288</v>
      </c>
      <c r="GD9" s="59">
        <f t="shared" si="26"/>
        <v>188.06317686892962</v>
      </c>
      <c r="GE9" s="59">
        <f ca="1">AVERAGE(OFFSET($GD$3,0,0,'Données projet'!$E$17+1,1))-AVERAGE(OFFSET($H$3,0,0,'Données projet'!$E$17+1,1))</f>
        <v>313.51355235711543</v>
      </c>
      <c r="GF9" s="59">
        <f t="shared" si="50"/>
        <v>186.0840067781198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2.85</v>
      </c>
      <c r="N10" s="13">
        <f>IF('Données projet'!$A$36&gt;35,N9+M10-V9,IF(A10&lt;'Données projet'!$A$36,$K$205^A10,IF(A10='Données projet'!$A$36,'Données projet'!$B$36,N9+M10-V9)))</f>
        <v>4.116766164969822</v>
      </c>
      <c r="O10" s="13">
        <f>N10*VLOOKUP('Données projet'!$B$9,Paramètres!$A$1:$I$89,3,0)*VLOOKUP('Données projet'!$B$9,Paramètres!$A$1:$I$89,5,0)</f>
        <v>4.1744008912793999</v>
      </c>
      <c r="P10" s="13">
        <f t="shared" si="33"/>
        <v>1.6289548976509303</v>
      </c>
      <c r="Q10" s="20">
        <f t="shared" si="2"/>
        <v>10.107511332386993</v>
      </c>
      <c r="R10" s="59">
        <f t="shared" si="0"/>
        <v>194.23169226812323</v>
      </c>
      <c r="S10" s="59">
        <f ca="1">AVERAGE(OFFSET($R$3,0,0,'Données projet'!$E$9+1,1))-AVERAGE(OFFSET($H$3,0,0,'Données projet'!$E$9+1,1))</f>
        <v>452.67426184967104</v>
      </c>
      <c r="T10" s="59">
        <f t="shared" si="34"/>
        <v>310.47823616327639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2.0085470085470085</v>
      </c>
      <c r="AI10" s="13">
        <f>IF('Données projet'!$A$62&gt;35,AI9+AH10-AQ9,IF(A10&lt;'Données projet'!$A$62,$AF$205^A10,IF(A10='Données projet'!$A$62,'Données projet'!$B$62,AI9+AH10-AQ9)))</f>
        <v>4.899903433839456</v>
      </c>
      <c r="AJ10" s="13">
        <f>AI10*VLOOKUP('Données projet'!$B$10,Paramètres!$A$1:$I$89,3,0)*VLOOKUP('Données projet'!$B$10,Paramètres!$A$1:$I$89,5,0)</f>
        <v>5.1213790690489995</v>
      </c>
      <c r="AK10" s="13">
        <f t="shared" si="35"/>
        <v>1.9514900860374758</v>
      </c>
      <c r="AL10" s="20">
        <f t="shared" si="4"/>
        <v>12.318580445108942</v>
      </c>
      <c r="AM10" s="59">
        <f t="shared" si="5"/>
        <v>196.44276138084518</v>
      </c>
      <c r="AN10" s="59">
        <f ca="1">AVERAGE(OFFSET($AM$3,0,0,'Données projet'!$E$10+1,1))-AVERAGE(OFFSET($H$3,0,0,'Données projet'!$E$10+1,1))</f>
        <v>528.45201982036087</v>
      </c>
      <c r="AO10" s="59">
        <f t="shared" si="36"/>
        <v>321.23004033257985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1.05</v>
      </c>
      <c r="BD10" s="12">
        <f>IF('Données projet'!$A$88&gt;35,BD9+BC10-BL9,IF(A10&lt;'Données projet'!$A$88,$BA$205^A10,IF(A10='Données projet'!$A$88,'Données projet'!$B$88,BD9+BC10-BL9)))</f>
        <v>2.9025302401826014</v>
      </c>
      <c r="BE10" s="13">
        <f>BD10*VLOOKUP('Données projet'!$B$11,Paramètres!$A$1:$I$89,3,0)*VLOOKUP('Données projet'!$B$11,Paramètres!$A$1:$I$89,5,0)</f>
        <v>2.8073272483046123</v>
      </c>
      <c r="BF10" s="13">
        <f t="shared" si="37"/>
        <v>1.1472651354833312</v>
      </c>
      <c r="BG10" s="20">
        <f t="shared" si="7"/>
        <v>6.887581735097335</v>
      </c>
      <c r="BH10" s="59">
        <f t="shared" si="8"/>
        <v>191.01176267083358</v>
      </c>
      <c r="BI10" s="59">
        <f ca="1">AVERAGE(OFFSET($BH$3,0,0,'Données projet'!$E$11+1,1))-AVERAGE(OFFSET($H$3,0,0,'Données projet'!$E$11+1,1))</f>
        <v>289.06522051625166</v>
      </c>
      <c r="BJ10" s="59">
        <f t="shared" si="38"/>
        <v>173.19148969173838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3.45</v>
      </c>
      <c r="BY10" s="12">
        <f>IF('Données projet'!$A$114&gt;35,BY9+BX10-CG9,IF(A10&lt;'Données projet'!$A$114,$BV$205^A10,IF(A10='Données projet'!$A$114,'Données projet'!$B$114,BY9+BX10-CG9)))</f>
        <v>4.4014642806089279</v>
      </c>
      <c r="BZ10" s="13">
        <f>BY10*VLOOKUP('Données projet'!$B$12,Paramètres!$A$1:$I$89,3,0)*VLOOKUP('Données projet'!$B$12,Paramètres!$A$1:$I$89,5,0)</f>
        <v>3.5704678244299624</v>
      </c>
      <c r="CA10" s="13">
        <f t="shared" si="39"/>
        <v>1.4188614336113932</v>
      </c>
      <c r="CB10" s="20">
        <f t="shared" si="10"/>
        <v>8.6897484577553605</v>
      </c>
      <c r="CC10" s="59">
        <f t="shared" si="11"/>
        <v>192.81392939349161</v>
      </c>
      <c r="CD10" s="59">
        <f ca="1">AVERAGE(OFFSET($CC$3,0,0,'Données projet'!$E$12+1,1))-AVERAGE(OFFSET($H$3,0,0,'Données projet'!$E$12+1,1))</f>
        <v>306.06916761900357</v>
      </c>
      <c r="CE10" s="59">
        <f t="shared" si="40"/>
        <v>258.90832875500337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2.85</v>
      </c>
      <c r="CT10" s="12">
        <f>IF('Données projet'!$A$140&gt;35,CT9+CS10-DB9,IF(A10&lt;'Données projet'!$A$140,$CQ$205^A10,IF(A10='Données projet'!$A$140,'Données projet'!$B$140,CT9+CS10-DB9)))</f>
        <v>4.116766164969822</v>
      </c>
      <c r="CU10" s="17">
        <f>CT10*VLOOKUP('Données projet'!$B$13,Paramètres!$A$1:$I$89,3,0)*VLOOKUP('Données projet'!$B$13,Paramètres!$A$1:$I$89,5,0)</f>
        <v>2.7615267434617565</v>
      </c>
      <c r="CV10" s="13">
        <f t="shared" si="41"/>
        <v>1.1307108125805532</v>
      </c>
      <c r="CW10" s="20">
        <f t="shared" si="13"/>
        <v>6.7789804101070219</v>
      </c>
      <c r="CX10" s="59">
        <f t="shared" si="14"/>
        <v>190.90316134584324</v>
      </c>
      <c r="CY10" s="59">
        <f ca="1">AVERAGE(OFFSET($CX$3,0,0,'Données projet'!$E$13+1,1))-AVERAGE(OFFSET($H$3,0,0,'Données projet'!$E$13+1,1))</f>
        <v>324.58754156328285</v>
      </c>
      <c r="CZ10" s="59">
        <f t="shared" si="42"/>
        <v>226.01037731977604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7.2264102564102561</v>
      </c>
      <c r="DO10" s="12">
        <f>IF('Données projet'!$A$166&gt;35,DO9+DN10-DW9,IF(A10&lt;'Données projet'!$A$166,$DL$205^A10,IF(A10='Données projet'!$A$166,'Données projet'!$B$166,DO9+DN10-DW9)))</f>
        <v>3.5081398877252363</v>
      </c>
      <c r="DP10" s="17">
        <f>DO10*VLOOKUP('Données projet'!$B$14,Paramètres!$A$1:$I$89,3,0)*VLOOKUP('Données projet'!$B$14,Paramètres!$A$1:$I$89,5,0)</f>
        <v>1.6418094674554107</v>
      </c>
      <c r="DQ10" s="13">
        <f t="shared" si="43"/>
        <v>0.71418586714920729</v>
      </c>
      <c r="DR10" s="20">
        <f t="shared" si="16"/>
        <v>4.1033585411030424</v>
      </c>
      <c r="DS10" s="59">
        <f t="shared" si="17"/>
        <v>188.22753947683927</v>
      </c>
      <c r="DT10" s="59">
        <f ca="1">AVERAGE(OFFSET($DS$3,0,0,'Données projet'!$E$14+1,1))-AVERAGE(OFFSET($H$3,0,0,'Données projet'!$E$14+1,1))</f>
        <v>325.93182817189722</v>
      </c>
      <c r="DU10" s="59">
        <f t="shared" si="44"/>
        <v>280.04509991782709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4.75</v>
      </c>
      <c r="EJ10" s="12">
        <f>IF('Données projet'!$A$192&gt;35,EJ9+EI10-ER9,IF(A10&lt;'Données projet'!$A$192,$EG$205^A10,IF(A10='Données projet'!$A$192,'Données projet'!$B$192,EJ9+EI10-ER9)))</f>
        <v>4.9226987771675601</v>
      </c>
      <c r="EK10" s="17">
        <f>EJ10*VLOOKUP('Données projet'!$B$15,Paramètres!$A$1:$I$89,3,0)*VLOOKUP('Données projet'!$B$15,Paramètres!$A$1:$I$89,5,0)</f>
        <v>3.9164991471145107</v>
      </c>
      <c r="EL10" s="13">
        <f t="shared" si="45"/>
        <v>1.5397023397997951</v>
      </c>
      <c r="EM10" s="20">
        <f t="shared" si="19"/>
        <v>9.5028842563757507</v>
      </c>
      <c r="EN10" s="59">
        <f t="shared" si="20"/>
        <v>193.62706519211198</v>
      </c>
      <c r="EO10" s="59">
        <f ca="1">AVERAGE(OFFSET($EN$3,0,0,'Données projet'!$E$15+1,1))-AVERAGE(OFFSET($H$3,0,0,'Données projet'!$E$15+1,1))</f>
        <v>333.52903437536651</v>
      </c>
      <c r="EP10" s="59">
        <f t="shared" si="46"/>
        <v>359.47288701414777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2.3805128205128203</v>
      </c>
      <c r="FE10" s="12">
        <f>IF('Données projet'!$A$218&gt;35,FE9+FD10-FM9,IF(A10&lt;'Données projet'!$A$218,$FB$205^A10,IF(A10='Données projet'!$A$218,'Données projet'!$B$218,FE9+FD10-FM9)))</f>
        <v>5.304227780361269</v>
      </c>
      <c r="FF10" s="17">
        <f>FE10*VLOOKUP('Données projet'!$B$16,Paramètres!$A$1:$I$89,3,0)*VLOOKUP('Données projet'!$B$16,Paramètres!$A$1:$I$89,5,0)</f>
        <v>3.1719282126560389</v>
      </c>
      <c r="FG10" s="13">
        <f t="shared" si="47"/>
        <v>1.2779721120125676</v>
      </c>
      <c r="FH10" s="20">
        <f t="shared" si="22"/>
        <v>7.7502430654644883</v>
      </c>
      <c r="FI10" s="59">
        <f t="shared" si="23"/>
        <v>191.87442400120074</v>
      </c>
      <c r="FJ10" s="59">
        <f ca="1">AVERAGE(OFFSET($FI$3,0,0,'Données projet'!$E$16+1,1))-AVERAGE(OFFSET($H$3,0,0,'Données projet'!$E$16+1,1))</f>
        <v>313.26988717307376</v>
      </c>
      <c r="FK10" s="59">
        <f t="shared" si="48"/>
        <v>248.17359813993201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1.05</v>
      </c>
      <c r="FZ10" s="12">
        <f>IF('Données projet'!$A$244&gt;35,FZ9+FY10-GH9,IF(A10&lt;'Données projet'!$A$244,$FW$205^A10,IF(A10='Données projet'!$A$244,'Données projet'!$B$244,FZ9+FY10-GH9)))</f>
        <v>2.9025302401826014</v>
      </c>
      <c r="GA10" s="17">
        <f>FZ10*VLOOKUP('Données projet'!$B$17,Paramètres!$A$1:$I$89,3,0)*VLOOKUP('Données projet'!$B$17,Paramètres!$A$1:$I$89,5,0)</f>
        <v>3.1242835505325521</v>
      </c>
      <c r="GB10" s="13">
        <f t="shared" si="49"/>
        <v>1.2609955548532519</v>
      </c>
      <c r="GC10" s="20">
        <f t="shared" si="25"/>
        <v>7.6376944418802752</v>
      </c>
      <c r="GD10" s="59">
        <f t="shared" si="26"/>
        <v>191.76187537761652</v>
      </c>
      <c r="GE10" s="59">
        <f ca="1">AVERAGE(OFFSET($GD$3,0,0,'Données projet'!$E$17+1,1))-AVERAGE(OFFSET($H$3,0,0,'Données projet'!$E$17+1,1))</f>
        <v>313.51355235711543</v>
      </c>
      <c r="GF10" s="59">
        <f t="shared" si="50"/>
        <v>186.0840067781198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2.85</v>
      </c>
      <c r="N11" s="13">
        <f>IF('Données projet'!$A$36&gt;35,N10+M11-V10,IF(A11&lt;'Données projet'!$A$36,$K$205^A11,IF(A11='Données projet'!$A$36,'Données projet'!$B$36,N10+M11-V10)))</f>
        <v>5.0390647890332847</v>
      </c>
      <c r="O11" s="13">
        <f>N11*VLOOKUP('Données projet'!$B$9,Paramètres!$A$1:$I$89,3,0)*VLOOKUP('Données projet'!$B$9,Paramètres!$A$1:$I$89,5,0)</f>
        <v>5.1096116960797513</v>
      </c>
      <c r="P11" s="13">
        <f t="shared" si="33"/>
        <v>1.9475275541026487</v>
      </c>
      <c r="Q11" s="20">
        <f t="shared" si="2"/>
        <v>12.29118419406768</v>
      </c>
      <c r="R11" s="59">
        <f t="shared" si="0"/>
        <v>199.04445706028824</v>
      </c>
      <c r="S11" s="59">
        <f ca="1">AVERAGE(OFFSET($R$3,0,0,'Données projet'!$E$9+1,1))-AVERAGE(OFFSET($H$3,0,0,'Données projet'!$E$9+1,1))</f>
        <v>452.67426184967104</v>
      </c>
      <c r="T11" s="59">
        <f t="shared" si="34"/>
        <v>310.47823616327639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2.0085470085470085</v>
      </c>
      <c r="AI11" s="13">
        <f>IF('Données projet'!$A$62&gt;35,AI10+AH11-AQ10,IF(A11&lt;'Données projet'!$A$62,$AF$205^A11,IF(A11='Données projet'!$A$62,'Données projet'!$B$62,AI10+AH11-AQ10)))</f>
        <v>6.1487344669152542</v>
      </c>
      <c r="AJ11" s="13">
        <f>AI11*VLOOKUP('Données projet'!$B$10,Paramètres!$A$1:$I$89,3,0)*VLOOKUP('Données projet'!$B$10,Paramètres!$A$1:$I$89,5,0)</f>
        <v>6.4266572648198244</v>
      </c>
      <c r="AK11" s="13">
        <f t="shared" si="35"/>
        <v>2.3849964345630501</v>
      </c>
      <c r="AL11" s="20">
        <f t="shared" si="4"/>
        <v>15.346963526425172</v>
      </c>
      <c r="AM11" s="59">
        <f t="shared" si="5"/>
        <v>202.10023639264574</v>
      </c>
      <c r="AN11" s="59">
        <f ca="1">AVERAGE(OFFSET($AM$3,0,0,'Données projet'!$E$10+1,1))-AVERAGE(OFFSET($H$3,0,0,'Données projet'!$E$10+1,1))</f>
        <v>528.45201982036087</v>
      </c>
      <c r="AO11" s="59">
        <f t="shared" si="36"/>
        <v>321.23004033257985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1.05</v>
      </c>
      <c r="BD11" s="12">
        <f>IF('Données projet'!$A$88&gt;35,BD10+BC11-BL10,IF(A11&lt;'Données projet'!$A$88,$BA$205^A11,IF(A11='Données projet'!$A$88,'Données projet'!$B$88,BD10+BC11-BL10)))</f>
        <v>3.3797744452354301</v>
      </c>
      <c r="BE11" s="13">
        <f>BD11*VLOOKUP('Données projet'!$B$11,Paramètres!$A$1:$I$89,3,0)*VLOOKUP('Données projet'!$B$11,Paramètres!$A$1:$I$89,5,0)</f>
        <v>3.2689178434317077</v>
      </c>
      <c r="BF11" s="13">
        <f t="shared" si="37"/>
        <v>1.3124399582504287</v>
      </c>
      <c r="BG11" s="20">
        <f t="shared" si="7"/>
        <v>7.9791981712630529</v>
      </c>
      <c r="BH11" s="59">
        <f t="shared" si="8"/>
        <v>194.73247103748361</v>
      </c>
      <c r="BI11" s="59">
        <f ca="1">AVERAGE(OFFSET($BH$3,0,0,'Données projet'!$E$11+1,1))-AVERAGE(OFFSET($H$3,0,0,'Données projet'!$E$11+1,1))</f>
        <v>289.06522051625166</v>
      </c>
      <c r="BJ11" s="59">
        <f t="shared" si="38"/>
        <v>173.19148969173838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3.45</v>
      </c>
      <c r="BY11" s="12">
        <f>IF('Données projet'!$A$114&gt;35,BY10+BX11-CG10,IF(A11&lt;'Données projet'!$A$114,$BV$205^A11,IF(A11='Données projet'!$A$114,'Données projet'!$B$114,BY10+BX11-CG10)))</f>
        <v>5.4392577135295239</v>
      </c>
      <c r="BZ11" s="13">
        <f>BY11*VLOOKUP('Données projet'!$B$12,Paramètres!$A$1:$I$89,3,0)*VLOOKUP('Données projet'!$B$12,Paramètres!$A$1:$I$89,5,0)</f>
        <v>4.4123258572151505</v>
      </c>
      <c r="CA11" s="13">
        <f t="shared" si="39"/>
        <v>1.7107255316606886</v>
      </c>
      <c r="CB11" s="20">
        <f t="shared" si="10"/>
        <v>10.664314502292086</v>
      </c>
      <c r="CC11" s="59">
        <f t="shared" si="11"/>
        <v>197.41758736851264</v>
      </c>
      <c r="CD11" s="59">
        <f ca="1">AVERAGE(OFFSET($CC$3,0,0,'Données projet'!$E$12+1,1))-AVERAGE(OFFSET($H$3,0,0,'Données projet'!$E$12+1,1))</f>
        <v>306.06916761900357</v>
      </c>
      <c r="CE11" s="59">
        <f t="shared" si="40"/>
        <v>258.90832875500337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2.85</v>
      </c>
      <c r="CT11" s="12">
        <f>IF('Données projet'!$A$140&gt;35,CT10+CS11-DB10,IF(A11&lt;'Données projet'!$A$140,$CQ$205^A11,IF(A11='Données projet'!$A$140,'Données projet'!$B$140,CT10+CS11-DB10)))</f>
        <v>5.0390647890332847</v>
      </c>
      <c r="CU11" s="17">
        <f>CT11*VLOOKUP('Données projet'!$B$13,Paramètres!$A$1:$I$89,3,0)*VLOOKUP('Données projet'!$B$13,Paramètres!$A$1:$I$89,5,0)</f>
        <v>3.3802046604835274</v>
      </c>
      <c r="CV11" s="13">
        <f t="shared" si="41"/>
        <v>1.3518425012245552</v>
      </c>
      <c r="CW11" s="20">
        <f t="shared" si="13"/>
        <v>8.2416488066415781</v>
      </c>
      <c r="CX11" s="59">
        <f t="shared" si="14"/>
        <v>194.99492167286212</v>
      </c>
      <c r="CY11" s="59">
        <f ca="1">AVERAGE(OFFSET($CX$3,0,0,'Données projet'!$E$13+1,1))-AVERAGE(OFFSET($H$3,0,0,'Données projet'!$E$13+1,1))</f>
        <v>324.58754156328285</v>
      </c>
      <c r="CZ11" s="59">
        <f t="shared" si="42"/>
        <v>226.01037731977604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7.2264102564102561</v>
      </c>
      <c r="DO11" s="12">
        <f>IF('Données projet'!$A$166&gt;35,DO10+DN11-DW10,IF(A11&lt;'Données projet'!$A$166,$DL$205^A11,IF(A11='Données projet'!$A$166,'Données projet'!$B$166,DO10+DN11-DW10)))</f>
        <v>4.1970585866050225</v>
      </c>
      <c r="DP11" s="17">
        <f>DO11*VLOOKUP('Données projet'!$B$14,Paramètres!$A$1:$I$89,3,0)*VLOOKUP('Données projet'!$B$14,Paramètres!$A$1:$I$89,5,0)</f>
        <v>1.9642234185311505</v>
      </c>
      <c r="DQ11" s="13">
        <f t="shared" si="43"/>
        <v>0.83678816759654573</v>
      </c>
      <c r="DR11" s="20">
        <f t="shared" si="16"/>
        <v>4.8784285125057369</v>
      </c>
      <c r="DS11" s="59">
        <f t="shared" si="17"/>
        <v>191.63170137872629</v>
      </c>
      <c r="DT11" s="59">
        <f ca="1">AVERAGE(OFFSET($DS$3,0,0,'Données projet'!$E$14+1,1))-AVERAGE(OFFSET($H$3,0,0,'Données projet'!$E$14+1,1))</f>
        <v>325.93182817189722</v>
      </c>
      <c r="DU11" s="59">
        <f t="shared" si="44"/>
        <v>280.04509991782709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4.75</v>
      </c>
      <c r="EJ11" s="12">
        <f>IF('Données projet'!$A$192&gt;35,EJ10+EI11-ER10,IF(A11&lt;'Données projet'!$A$192,$EG$205^A11,IF(A11='Données projet'!$A$192,'Données projet'!$B$192,EJ10+EI11-ER10)))</f>
        <v>6.1814369253798551</v>
      </c>
      <c r="EK11" s="17">
        <f>EJ11*VLOOKUP('Données projet'!$B$15,Paramètres!$A$1:$I$89,3,0)*VLOOKUP('Données projet'!$B$15,Paramètres!$A$1:$I$89,5,0)</f>
        <v>4.9179512178322131</v>
      </c>
      <c r="EL11" s="13">
        <f t="shared" si="45"/>
        <v>1.8828364559270923</v>
      </c>
      <c r="EM11" s="20">
        <f t="shared" si="19"/>
        <v>11.844705198464125</v>
      </c>
      <c r="EN11" s="59">
        <f t="shared" si="20"/>
        <v>198.59797806468467</v>
      </c>
      <c r="EO11" s="59">
        <f ca="1">AVERAGE(OFFSET($EN$3,0,0,'Données projet'!$E$15+1,1))-AVERAGE(OFFSET($H$3,0,0,'Données projet'!$E$15+1,1))</f>
        <v>333.52903437536651</v>
      </c>
      <c r="EP11" s="59">
        <f t="shared" si="46"/>
        <v>359.47288701414777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2.3805128205128203</v>
      </c>
      <c r="FE11" s="12">
        <f>IF('Données projet'!$A$218&gt;35,FE10+FD11-FM10,IF(A11&lt;'Données projet'!$A$218,$FB$205^A11,IF(A11='Données projet'!$A$218,'Données projet'!$B$218,FE10+FD11-FM10)))</f>
        <v>6.7319304121702404</v>
      </c>
      <c r="FF11" s="17">
        <f>FE11*VLOOKUP('Données projet'!$B$16,Paramètres!$A$1:$I$89,3,0)*VLOOKUP('Données projet'!$B$16,Paramètres!$A$1:$I$89,5,0)</f>
        <v>4.0256943864778041</v>
      </c>
      <c r="FG11" s="13">
        <f t="shared" si="47"/>
        <v>1.5775727558271786</v>
      </c>
      <c r="FH11" s="20">
        <f t="shared" si="22"/>
        <v>9.759023606181179</v>
      </c>
      <c r="FI11" s="59">
        <f t="shared" si="23"/>
        <v>196.51229647240174</v>
      </c>
      <c r="FJ11" s="59">
        <f ca="1">AVERAGE(OFFSET($FI$3,0,0,'Données projet'!$E$16+1,1))-AVERAGE(OFFSET($H$3,0,0,'Données projet'!$E$16+1,1))</f>
        <v>313.26988717307376</v>
      </c>
      <c r="FK11" s="59">
        <f t="shared" si="48"/>
        <v>248.17359813993201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1.05</v>
      </c>
      <c r="FZ11" s="12">
        <f>IF('Données projet'!$A$244&gt;35,FZ10+FY11-GH10,IF(A11&lt;'Données projet'!$A$244,$FW$205^A11,IF(A11='Données projet'!$A$244,'Données projet'!$B$244,FZ10+FY11-GH10)))</f>
        <v>3.3797744452354301</v>
      </c>
      <c r="GA11" s="17">
        <f>FZ11*VLOOKUP('Données projet'!$B$17,Paramètres!$A$1:$I$89,3,0)*VLOOKUP('Données projet'!$B$17,Paramètres!$A$1:$I$89,5,0)</f>
        <v>3.6379892128514166</v>
      </c>
      <c r="GB11" s="13">
        <f t="shared" si="49"/>
        <v>1.4425444495603463</v>
      </c>
      <c r="GC11" s="20">
        <f t="shared" si="25"/>
        <v>8.8485961287004873</v>
      </c>
      <c r="GD11" s="59">
        <f t="shared" si="26"/>
        <v>195.60186899492103</v>
      </c>
      <c r="GE11" s="59">
        <f ca="1">AVERAGE(OFFSET($GD$3,0,0,'Données projet'!$E$17+1,1))-AVERAGE(OFFSET($H$3,0,0,'Données projet'!$E$17+1,1))</f>
        <v>313.51355235711543</v>
      </c>
      <c r="GF11" s="59">
        <f t="shared" si="50"/>
        <v>186.0840067781198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2.85</v>
      </c>
      <c r="N12" s="13">
        <f>IF('Données projet'!$A$36&gt;35,N11+M12-V11,IF(A12&lt;'Données projet'!$A$36,$K$205^A12,IF(A12='Données projet'!$A$36,'Données projet'!$B$36,N11+M12-V11)))</f>
        <v>6.167990342551116</v>
      </c>
      <c r="O12" s="13">
        <f>N12*VLOOKUP('Données projet'!$B$9,Paramètres!$A$1:$I$89,3,0)*VLOOKUP('Données projet'!$B$9,Paramètres!$A$1:$I$89,5,0)</f>
        <v>6.2543422073468316</v>
      </c>
      <c r="P12" s="13">
        <f t="shared" si="33"/>
        <v>2.3284030634971082</v>
      </c>
      <c r="Q12" s="20">
        <f t="shared" si="2"/>
        <v>14.948281346719861</v>
      </c>
      <c r="R12" s="59">
        <f t="shared" si="0"/>
        <v>204.30624009927593</v>
      </c>
      <c r="S12" s="59">
        <f ca="1">AVERAGE(OFFSET($R$3,0,0,'Données projet'!$E$9+1,1))-AVERAGE(OFFSET($H$3,0,0,'Données projet'!$E$9+1,1))</f>
        <v>452.67426184967104</v>
      </c>
      <c r="T12" s="59">
        <f t="shared" si="34"/>
        <v>310.47823616327639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2.0085470085470085</v>
      </c>
      <c r="AI12" s="13">
        <f>IF('Données projet'!$A$62&gt;35,AI11+AH12-AQ11,IF(A12&lt;'Données projet'!$A$62,$AF$205^A12,IF(A12='Données projet'!$A$62,'Données projet'!$B$62,AI11+AH12-AQ11)))</f>
        <v>7.715853190806035</v>
      </c>
      <c r="AJ12" s="13">
        <f>AI12*VLOOKUP('Données projet'!$B$10,Paramètres!$A$1:$I$89,3,0)*VLOOKUP('Données projet'!$B$10,Paramètres!$A$1:$I$89,5,0)</f>
        <v>8.0646097550304692</v>
      </c>
      <c r="AK12" s="13">
        <f t="shared" si="35"/>
        <v>2.9148024033411493</v>
      </c>
      <c r="AL12" s="20">
        <f t="shared" si="4"/>
        <v>19.122476175830567</v>
      </c>
      <c r="AM12" s="59">
        <f t="shared" si="5"/>
        <v>208.48043492838664</v>
      </c>
      <c r="AN12" s="59">
        <f ca="1">AVERAGE(OFFSET($AM$3,0,0,'Données projet'!$E$10+1,1))-AVERAGE(OFFSET($H$3,0,0,'Données projet'!$E$10+1,1))</f>
        <v>528.45201982036087</v>
      </c>
      <c r="AO12" s="59">
        <f t="shared" si="36"/>
        <v>321.23004033257985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1.05</v>
      </c>
      <c r="BD12" s="12">
        <f>IF('Données projet'!$A$88&gt;35,BD11+BC12-BL11,IF(A12&lt;'Données projet'!$A$88,$BA$205^A12,IF(A12='Données projet'!$A$88,'Données projet'!$B$88,BD11+BC12-BL11)))</f>
        <v>3.9354888168013828</v>
      </c>
      <c r="BE12" s="13">
        <f>BD12*VLOOKUP('Données projet'!$B$11,Paramètres!$A$1:$I$89,3,0)*VLOOKUP('Données projet'!$B$11,Paramètres!$A$1:$I$89,5,0)</f>
        <v>3.8064047836102977</v>
      </c>
      <c r="BF12" s="13">
        <f t="shared" si="37"/>
        <v>1.5013954409821026</v>
      </c>
      <c r="BG12" s="20">
        <f t="shared" si="7"/>
        <v>9.2444187244984306</v>
      </c>
      <c r="BH12" s="59">
        <f t="shared" si="8"/>
        <v>198.60237747705452</v>
      </c>
      <c r="BI12" s="59">
        <f ca="1">AVERAGE(OFFSET($BH$3,0,0,'Données projet'!$E$11+1,1))-AVERAGE(OFFSET($H$3,0,0,'Données projet'!$E$11+1,1))</f>
        <v>289.06522051625166</v>
      </c>
      <c r="BJ12" s="59">
        <f t="shared" si="38"/>
        <v>173.19148969173838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3.45</v>
      </c>
      <c r="BY12" s="12">
        <f>IF('Données projet'!$A$114&gt;35,BY11+BX12-CG11,IF(A12&lt;'Données projet'!$A$114,$BV$205^A12,IF(A12='Données projet'!$A$114,'Données projet'!$B$114,BY11+BX12-CG11)))</f>
        <v>6.7217458981849019</v>
      </c>
      <c r="BZ12" s="13">
        <f>BY12*VLOOKUP('Données projet'!$B$12,Paramètres!$A$1:$I$89,3,0)*VLOOKUP('Données projet'!$B$12,Paramètres!$A$1:$I$89,5,0)</f>
        <v>5.4526802726075925</v>
      </c>
      <c r="CA12" s="13">
        <f t="shared" si="39"/>
        <v>2.0626269594394349</v>
      </c>
      <c r="CB12" s="20">
        <f t="shared" si="10"/>
        <v>13.089160095815238</v>
      </c>
      <c r="CC12" s="59">
        <f t="shared" si="11"/>
        <v>202.4471188483713</v>
      </c>
      <c r="CD12" s="59">
        <f ca="1">AVERAGE(OFFSET($CC$3,0,0,'Données projet'!$E$12+1,1))-AVERAGE(OFFSET($H$3,0,0,'Données projet'!$E$12+1,1))</f>
        <v>306.06916761900357</v>
      </c>
      <c r="CE12" s="59">
        <f t="shared" si="40"/>
        <v>258.90832875500337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2.85</v>
      </c>
      <c r="CT12" s="12">
        <f>IF('Données projet'!$A$140&gt;35,CT11+CS12-DB11,IF(A12&lt;'Données projet'!$A$140,$CQ$205^A12,IF(A12='Données projet'!$A$140,'Données projet'!$B$140,CT11+CS12-DB11)))</f>
        <v>6.167990342551116</v>
      </c>
      <c r="CU12" s="17">
        <f>CT12*VLOOKUP('Données projet'!$B$13,Paramètres!$A$1:$I$89,3,0)*VLOOKUP('Données projet'!$B$13,Paramètres!$A$1:$I$89,5,0)</f>
        <v>4.1374879217832889</v>
      </c>
      <c r="CV12" s="13">
        <f t="shared" si="41"/>
        <v>1.6162206355366131</v>
      </c>
      <c r="CW12" s="20">
        <f t="shared" si="13"/>
        <v>10.021042403998829</v>
      </c>
      <c r="CX12" s="59">
        <f t="shared" si="14"/>
        <v>199.37900115655489</v>
      </c>
      <c r="CY12" s="59">
        <f ca="1">AVERAGE(OFFSET($CX$3,0,0,'Données projet'!$E$13+1,1))-AVERAGE(OFFSET($H$3,0,0,'Données projet'!$E$13+1,1))</f>
        <v>324.58754156328285</v>
      </c>
      <c r="CZ12" s="59">
        <f t="shared" si="42"/>
        <v>226.01037731977604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7.2264102564102561</v>
      </c>
      <c r="DO12" s="12">
        <f>IF('Données projet'!$A$166&gt;35,DO11+DN12-DW11,IF(A12&lt;'Données projet'!$A$166,$DL$205^A12,IF(A12='Données projet'!$A$166,'Données projet'!$B$166,DO11+DN12-DW11)))</f>
        <v>5.0212652126643498</v>
      </c>
      <c r="DP12" s="17">
        <f>DO12*VLOOKUP('Données projet'!$B$14,Paramètres!$A$1:$I$89,3,0)*VLOOKUP('Données projet'!$B$14,Paramètres!$A$1:$I$89,5,0)</f>
        <v>2.349952119526916</v>
      </c>
      <c r="DQ12" s="13">
        <f t="shared" si="43"/>
        <v>0.98043726379605944</v>
      </c>
      <c r="DR12" s="20">
        <f t="shared" si="16"/>
        <v>5.8004281759541811</v>
      </c>
      <c r="DS12" s="59">
        <f t="shared" si="17"/>
        <v>195.15838692851025</v>
      </c>
      <c r="DT12" s="59">
        <f ca="1">AVERAGE(OFFSET($DS$3,0,0,'Données projet'!$E$14+1,1))-AVERAGE(OFFSET($H$3,0,0,'Données projet'!$E$14+1,1))</f>
        <v>325.93182817189722</v>
      </c>
      <c r="DU12" s="59">
        <f t="shared" si="44"/>
        <v>280.04509991782709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4.75</v>
      </c>
      <c r="EJ12" s="12">
        <f>IF('Données projet'!$A$192&gt;35,EJ11+EI12-ER11,IF(A12&lt;'Données projet'!$A$192,$EG$205^A12,IF(A12='Données projet'!$A$192,'Données projet'!$B$192,EJ11+EI12-ER11)))</f>
        <v>7.7620354590201153</v>
      </c>
      <c r="EK12" s="17">
        <f>EJ12*VLOOKUP('Données projet'!$B$15,Paramètres!$A$1:$I$89,3,0)*VLOOKUP('Données projet'!$B$15,Paramètres!$A$1:$I$89,5,0)</f>
        <v>6.1754754111964036</v>
      </c>
      <c r="EL12" s="13">
        <f t="shared" si="45"/>
        <v>2.3024405614847958</v>
      </c>
      <c r="EM12" s="20">
        <f t="shared" si="19"/>
        <v>14.765703652419754</v>
      </c>
      <c r="EN12" s="59">
        <f t="shared" si="20"/>
        <v>204.12366240497582</v>
      </c>
      <c r="EO12" s="59">
        <f ca="1">AVERAGE(OFFSET($EN$3,0,0,'Données projet'!$E$15+1,1))-AVERAGE(OFFSET($H$3,0,0,'Données projet'!$E$15+1,1))</f>
        <v>333.52903437536651</v>
      </c>
      <c r="EP12" s="59">
        <f t="shared" si="46"/>
        <v>359.47288701414777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2.3805128205128203</v>
      </c>
      <c r="FE12" s="12">
        <f>IF('Données projet'!$A$218&gt;35,FE11+FD12-FM11,IF(A12&lt;'Données projet'!$A$218,$FB$205^A12,IF(A12='Données projet'!$A$218,'Données projet'!$B$218,FE11+FD12-FM11)))</f>
        <v>8.5439179746567984</v>
      </c>
      <c r="FF12" s="17">
        <f>FE12*VLOOKUP('Données projet'!$B$16,Paramètres!$A$1:$I$89,3,0)*VLOOKUP('Données projet'!$B$16,Paramètres!$A$1:$I$89,5,0)</f>
        <v>5.1092629488447656</v>
      </c>
      <c r="FG12" s="13">
        <f t="shared" si="47"/>
        <v>1.9474101011553873</v>
      </c>
      <c r="FH12" s="20">
        <f t="shared" si="22"/>
        <v>12.290372228750266</v>
      </c>
      <c r="FI12" s="59">
        <f t="shared" si="23"/>
        <v>201.64833098130634</v>
      </c>
      <c r="FJ12" s="59">
        <f ca="1">AVERAGE(OFFSET($FI$3,0,0,'Données projet'!$E$16+1,1))-AVERAGE(OFFSET($H$3,0,0,'Données projet'!$E$16+1,1))</f>
        <v>313.26988717307376</v>
      </c>
      <c r="FK12" s="59">
        <f t="shared" si="48"/>
        <v>248.17359813993201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1.05</v>
      </c>
      <c r="FZ12" s="12">
        <f>IF('Données projet'!$A$244&gt;35,FZ11+FY12-GH11,IF(A12&lt;'Données projet'!$A$244,$FW$205^A12,IF(A12='Données projet'!$A$244,'Données projet'!$B$244,FZ11+FY12-GH11)))</f>
        <v>3.9354888168013828</v>
      </c>
      <c r="GA12" s="17">
        <f>FZ12*VLOOKUP('Données projet'!$B$17,Paramètres!$A$1:$I$89,3,0)*VLOOKUP('Données projet'!$B$17,Paramètres!$A$1:$I$89,5,0)</f>
        <v>4.2361601624050085</v>
      </c>
      <c r="GB12" s="13">
        <f t="shared" si="49"/>
        <v>1.6502314230596411</v>
      </c>
      <c r="GC12" s="20">
        <f t="shared" si="25"/>
        <v>10.252132011350932</v>
      </c>
      <c r="GD12" s="59">
        <f t="shared" si="26"/>
        <v>199.61009076390701</v>
      </c>
      <c r="GE12" s="59">
        <f ca="1">AVERAGE(OFFSET($GD$3,0,0,'Données projet'!$E$17+1,1))-AVERAGE(OFFSET($H$3,0,0,'Données projet'!$E$17+1,1))</f>
        <v>313.51355235711543</v>
      </c>
      <c r="GF12" s="59">
        <f t="shared" si="50"/>
        <v>186.0840067781198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2.85</v>
      </c>
      <c r="N13" s="13">
        <f>IF('Données projet'!$A$36&gt;35,N12+M13-V12,IF(A13&lt;'Données projet'!$A$36,$K$205^A13,IF(A13='Données projet'!$A$36,'Données projet'!$B$36,N12+M13-V12)))</f>
        <v>7.5498344352707516</v>
      </c>
      <c r="O13" s="13">
        <f>N13*VLOOKUP('Données projet'!$B$9,Paramètres!$A$1:$I$89,3,0)*VLOOKUP('Données projet'!$B$9,Paramètres!$A$1:$I$89,5,0)</f>
        <v>7.6555321173645421</v>
      </c>
      <c r="P13" s="13">
        <f t="shared" si="33"/>
        <v>2.7837659162674777</v>
      </c>
      <c r="Q13" s="20">
        <f t="shared" si="2"/>
        <v>18.181777408575769</v>
      </c>
      <c r="R13" s="59">
        <f t="shared" si="0"/>
        <v>210.12043939362064</v>
      </c>
      <c r="S13" s="59">
        <f ca="1">AVERAGE(OFFSET($R$3,0,0,'Données projet'!$E$9+1,1))-AVERAGE(OFFSET($H$3,0,0,'Données projet'!$E$9+1,1))</f>
        <v>452.67426184967104</v>
      </c>
      <c r="T13" s="59">
        <f t="shared" si="34"/>
        <v>310.47823616327639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2.0085470085470085</v>
      </c>
      <c r="AI13" s="13">
        <f>IF('Données projet'!$A$62&gt;35,AI12+AH13-AQ12,IF(A13&lt;'Données projet'!$A$62,$AF$205^A13,IF(A13='Données projet'!$A$62,'Données projet'!$B$62,AI12+AH13-AQ12)))</f>
        <v>9.6823811114971363</v>
      </c>
      <c r="AJ13" s="13">
        <f>AI13*VLOOKUP('Données projet'!$B$10,Paramètres!$A$1:$I$89,3,0)*VLOOKUP('Données projet'!$B$10,Paramètres!$A$1:$I$89,5,0)</f>
        <v>10.120024737736808</v>
      </c>
      <c r="AK13" s="13">
        <f t="shared" si="35"/>
        <v>3.5623001055261061</v>
      </c>
      <c r="AL13" s="20">
        <f t="shared" si="4"/>
        <v>23.830049102016243</v>
      </c>
      <c r="AM13" s="59">
        <f t="shared" si="5"/>
        <v>215.76871108706112</v>
      </c>
      <c r="AN13" s="59">
        <f ca="1">AVERAGE(OFFSET($AM$3,0,0,'Données projet'!$E$10+1,1))-AVERAGE(OFFSET($H$3,0,0,'Données projet'!$E$10+1,1))</f>
        <v>528.45201982036087</v>
      </c>
      <c r="AO13" s="59">
        <f t="shared" si="36"/>
        <v>321.23004033257985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1.05</v>
      </c>
      <c r="BD13" s="12">
        <f>IF('Données projet'!$A$88&gt;35,BD12+BC13-BL12,IF(A13&lt;'Données projet'!$A$88,$BA$205^A13,IF(A13='Données projet'!$A$88,'Données projet'!$B$88,BD12+BC13-BL12)))</f>
        <v>4.5825756949558425</v>
      </c>
      <c r="BE13" s="13">
        <f>BD13*VLOOKUP('Données projet'!$B$11,Paramètres!$A$1:$I$89,3,0)*VLOOKUP('Données projet'!$B$11,Paramètres!$A$1:$I$89,5,0)</f>
        <v>4.4322672121612907</v>
      </c>
      <c r="BF13" s="13">
        <f t="shared" si="37"/>
        <v>1.7175553487466402</v>
      </c>
      <c r="BG13" s="20">
        <f t="shared" si="7"/>
        <v>10.71094096024798</v>
      </c>
      <c r="BH13" s="59">
        <f t="shared" si="8"/>
        <v>202.64960294529286</v>
      </c>
      <c r="BI13" s="59">
        <f ca="1">AVERAGE(OFFSET($BH$3,0,0,'Données projet'!$E$11+1,1))-AVERAGE(OFFSET($H$3,0,0,'Données projet'!$E$11+1,1))</f>
        <v>289.06522051625166</v>
      </c>
      <c r="BJ13" s="59">
        <f t="shared" si="38"/>
        <v>173.19148969173838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3.45</v>
      </c>
      <c r="BY13" s="12">
        <f>IF('Données projet'!$A$114&gt;35,BY12+BX13-CG12,IF(A13&lt;'Données projet'!$A$114,$BV$205^A13,IF(A13='Données projet'!$A$114,'Données projet'!$B$114,BY12+BX13-CG12)))</f>
        <v>8.3066238629180766</v>
      </c>
      <c r="BZ13" s="13">
        <f>BY13*VLOOKUP('Données projet'!$B$12,Paramètres!$A$1:$I$89,3,0)*VLOOKUP('Données projet'!$B$12,Paramètres!$A$1:$I$89,5,0)</f>
        <v>6.7383332775991445</v>
      </c>
      <c r="CA13" s="13">
        <f t="shared" si="39"/>
        <v>2.4869155776709411</v>
      </c>
      <c r="CB13" s="20">
        <f t="shared" si="10"/>
        <v>16.067308422928729</v>
      </c>
      <c r="CC13" s="59">
        <f t="shared" si="11"/>
        <v>208.00597040797362</v>
      </c>
      <c r="CD13" s="59">
        <f ca="1">AVERAGE(OFFSET($CC$3,0,0,'Données projet'!$E$12+1,1))-AVERAGE(OFFSET($H$3,0,0,'Données projet'!$E$12+1,1))</f>
        <v>306.06916761900357</v>
      </c>
      <c r="CE13" s="59">
        <f t="shared" si="40"/>
        <v>258.90832875500337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2.85</v>
      </c>
      <c r="CT13" s="12">
        <f>IF('Données projet'!$A$140&gt;35,CT12+CS13-DB12,IF(A13&lt;'Données projet'!$A$140,$CQ$205^A13,IF(A13='Données projet'!$A$140,'Données projet'!$B$140,CT12+CS13-DB12)))</f>
        <v>7.5498344352707516</v>
      </c>
      <c r="CU13" s="17">
        <f>CT13*VLOOKUP('Données projet'!$B$13,Paramètres!$A$1:$I$89,3,0)*VLOOKUP('Données projet'!$B$13,Paramètres!$A$1:$I$89,5,0)</f>
        <v>5.0644289391796207</v>
      </c>
      <c r="CV13" s="13">
        <f t="shared" si="41"/>
        <v>1.9323028683949215</v>
      </c>
      <c r="CW13" s="20">
        <f t="shared" si="13"/>
        <v>12.185974564858995</v>
      </c>
      <c r="CX13" s="59">
        <f t="shared" si="14"/>
        <v>204.12463654990387</v>
      </c>
      <c r="CY13" s="59">
        <f ca="1">AVERAGE(OFFSET($CX$3,0,0,'Données projet'!$E$13+1,1))-AVERAGE(OFFSET($H$3,0,0,'Données projet'!$E$13+1,1))</f>
        <v>324.58754156328285</v>
      </c>
      <c r="CZ13" s="59">
        <f t="shared" si="42"/>
        <v>226.01037731977604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7.2264102564102561</v>
      </c>
      <c r="DO13" s="12">
        <f>IF('Données projet'!$A$166&gt;35,DO12+DN13-DW12,IF(A13&lt;'Données projet'!$A$166,$DL$205^A13,IF(A13='Données projet'!$A$166,'Données projet'!$B$166,DO12+DN13-DW12)))</f>
        <v>6.0073272306422343</v>
      </c>
      <c r="DP13" s="17">
        <f>DO13*VLOOKUP('Données projet'!$B$14,Paramètres!$A$1:$I$89,3,0)*VLOOKUP('Données projet'!$B$14,Paramètres!$A$1:$I$89,5,0)</f>
        <v>2.8114291439405656</v>
      </c>
      <c r="DQ13" s="13">
        <f t="shared" si="43"/>
        <v>1.1487462006075717</v>
      </c>
      <c r="DR13" s="20">
        <f t="shared" si="16"/>
        <v>6.8973053917546716</v>
      </c>
      <c r="DS13" s="59">
        <f t="shared" si="17"/>
        <v>198.83596737679957</v>
      </c>
      <c r="DT13" s="59">
        <f ca="1">AVERAGE(OFFSET($DS$3,0,0,'Données projet'!$E$14+1,1))-AVERAGE(OFFSET($H$3,0,0,'Données projet'!$E$14+1,1))</f>
        <v>325.93182817189722</v>
      </c>
      <c r="DU13" s="59">
        <f t="shared" si="44"/>
        <v>280.04509991782709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4.75</v>
      </c>
      <c r="EJ13" s="12">
        <f>IF('Données projet'!$A$192&gt;35,EJ12+EI13-ER12,IF(A13&lt;'Données projet'!$A$192,$EG$205^A13,IF(A13='Données projet'!$A$192,'Données projet'!$B$192,EJ12+EI13-ER12)))</f>
        <v>9.7467943448089507</v>
      </c>
      <c r="EK13" s="17">
        <f>EJ13*VLOOKUP('Données projet'!$B$15,Paramètres!$A$1:$I$89,3,0)*VLOOKUP('Données projet'!$B$15,Paramètres!$A$1:$I$89,5,0)</f>
        <v>7.7545495807300009</v>
      </c>
      <c r="EL13" s="13">
        <f t="shared" si="45"/>
        <v>2.815556562271968</v>
      </c>
      <c r="EM13" s="20">
        <f t="shared" si="19"/>
        <v>18.409601532395097</v>
      </c>
      <c r="EN13" s="59">
        <f t="shared" si="20"/>
        <v>210.34826351743999</v>
      </c>
      <c r="EO13" s="59">
        <f ca="1">AVERAGE(OFFSET($EN$3,0,0,'Données projet'!$E$15+1,1))-AVERAGE(OFFSET($H$3,0,0,'Données projet'!$E$15+1,1))</f>
        <v>333.52903437536651</v>
      </c>
      <c r="EP13" s="59">
        <f t="shared" si="46"/>
        <v>359.47288701414777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2.3805128205128203</v>
      </c>
      <c r="FE13" s="12">
        <f>IF('Données projet'!$A$218&gt;35,FE12+FD13-FM12,IF(A13&lt;'Données projet'!$A$218,$FB$205^A13,IF(A13='Données projet'!$A$218,'Données projet'!$B$218,FE12+FD13-FM12)))</f>
        <v>10.843625808385362</v>
      </c>
      <c r="FF13" s="17">
        <f>FE13*VLOOKUP('Données projet'!$B$16,Paramètres!$A$1:$I$89,3,0)*VLOOKUP('Données projet'!$B$16,Paramètres!$A$1:$I$89,5,0)</f>
        <v>6.4844882334144467</v>
      </c>
      <c r="FG13" s="13">
        <f t="shared" si="47"/>
        <v>2.4039500479922649</v>
      </c>
      <c r="FH13" s="20">
        <f t="shared" si="22"/>
        <v>15.480696673450021</v>
      </c>
      <c r="FI13" s="59">
        <f t="shared" si="23"/>
        <v>207.4193586584949</v>
      </c>
      <c r="FJ13" s="59">
        <f ca="1">AVERAGE(OFFSET($FI$3,0,0,'Données projet'!$E$16+1,1))-AVERAGE(OFFSET($H$3,0,0,'Données projet'!$E$16+1,1))</f>
        <v>313.26988717307376</v>
      </c>
      <c r="FK13" s="59">
        <f t="shared" si="48"/>
        <v>248.17359813993201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1.05</v>
      </c>
      <c r="FZ13" s="12">
        <f>IF('Données projet'!$A$244&gt;35,FZ12+FY13-GH12,IF(A13&lt;'Données projet'!$A$244,$FW$205^A13,IF(A13='Données projet'!$A$244,'Données projet'!$B$244,FZ12+FY13-GH12)))</f>
        <v>4.5825756949558425</v>
      </c>
      <c r="GA13" s="17">
        <f>FZ13*VLOOKUP('Données projet'!$B$17,Paramètres!$A$1:$I$89,3,0)*VLOOKUP('Données projet'!$B$17,Paramètres!$A$1:$I$89,5,0)</f>
        <v>4.9326844780504686</v>
      </c>
      <c r="GB13" s="13">
        <f t="shared" si="49"/>
        <v>1.8878196442982629</v>
      </c>
      <c r="GC13" s="20">
        <f t="shared" si="25"/>
        <v>11.879044679757373</v>
      </c>
      <c r="GD13" s="59">
        <f t="shared" si="26"/>
        <v>203.81770666480227</v>
      </c>
      <c r="GE13" s="59">
        <f ca="1">AVERAGE(OFFSET($GD$3,0,0,'Données projet'!$E$17+1,1))-AVERAGE(OFFSET($H$3,0,0,'Données projet'!$E$17+1,1))</f>
        <v>313.51355235711543</v>
      </c>
      <c r="GF13" s="59">
        <f t="shared" si="50"/>
        <v>186.0840067781198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2.85</v>
      </c>
      <c r="N14" s="13">
        <f>IF('Données projet'!$A$36&gt;35,N13+M14-V13,IF(A14&lt;'Données projet'!$A$36,$K$205^A14,IF(A14='Données projet'!$A$36,'Données projet'!$B$36,N13+M14-V13)))</f>
        <v>9.2412596055434975</v>
      </c>
      <c r="O14" s="13">
        <f>N14*VLOOKUP('Données projet'!$B$9,Paramètres!$A$1:$I$89,3,0)*VLOOKUP('Données projet'!$B$9,Paramètres!$A$1:$I$89,5,0)</f>
        <v>9.3706372400211073</v>
      </c>
      <c r="P14" s="13">
        <f t="shared" si="33"/>
        <v>3.3281835082855</v>
      </c>
      <c r="Q14" s="20">
        <f t="shared" si="2"/>
        <v>22.117112803300675</v>
      </c>
      <c r="R14" s="59">
        <f t="shared" si="0"/>
        <v>216.6129114124148</v>
      </c>
      <c r="S14" s="59">
        <f ca="1">AVERAGE(OFFSET($R$3,0,0,'Données projet'!$E$9+1,1))-AVERAGE(OFFSET($H$3,0,0,'Données projet'!$E$9+1,1))</f>
        <v>452.67426184967104</v>
      </c>
      <c r="T14" s="59">
        <f t="shared" si="34"/>
        <v>310.47823616327639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2.0085470085470085</v>
      </c>
      <c r="AI14" s="13">
        <f>IF('Données projet'!$A$62&gt;35,AI13+AH14-AQ13,IF(A14&lt;'Données projet'!$A$62,$AF$205^A14,IF(A14='Données projet'!$A$62,'Données projet'!$B$62,AI13+AH14-AQ13)))</f>
        <v>12.150115051435174</v>
      </c>
      <c r="AJ14" s="13">
        <f>AI14*VLOOKUP('Données projet'!$B$10,Paramètres!$A$1:$I$89,3,0)*VLOOKUP('Données projet'!$B$10,Paramètres!$A$1:$I$89,5,0)</f>
        <v>12.699300251760045</v>
      </c>
      <c r="AK14" s="13">
        <f t="shared" si="35"/>
        <v>4.3536337239482048</v>
      </c>
      <c r="AL14" s="20">
        <f t="shared" si="4"/>
        <v>29.700526674358532</v>
      </c>
      <c r="AM14" s="59">
        <f t="shared" si="5"/>
        <v>224.19632528347267</v>
      </c>
      <c r="AN14" s="59">
        <f ca="1">AVERAGE(OFFSET($AM$3,0,0,'Données projet'!$E$10+1,1))-AVERAGE(OFFSET($H$3,0,0,'Données projet'!$E$10+1,1))</f>
        <v>528.45201982036087</v>
      </c>
      <c r="AO14" s="59">
        <f t="shared" si="36"/>
        <v>321.23004033257985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1.05</v>
      </c>
      <c r="BD14" s="12">
        <f>IF('Données projet'!$A$88&gt;35,BD13+BC14-BL13,IF(A14&lt;'Données projet'!$A$88,$BA$205^A14,IF(A14='Données projet'!$A$88,'Données projet'!$B$88,BD13+BC14-BL13)))</f>
        <v>5.3360588677947343</v>
      </c>
      <c r="BE14" s="13">
        <f>BD14*VLOOKUP('Données projet'!$B$11,Paramètres!$A$1:$I$89,3,0)*VLOOKUP('Données projet'!$B$11,Paramètres!$A$1:$I$89,5,0)</f>
        <v>5.1610361369310676</v>
      </c>
      <c r="BF14" s="13">
        <f t="shared" si="37"/>
        <v>1.9648363752047393</v>
      </c>
      <c r="BG14" s="20">
        <f t="shared" si="7"/>
        <v>12.410894625303198</v>
      </c>
      <c r="BH14" s="59">
        <f t="shared" si="8"/>
        <v>206.90669323441733</v>
      </c>
      <c r="BI14" s="59">
        <f ca="1">AVERAGE(OFFSET($BH$3,0,0,'Données projet'!$E$11+1,1))-AVERAGE(OFFSET($H$3,0,0,'Données projet'!$E$11+1,1))</f>
        <v>289.06522051625166</v>
      </c>
      <c r="BJ14" s="59">
        <f t="shared" si="38"/>
        <v>173.19148969173838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3.45</v>
      </c>
      <c r="BY14" s="12">
        <f>IF('Données projet'!$A$114&gt;35,BY13+BX14-CG13,IF(A14&lt;'Données projet'!$A$114,$BV$205^A14,IF(A14='Données projet'!$A$114,'Données projet'!$B$114,BY13+BX14-CG13)))</f>
        <v>10.265190182007974</v>
      </c>
      <c r="BZ14" s="13">
        <f>BY14*VLOOKUP('Données projet'!$B$12,Paramètres!$A$1:$I$89,3,0)*VLOOKUP('Données projet'!$B$12,Paramètres!$A$1:$I$89,5,0)</f>
        <v>8.327122275644868</v>
      </c>
      <c r="CA14" s="13">
        <f t="shared" si="39"/>
        <v>2.9984816508668306</v>
      </c>
      <c r="CB14" s="20">
        <f t="shared" si="10"/>
        <v>19.72542683867454</v>
      </c>
      <c r="CC14" s="59">
        <f t="shared" si="11"/>
        <v>214.22122544778867</v>
      </c>
      <c r="CD14" s="59">
        <f ca="1">AVERAGE(OFFSET($CC$3,0,0,'Données projet'!$E$12+1,1))-AVERAGE(OFFSET($H$3,0,0,'Données projet'!$E$12+1,1))</f>
        <v>306.06916761900357</v>
      </c>
      <c r="CE14" s="59">
        <f t="shared" si="40"/>
        <v>258.90832875500337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2.85</v>
      </c>
      <c r="CT14" s="12">
        <f>IF('Données projet'!$A$140&gt;35,CT13+CS14-DB13,IF(A14&lt;'Données projet'!$A$140,$CQ$205^A14,IF(A14='Données projet'!$A$140,'Données projet'!$B$140,CT13+CS14-DB13)))</f>
        <v>9.2412596055434975</v>
      </c>
      <c r="CU14" s="17">
        <f>CT14*VLOOKUP('Données projet'!$B$13,Paramètres!$A$1:$I$89,3,0)*VLOOKUP('Données projet'!$B$13,Paramètres!$A$1:$I$89,5,0)</f>
        <v>6.1990369433985784</v>
      </c>
      <c r="CV14" s="13">
        <f t="shared" si="41"/>
        <v>2.3102009051923518</v>
      </c>
      <c r="CW14" s="20">
        <f t="shared" si="13"/>
        <v>14.820255919629199</v>
      </c>
      <c r="CX14" s="59">
        <f t="shared" si="14"/>
        <v>209.31605452874334</v>
      </c>
      <c r="CY14" s="59">
        <f ca="1">AVERAGE(OFFSET($CX$3,0,0,'Données projet'!$E$13+1,1))-AVERAGE(OFFSET($H$3,0,0,'Données projet'!$E$13+1,1))</f>
        <v>324.58754156328285</v>
      </c>
      <c r="CZ14" s="59">
        <f t="shared" si="42"/>
        <v>226.01037731977604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7.2264102564102561</v>
      </c>
      <c r="DO14" s="12">
        <f>IF('Données projet'!$A$166&gt;35,DO13+DN14-DW13,IF(A14&lt;'Données projet'!$A$166,$DL$205^A14,IF(A14='Données projet'!$A$166,'Données projet'!$B$166,DO13+DN14-DW13)))</f>
        <v>7.1870293496939057</v>
      </c>
      <c r="DP14" s="17">
        <f>DO14*VLOOKUP('Données projet'!$B$14,Paramètres!$A$1:$I$89,3,0)*VLOOKUP('Données projet'!$B$14,Paramètres!$A$1:$I$89,5,0)</f>
        <v>3.3635297356567477</v>
      </c>
      <c r="DQ14" s="13">
        <f t="shared" si="43"/>
        <v>1.3459482642479659</v>
      </c>
      <c r="DR14" s="20">
        <f t="shared" si="16"/>
        <v>8.2023408498340427</v>
      </c>
      <c r="DS14" s="59">
        <f t="shared" si="17"/>
        <v>202.69813945894816</v>
      </c>
      <c r="DT14" s="59">
        <f ca="1">AVERAGE(OFFSET($DS$3,0,0,'Données projet'!$E$14+1,1))-AVERAGE(OFFSET($H$3,0,0,'Données projet'!$E$14+1,1))</f>
        <v>325.93182817189722</v>
      </c>
      <c r="DU14" s="59">
        <f t="shared" si="44"/>
        <v>280.04509991782709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4.75</v>
      </c>
      <c r="EJ14" s="12">
        <f>IF('Données projet'!$A$192&gt;35,EJ13+EI14-ER13,IF(A14&lt;'Données projet'!$A$192,$EG$205^A14,IF(A14='Données projet'!$A$192,'Données projet'!$B$192,EJ13+EI14-ER13)))</f>
        <v>12.239057719016479</v>
      </c>
      <c r="EK14" s="17">
        <f>EJ14*VLOOKUP('Données projet'!$B$15,Paramètres!$A$1:$I$89,3,0)*VLOOKUP('Données projet'!$B$15,Paramètres!$A$1:$I$89,5,0)</f>
        <v>9.7373943212495124</v>
      </c>
      <c r="EL14" s="13">
        <f t="shared" si="45"/>
        <v>3.4430242795238799</v>
      </c>
      <c r="EM14" s="20">
        <f t="shared" si="19"/>
        <v>22.955895729680325</v>
      </c>
      <c r="EN14" s="59">
        <f t="shared" si="20"/>
        <v>217.45169433879445</v>
      </c>
      <c r="EO14" s="59">
        <f ca="1">AVERAGE(OFFSET($EN$3,0,0,'Données projet'!$E$15+1,1))-AVERAGE(OFFSET($H$3,0,0,'Données projet'!$E$15+1,1))</f>
        <v>333.52903437536651</v>
      </c>
      <c r="EP14" s="59">
        <f t="shared" si="46"/>
        <v>359.47288701414777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2.3805128205128203</v>
      </c>
      <c r="FE14" s="12">
        <f>IF('Données projet'!$A$218&gt;35,FE13+FD14-FM13,IF(A14&lt;'Données projet'!$A$218,$FB$205^A14,IF(A14='Données projet'!$A$218,'Données projet'!$B$218,FE13+FD14-FM13)))</f>
        <v>13.762330235503498</v>
      </c>
      <c r="FF14" s="17">
        <f>FE14*VLOOKUP('Données projet'!$B$16,Paramètres!$A$1:$I$89,3,0)*VLOOKUP('Données projet'!$B$16,Paramètres!$A$1:$I$89,5,0)</f>
        <v>8.2298734808310936</v>
      </c>
      <c r="FG14" s="13">
        <f t="shared" si="47"/>
        <v>2.9675186699572826</v>
      </c>
      <c r="FH14" s="20">
        <f t="shared" si="22"/>
        <v>19.502124662623089</v>
      </c>
      <c r="FI14" s="59">
        <f t="shared" si="23"/>
        <v>213.99792327173722</v>
      </c>
      <c r="FJ14" s="59">
        <f ca="1">AVERAGE(OFFSET($FI$3,0,0,'Données projet'!$E$16+1,1))-AVERAGE(OFFSET($H$3,0,0,'Données projet'!$E$16+1,1))</f>
        <v>313.26988717307376</v>
      </c>
      <c r="FK14" s="59">
        <f t="shared" si="48"/>
        <v>248.17359813993201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1.05</v>
      </c>
      <c r="FZ14" s="12">
        <f>IF('Données projet'!$A$244&gt;35,FZ13+FY14-GH13,IF(A14&lt;'Données projet'!$A$244,$FW$205^A14,IF(A14='Données projet'!$A$244,'Données projet'!$B$244,FZ13+FY14-GH13)))</f>
        <v>5.3360588677947343</v>
      </c>
      <c r="GA14" s="17">
        <f>FZ14*VLOOKUP('Données projet'!$B$17,Paramètres!$A$1:$I$89,3,0)*VLOOKUP('Données projet'!$B$17,Paramètres!$A$1:$I$89,5,0)</f>
        <v>5.7437337652942517</v>
      </c>
      <c r="GB14" s="13">
        <f t="shared" si="49"/>
        <v>2.1596140756978057</v>
      </c>
      <c r="GC14" s="20">
        <f t="shared" si="25"/>
        <v>13.764997489727833</v>
      </c>
      <c r="GD14" s="59">
        <f t="shared" si="26"/>
        <v>208.26079609884198</v>
      </c>
      <c r="GE14" s="59">
        <f ca="1">AVERAGE(OFFSET($GD$3,0,0,'Données projet'!$E$17+1,1))-AVERAGE(OFFSET($H$3,0,0,'Données projet'!$E$17+1,1))</f>
        <v>313.51355235711543</v>
      </c>
      <c r="GF14" s="59">
        <f t="shared" si="50"/>
        <v>186.0840067781198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2.85</v>
      </c>
      <c r="N15" s="13">
        <f>IF('Données projet'!$A$36&gt;35,N14+M15-V14,IF(A15&lt;'Données projet'!$A$36,$K$205^A15,IF(A15='Données projet'!$A$36,'Données projet'!$B$36,N14+M15-V14)))</f>
        <v>11.311622768584238</v>
      </c>
      <c r="O15" s="13">
        <f>N15*VLOOKUP('Données projet'!$B$9,Paramètres!$A$1:$I$89,3,0)*VLOOKUP('Données projet'!$B$9,Paramètres!$A$1:$I$89,5,0)</f>
        <v>11.469985487344418</v>
      </c>
      <c r="P15" s="13">
        <f t="shared" si="33"/>
        <v>3.9790721626750676</v>
      </c>
      <c r="Q15" s="20">
        <f t="shared" si="2"/>
        <v>26.907108740450607</v>
      </c>
      <c r="R15" s="59">
        <f t="shared" si="0"/>
        <v>223.93688619318348</v>
      </c>
      <c r="S15" s="59">
        <f ca="1">AVERAGE(OFFSET($R$3,0,0,'Données projet'!$E$9+1,1))-AVERAGE(OFFSET($H$3,0,0,'Données projet'!$E$9+1,1))</f>
        <v>452.67426184967104</v>
      </c>
      <c r="T15" s="59">
        <f t="shared" si="34"/>
        <v>310.47823616327639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2.0085470085470085</v>
      </c>
      <c r="AI15" s="13">
        <f>IF('Données projet'!$A$62&gt;35,AI14+AH15-AQ14,IF(A15&lt;'Données projet'!$A$62,$AF$205^A15,IF(A15='Données projet'!$A$62,'Données projet'!$B$62,AI14+AH15-AQ14)))</f>
        <v>15.246796636399393</v>
      </c>
      <c r="AJ15" s="13">
        <f>AI15*VLOOKUP('Données projet'!$B$10,Paramètres!$A$1:$I$89,3,0)*VLOOKUP('Données projet'!$B$10,Paramètres!$A$1:$I$89,5,0)</f>
        <v>15.935951844364647</v>
      </c>
      <c r="AK15" s="13">
        <f t="shared" si="35"/>
        <v>5.3207551415716088</v>
      </c>
      <c r="AL15" s="20">
        <f t="shared" si="4"/>
        <v>37.022098000505643</v>
      </c>
      <c r="AM15" s="59">
        <f t="shared" si="5"/>
        <v>234.05187545323852</v>
      </c>
      <c r="AN15" s="59">
        <f ca="1">AVERAGE(OFFSET($AM$3,0,0,'Données projet'!$E$10+1,1))-AVERAGE(OFFSET($H$3,0,0,'Données projet'!$E$10+1,1))</f>
        <v>528.45201982036087</v>
      </c>
      <c r="AO15" s="59">
        <f t="shared" si="36"/>
        <v>321.23004033257985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1.05</v>
      </c>
      <c r="BD15" s="12">
        <f>IF('Données projet'!$A$88&gt;35,BD14+BC15-BL14,IF(A15&lt;'Données projet'!$A$88,$BA$205^A15,IF(A15='Données projet'!$A$88,'Données projet'!$B$88,BD14+BC15-BL14)))</f>
        <v>6.213432387360748</v>
      </c>
      <c r="BE15" s="13">
        <f>BD15*VLOOKUP('Données projet'!$B$11,Paramètres!$A$1:$I$89,3,0)*VLOOKUP('Données projet'!$B$11,Paramètres!$A$1:$I$89,5,0)</f>
        <v>6.0096318050553155</v>
      </c>
      <c r="BF15" s="13">
        <f t="shared" si="37"/>
        <v>2.2477191108542129</v>
      </c>
      <c r="BG15" s="20">
        <f t="shared" si="7"/>
        <v>14.381552845209095</v>
      </c>
      <c r="BH15" s="59">
        <f t="shared" si="8"/>
        <v>211.41133029794196</v>
      </c>
      <c r="BI15" s="59">
        <f ca="1">AVERAGE(OFFSET($BH$3,0,0,'Données projet'!$E$11+1,1))-AVERAGE(OFFSET($H$3,0,0,'Données projet'!$E$11+1,1))</f>
        <v>289.06522051625166</v>
      </c>
      <c r="BJ15" s="59">
        <f t="shared" si="38"/>
        <v>173.19148969173838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3.45</v>
      </c>
      <c r="BY15" s="12">
        <f>IF('Données projet'!$A$114&gt;35,BY14+BX15-CG14,IF(A15&lt;'Données projet'!$A$114,$BV$205^A15,IF(A15='Données projet'!$A$114,'Données projet'!$B$114,BY14+BX15-CG14)))</f>
        <v>12.685554469752466</v>
      </c>
      <c r="BZ15" s="13">
        <f>BY15*VLOOKUP('Données projet'!$B$12,Paramètres!$A$1:$I$89,3,0)*VLOOKUP('Données projet'!$B$12,Paramètres!$A$1:$I$89,5,0)</f>
        <v>10.290521785863202</v>
      </c>
      <c r="CA15" s="13">
        <f t="shared" si="39"/>
        <v>3.6152784160873175</v>
      </c>
      <c r="CB15" s="20">
        <f t="shared" si="10"/>
        <v>24.21926868506382</v>
      </c>
      <c r="CC15" s="59">
        <f t="shared" si="11"/>
        <v>221.24904613779668</v>
      </c>
      <c r="CD15" s="59">
        <f ca="1">AVERAGE(OFFSET($CC$3,0,0,'Données projet'!$E$12+1,1))-AVERAGE(OFFSET($H$3,0,0,'Données projet'!$E$12+1,1))</f>
        <v>306.06916761900357</v>
      </c>
      <c r="CE15" s="59">
        <f t="shared" si="40"/>
        <v>258.90832875500337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2.85</v>
      </c>
      <c r="CT15" s="12">
        <f>IF('Données projet'!$A$140&gt;35,CT14+CS15-DB14,IF(A15&lt;'Données projet'!$A$140,$CQ$205^A15,IF(A15='Données projet'!$A$140,'Données projet'!$B$140,CT14+CS15-DB14)))</f>
        <v>11.311622768584238</v>
      </c>
      <c r="CU15" s="17">
        <f>CT15*VLOOKUP('Données projet'!$B$13,Paramètres!$A$1:$I$89,3,0)*VLOOKUP('Données projet'!$B$13,Paramètres!$A$1:$I$89,5,0)</f>
        <v>7.5878365531663068</v>
      </c>
      <c r="CV15" s="13">
        <f t="shared" si="41"/>
        <v>2.762003984802234</v>
      </c>
      <c r="CW15" s="20">
        <f t="shared" si="13"/>
        <v>18.02597227029521</v>
      </c>
      <c r="CX15" s="59">
        <f t="shared" si="14"/>
        <v>215.05574972302807</v>
      </c>
      <c r="CY15" s="59">
        <f ca="1">AVERAGE(OFFSET($CX$3,0,0,'Données projet'!$E$13+1,1))-AVERAGE(OFFSET($H$3,0,0,'Données projet'!$E$13+1,1))</f>
        <v>324.58754156328285</v>
      </c>
      <c r="CZ15" s="59">
        <f t="shared" si="42"/>
        <v>226.01037731977604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7.2264102564102561</v>
      </c>
      <c r="DO15" s="12">
        <f>IF('Données projet'!$A$166&gt;35,DO14+DN15-DW14,IF(A15&lt;'Données projet'!$A$166,$DL$205^A15,IF(A15='Données projet'!$A$166,'Données projet'!$B$166,DO14+DN15-DW14)))</f>
        <v>8.5983980712566286</v>
      </c>
      <c r="DP15" s="17">
        <f>DO15*VLOOKUP('Données projet'!$B$14,Paramètres!$A$1:$I$89,3,0)*VLOOKUP('Données projet'!$B$14,Paramètres!$A$1:$I$89,5,0)</f>
        <v>4.0240502973481025</v>
      </c>
      <c r="DQ15" s="13">
        <f t="shared" si="43"/>
        <v>1.5770034573990057</v>
      </c>
      <c r="DR15" s="20">
        <f t="shared" si="16"/>
        <v>9.7551686228512136</v>
      </c>
      <c r="DS15" s="59">
        <f t="shared" si="17"/>
        <v>206.78494607558409</v>
      </c>
      <c r="DT15" s="59">
        <f ca="1">AVERAGE(OFFSET($DS$3,0,0,'Données projet'!$E$14+1,1))-AVERAGE(OFFSET($H$3,0,0,'Données projet'!$E$14+1,1))</f>
        <v>325.93182817189722</v>
      </c>
      <c r="DU15" s="59">
        <f t="shared" si="44"/>
        <v>280.04509991782709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4.75</v>
      </c>
      <c r="EJ15" s="12">
        <f>IF('Données projet'!$A$192&gt;35,EJ14+EI15-ER14,IF(A15&lt;'Données projet'!$A$192,$EG$205^A15,IF(A15='Données projet'!$A$192,'Données projet'!$B$192,EJ14+EI15-ER14)))</f>
        <v>15.368594899018873</v>
      </c>
      <c r="EK15" s="17">
        <f>EJ15*VLOOKUP('Données projet'!$B$15,Paramètres!$A$1:$I$89,3,0)*VLOOKUP('Données projet'!$B$15,Paramètres!$A$1:$I$89,5,0)</f>
        <v>12.227254101659417</v>
      </c>
      <c r="EL15" s="13">
        <f t="shared" si="45"/>
        <v>4.2103278436094334</v>
      </c>
      <c r="EM15" s="20">
        <f t="shared" si="19"/>
        <v>28.628788554676579</v>
      </c>
      <c r="EN15" s="59">
        <f t="shared" si="20"/>
        <v>225.65856600740946</v>
      </c>
      <c r="EO15" s="59">
        <f ca="1">AVERAGE(OFFSET($EN$3,0,0,'Données projet'!$E$15+1,1))-AVERAGE(OFFSET($H$3,0,0,'Données projet'!$E$15+1,1))</f>
        <v>333.52903437536651</v>
      </c>
      <c r="EP15" s="59">
        <f t="shared" si="46"/>
        <v>359.47288701414777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2.3805128205128203</v>
      </c>
      <c r="FE15" s="12">
        <f>IF('Données projet'!$A$218&gt;35,FE14+FD15-FM14,IF(A15&lt;'Données projet'!$A$218,$FB$205^A15,IF(A15='Données projet'!$A$218,'Données projet'!$B$218,FE14+FD15-FM14)))</f>
        <v>17.466642325908158</v>
      </c>
      <c r="FF15" s="17">
        <f>FE15*VLOOKUP('Données projet'!$B$16,Paramètres!$A$1:$I$89,3,0)*VLOOKUP('Données projet'!$B$16,Paramètres!$A$1:$I$89,5,0)</f>
        <v>10.44505211089308</v>
      </c>
      <c r="FG15" s="13">
        <f t="shared" si="47"/>
        <v>3.6632071718377808</v>
      </c>
      <c r="FH15" s="20">
        <f t="shared" si="22"/>
        <v>24.571884917422917</v>
      </c>
      <c r="FI15" s="59">
        <f t="shared" si="23"/>
        <v>221.60166237015579</v>
      </c>
      <c r="FJ15" s="59">
        <f ca="1">AVERAGE(OFFSET($FI$3,0,0,'Données projet'!$E$16+1,1))-AVERAGE(OFFSET($H$3,0,0,'Données projet'!$E$16+1,1))</f>
        <v>313.26988717307376</v>
      </c>
      <c r="FK15" s="59">
        <f t="shared" si="48"/>
        <v>248.17359813993201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1.05</v>
      </c>
      <c r="FZ15" s="12">
        <f>IF('Données projet'!$A$244&gt;35,FZ14+FY15-GH14,IF(A15&lt;'Données projet'!$A$244,$FW$205^A15,IF(A15='Données projet'!$A$244,'Données projet'!$B$244,FZ14+FY15-GH14)))</f>
        <v>6.213432387360748</v>
      </c>
      <c r="GA15" s="17">
        <f>FZ15*VLOOKUP('Données projet'!$B$17,Paramètres!$A$1:$I$89,3,0)*VLOOKUP('Données projet'!$B$17,Paramètres!$A$1:$I$89,5,0)</f>
        <v>6.6881386217551091</v>
      </c>
      <c r="GB15" s="13">
        <f t="shared" si="49"/>
        <v>2.4705394766064934</v>
      </c>
      <c r="GC15" s="20">
        <f t="shared" si="25"/>
        <v>15.951364354646456</v>
      </c>
      <c r="GD15" s="59">
        <f t="shared" si="26"/>
        <v>212.98114180737932</v>
      </c>
      <c r="GE15" s="59">
        <f ca="1">AVERAGE(OFFSET($GD$3,0,0,'Données projet'!$E$17+1,1))-AVERAGE(OFFSET($H$3,0,0,'Données projet'!$E$17+1,1))</f>
        <v>313.51355235711543</v>
      </c>
      <c r="GF15" s="59">
        <f t="shared" si="50"/>
        <v>186.0840067781198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2.85</v>
      </c>
      <c r="N16" s="13">
        <f>IF('Données projet'!$A$36&gt;35,N15+M16-V15,IF(A16&lt;'Données projet'!$A$36,$K$205^A16,IF(A16='Données projet'!$A$36,'Données projet'!$B$36,N15+M16-V15)))</f>
        <v>13.845819197850375</v>
      </c>
      <c r="O16" s="13">
        <f>N16*VLOOKUP('Données projet'!$B$9,Paramètres!$A$1:$I$89,3,0)*VLOOKUP('Données projet'!$B$9,Paramètres!$A$1:$I$89,5,0)</f>
        <v>14.039660666620282</v>
      </c>
      <c r="P16" s="13">
        <f t="shared" si="33"/>
        <v>4.7572542909245872</v>
      </c>
      <c r="Q16" s="20">
        <f t="shared" si="2"/>
        <v>32.737960217723987</v>
      </c>
      <c r="R16" s="59">
        <f t="shared" si="0"/>
        <v>232.27896046934279</v>
      </c>
      <c r="S16" s="59">
        <f ca="1">AVERAGE(OFFSET($R$3,0,0,'Données projet'!$E$9+1,1))-AVERAGE(OFFSET($H$3,0,0,'Données projet'!$E$9+1,1))</f>
        <v>452.67426184967104</v>
      </c>
      <c r="T16" s="59">
        <f t="shared" si="34"/>
        <v>310.47823616327639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2.0085470085470085</v>
      </c>
      <c r="AI16" s="13">
        <f>IF('Données projet'!$A$62&gt;35,AI15+AH16-AQ15,IF(A16&lt;'Données projet'!$A$62,$AF$205^A16,IF(A16='Données projet'!$A$62,'Données projet'!$B$62,AI15+AH16-AQ15)))</f>
        <v>19.132724808582047</v>
      </c>
      <c r="AJ16" s="13">
        <f>AI16*VLOOKUP('Données projet'!$B$10,Paramètres!$A$1:$I$89,3,0)*VLOOKUP('Données projet'!$B$10,Paramètres!$A$1:$I$89,5,0)</f>
        <v>19.997523969929958</v>
      </c>
      <c r="AK16" s="13">
        <f t="shared" si="35"/>
        <v>6.5027140709684383</v>
      </c>
      <c r="AL16" s="20">
        <f t="shared" si="4"/>
        <v>46.154581254564704</v>
      </c>
      <c r="AM16" s="59">
        <f t="shared" si="5"/>
        <v>245.69558150618352</v>
      </c>
      <c r="AN16" s="59">
        <f ca="1">AVERAGE(OFFSET($AM$3,0,0,'Données projet'!$E$10+1,1))-AVERAGE(OFFSET($H$3,0,0,'Données projet'!$E$10+1,1))</f>
        <v>528.45201982036087</v>
      </c>
      <c r="AO16" s="59">
        <f t="shared" si="36"/>
        <v>321.23004033257985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1.05</v>
      </c>
      <c r="BD16" s="12">
        <f>IF('Données projet'!$A$88&gt;35,BD15+BC16-BL15,IF(A16&lt;'Données projet'!$A$88,$BA$205^A16,IF(A16='Données projet'!$A$88,'Données projet'!$B$88,BD15+BC16-BL15)))</f>
        <v>7.235066739107908</v>
      </c>
      <c r="BE16" s="13">
        <f>BD16*VLOOKUP('Données projet'!$B$11,Paramètres!$A$1:$I$89,3,0)*VLOOKUP('Données projet'!$B$11,Paramètres!$A$1:$I$89,5,0)</f>
        <v>6.9977565500651693</v>
      </c>
      <c r="BF16" s="13">
        <f t="shared" si="37"/>
        <v>2.5713292287622704</v>
      </c>
      <c r="BG16" s="20">
        <f t="shared" si="7"/>
        <v>16.666157731457787</v>
      </c>
      <c r="BH16" s="59">
        <f t="shared" si="8"/>
        <v>216.2071579830766</v>
      </c>
      <c r="BI16" s="59">
        <f ca="1">AVERAGE(OFFSET($BH$3,0,0,'Données projet'!$E$11+1,1))-AVERAGE(OFFSET($H$3,0,0,'Données projet'!$E$11+1,1))</f>
        <v>289.06522051625166</v>
      </c>
      <c r="BJ16" s="59">
        <f t="shared" si="38"/>
        <v>173.19148969173838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3.45</v>
      </c>
      <c r="BY16" s="12">
        <f>IF('Données projet'!$A$114&gt;35,BY15+BX16-CG15,IF(A16&lt;'Données projet'!$A$114,$BV$205^A16,IF(A16='Données projet'!$A$114,'Données projet'!$B$114,BY15+BX16-CG15)))</f>
        <v>15.676601149300728</v>
      </c>
      <c r="BZ16" s="13">
        <f>BY16*VLOOKUP('Données projet'!$B$12,Paramètres!$A$1:$I$89,3,0)*VLOOKUP('Données projet'!$B$12,Paramètres!$A$1:$I$89,5,0)</f>
        <v>12.71685885231275</v>
      </c>
      <c r="CA16" s="13">
        <f t="shared" si="39"/>
        <v>4.3589521456795781</v>
      </c>
      <c r="CB16" s="20">
        <f t="shared" si="10"/>
        <v>29.740370821503301</v>
      </c>
      <c r="CC16" s="59">
        <f t="shared" si="11"/>
        <v>229.2813710731221</v>
      </c>
      <c r="CD16" s="59">
        <f ca="1">AVERAGE(OFFSET($CC$3,0,0,'Données projet'!$E$12+1,1))-AVERAGE(OFFSET($H$3,0,0,'Données projet'!$E$12+1,1))</f>
        <v>306.06916761900357</v>
      </c>
      <c r="CE16" s="59">
        <f t="shared" si="40"/>
        <v>258.90832875500337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2.85</v>
      </c>
      <c r="CT16" s="12">
        <f>IF('Données projet'!$A$140&gt;35,CT15+CS16-DB15,IF(A16&lt;'Données projet'!$A$140,$CQ$205^A16,IF(A16='Données projet'!$A$140,'Données projet'!$B$140,CT15+CS16-DB15)))</f>
        <v>13.845819197850375</v>
      </c>
      <c r="CU16" s="17">
        <f>CT16*VLOOKUP('Données projet'!$B$13,Paramètres!$A$1:$I$89,3,0)*VLOOKUP('Données projet'!$B$13,Paramètres!$A$1:$I$89,5,0)</f>
        <v>9.2877755179180319</v>
      </c>
      <c r="CV16" s="13">
        <f t="shared" si="41"/>
        <v>3.3021656233089578</v>
      </c>
      <c r="CW16" s="20">
        <f t="shared" si="13"/>
        <v>21.927480820970342</v>
      </c>
      <c r="CX16" s="59">
        <f t="shared" si="14"/>
        <v>221.46848107258916</v>
      </c>
      <c r="CY16" s="59">
        <f ca="1">AVERAGE(OFFSET($CX$3,0,0,'Données projet'!$E$13+1,1))-AVERAGE(OFFSET($H$3,0,0,'Données projet'!$E$13+1,1))</f>
        <v>324.58754156328285</v>
      </c>
      <c r="CZ16" s="59">
        <f t="shared" si="42"/>
        <v>226.01037731977604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7.2264102564102561</v>
      </c>
      <c r="DO16" s="12">
        <f>IF('Données projet'!$A$166&gt;35,DO15+DN16-DW15,IF(A16&lt;'Données projet'!$A$166,$DL$205^A16,IF(A16='Données projet'!$A$166,'Données projet'!$B$166,DO15+DN16-DW15)))</f>
        <v>10.286927434759741</v>
      </c>
      <c r="DP16" s="17">
        <f>DO16*VLOOKUP('Données projet'!$B$14,Paramètres!$A$1:$I$89,3,0)*VLOOKUP('Données projet'!$B$14,Paramètres!$A$1:$I$89,5,0)</f>
        <v>4.8142820394675585</v>
      </c>
      <c r="DQ16" s="13">
        <f t="shared" si="43"/>
        <v>1.8477232526006253</v>
      </c>
      <c r="DR16" s="20">
        <f t="shared" si="16"/>
        <v>11.602992550352086</v>
      </c>
      <c r="DS16" s="59">
        <f t="shared" si="17"/>
        <v>211.14399280197091</v>
      </c>
      <c r="DT16" s="59">
        <f ca="1">AVERAGE(OFFSET($DS$3,0,0,'Données projet'!$E$14+1,1))-AVERAGE(OFFSET($H$3,0,0,'Données projet'!$E$14+1,1))</f>
        <v>325.93182817189722</v>
      </c>
      <c r="DU16" s="59">
        <f t="shared" si="44"/>
        <v>280.04509991782709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4.75</v>
      </c>
      <c r="EJ16" s="12">
        <f>IF('Données projet'!$A$192&gt;35,EJ15+EI16-ER15,IF(A16&lt;'Données projet'!$A$192,$EG$205^A16,IF(A16='Données projet'!$A$192,'Données projet'!$B$192,EJ15+EI16-ER15)))</f>
        <v>19.298357323959845</v>
      </c>
      <c r="EK16" s="17">
        <f>EJ16*VLOOKUP('Données projet'!$B$15,Paramètres!$A$1:$I$89,3,0)*VLOOKUP('Données projet'!$B$15,Paramètres!$A$1:$I$89,5,0)</f>
        <v>15.353773086942452</v>
      </c>
      <c r="EL16" s="13">
        <f t="shared" si="45"/>
        <v>5.1486307128581252</v>
      </c>
      <c r="EM16" s="20">
        <f t="shared" si="19"/>
        <v>35.708353284652667</v>
      </c>
      <c r="EN16" s="59">
        <f t="shared" si="20"/>
        <v>235.24935353627149</v>
      </c>
      <c r="EO16" s="59">
        <f ca="1">AVERAGE(OFFSET($EN$3,0,0,'Données projet'!$E$15+1,1))-AVERAGE(OFFSET($H$3,0,0,'Données projet'!$E$15+1,1))</f>
        <v>333.52903437536651</v>
      </c>
      <c r="EP16" s="59">
        <f t="shared" si="46"/>
        <v>359.47288701414777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2.3805128205128203</v>
      </c>
      <c r="FE16" s="12">
        <f>IF('Données projet'!$A$218&gt;35,FE15+FD16-FM15,IF(A16&lt;'Données projet'!$A$218,$FB$205^A16,IF(A16='Données projet'!$A$218,'Données projet'!$B$218,FE15+FD16-FM15)))</f>
        <v>22.168018709081991</v>
      </c>
      <c r="FF16" s="17">
        <f>FE16*VLOOKUP('Données projet'!$B$16,Paramètres!$A$1:$I$89,3,0)*VLOOKUP('Données projet'!$B$16,Paramètres!$A$1:$I$89,5,0)</f>
        <v>13.256475188031033</v>
      </c>
      <c r="FG16" s="13">
        <f t="shared" si="47"/>
        <v>4.5219890003242735</v>
      </c>
      <c r="FH16" s="20">
        <f t="shared" si="22"/>
        <v>30.964158461385495</v>
      </c>
      <c r="FI16" s="59">
        <f t="shared" si="23"/>
        <v>230.50515871300431</v>
      </c>
      <c r="FJ16" s="59">
        <f ca="1">AVERAGE(OFFSET($FI$3,0,0,'Données projet'!$E$16+1,1))-AVERAGE(OFFSET($H$3,0,0,'Données projet'!$E$16+1,1))</f>
        <v>313.26988717307376</v>
      </c>
      <c r="FK16" s="59">
        <f t="shared" si="48"/>
        <v>248.17359813993201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1.05</v>
      </c>
      <c r="FZ16" s="12">
        <f>IF('Données projet'!$A$244&gt;35,FZ15+FY16-GH15,IF(A16&lt;'Données projet'!$A$244,$FW$205^A16,IF(A16='Données projet'!$A$244,'Données projet'!$B$244,FZ15+FY16-GH15)))</f>
        <v>7.235066739107908</v>
      </c>
      <c r="GA16" s="17">
        <f>FZ16*VLOOKUP('Données projet'!$B$17,Paramètres!$A$1:$I$89,3,0)*VLOOKUP('Données projet'!$B$17,Paramètres!$A$1:$I$89,5,0)</f>
        <v>7.7878258379757526</v>
      </c>
      <c r="GB16" s="13">
        <f t="shared" si="49"/>
        <v>2.8262296371164966</v>
      </c>
      <c r="GC16" s="20">
        <f t="shared" si="25"/>
        <v>18.486146619119001</v>
      </c>
      <c r="GD16" s="59">
        <f t="shared" si="26"/>
        <v>218.02714687073782</v>
      </c>
      <c r="GE16" s="59">
        <f ca="1">AVERAGE(OFFSET($GD$3,0,0,'Données projet'!$E$17+1,1))-AVERAGE(OFFSET($H$3,0,0,'Données projet'!$E$17+1,1))</f>
        <v>313.51355235711543</v>
      </c>
      <c r="GF16" s="59">
        <f t="shared" si="50"/>
        <v>186.0840067781198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2.85</v>
      </c>
      <c r="N17" s="13">
        <f>IF('Données projet'!$A$36&gt;35,N16+M17-V16,IF(A17&lt;'Données projet'!$A$36,$K$205^A17,IF(A17='Données projet'!$A$36,'Données projet'!$B$36,N16+M17-V16)))</f>
        <v>16.94776365704034</v>
      </c>
      <c r="O17" s="13">
        <f>N17*VLOOKUP('Données projet'!$B$9,Paramètres!$A$1:$I$89,3,0)*VLOOKUP('Données projet'!$B$9,Paramètres!$A$1:$I$89,5,0)</f>
        <v>17.185032348238906</v>
      </c>
      <c r="P17" s="13">
        <f t="shared" si="33"/>
        <v>5.687624517295915</v>
      </c>
      <c r="Q17" s="20">
        <f t="shared" si="2"/>
        <v>39.83654404080648</v>
      </c>
      <c r="R17" s="59">
        <f t="shared" si="0"/>
        <v>241.86640581307967</v>
      </c>
      <c r="S17" s="59">
        <f ca="1">AVERAGE(OFFSET($R$3,0,0,'Données projet'!$E$9+1,1))-AVERAGE(OFFSET($H$3,0,0,'Données projet'!$E$9+1,1))</f>
        <v>452.67426184967104</v>
      </c>
      <c r="T17" s="59">
        <f t="shared" si="34"/>
        <v>310.47823616327639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2.0085470085470085</v>
      </c>
      <c r="AI17" s="13">
        <f>IF('Données projet'!$A$62&gt;35,AI16+AH17-AQ16,IF(A17&lt;'Données projet'!$A$62,$AF$205^A17,IF(A17='Données projet'!$A$62,'Données projet'!$B$62,AI16+AH17-AQ16)))</f>
        <v>24.009053660951697</v>
      </c>
      <c r="AJ17" s="13">
        <f>AI17*VLOOKUP('Données projet'!$B$10,Paramètres!$A$1:$I$89,3,0)*VLOOKUP('Données projet'!$B$10,Paramètres!$A$1:$I$89,5,0)</f>
        <v>25.094262886426712</v>
      </c>
      <c r="AK17" s="13">
        <f t="shared" si="35"/>
        <v>7.9472347747017285</v>
      </c>
      <c r="AL17" s="20">
        <f t="shared" si="4"/>
        <v>57.547275093132022</v>
      </c>
      <c r="AM17" s="59">
        <f t="shared" si="5"/>
        <v>259.57713686540524</v>
      </c>
      <c r="AN17" s="59">
        <f ca="1">AVERAGE(OFFSET($AM$3,0,0,'Données projet'!$E$10+1,1))-AVERAGE(OFFSET($H$3,0,0,'Données projet'!$E$10+1,1))</f>
        <v>528.45201982036087</v>
      </c>
      <c r="AO17" s="59">
        <f t="shared" si="36"/>
        <v>321.23004033257985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1.05</v>
      </c>
      <c r="BD17" s="12">
        <f>IF('Données projet'!$A$88&gt;35,BD16+BC17-BL16,IF(A17&lt;'Données projet'!$A$88,$BA$205^A17,IF(A17='Données projet'!$A$88,'Données projet'!$B$88,BD16+BC17-BL16)))</f>
        <v>8.4246817951744681</v>
      </c>
      <c r="BE17" s="13">
        <f>BD17*VLOOKUP('Données projet'!$B$11,Paramètres!$A$1:$I$89,3,0)*VLOOKUP('Données projet'!$B$11,Paramètres!$A$1:$I$89,5,0)</f>
        <v>8.148352232292746</v>
      </c>
      <c r="BF17" s="13">
        <f t="shared" si="37"/>
        <v>2.9415303588242718</v>
      </c>
      <c r="BG17" s="20">
        <f t="shared" si="7"/>
        <v>19.314878846195473</v>
      </c>
      <c r="BH17" s="59">
        <f t="shared" si="8"/>
        <v>221.34474061846868</v>
      </c>
      <c r="BI17" s="59">
        <f ca="1">AVERAGE(OFFSET($BH$3,0,0,'Données projet'!$E$11+1,1))-AVERAGE(OFFSET($H$3,0,0,'Données projet'!$E$11+1,1))</f>
        <v>289.06522051625166</v>
      </c>
      <c r="BJ17" s="59">
        <f t="shared" si="38"/>
        <v>173.19148969173838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3.45</v>
      </c>
      <c r="BY17" s="12">
        <f>IF('Données projet'!$A$114&gt;35,BY16+BX17-CG16,IF(A17&lt;'Données projet'!$A$114,$BV$205^A17,IF(A17='Données projet'!$A$114,'Données projet'!$B$114,BY16+BX17-CG16)))</f>
        <v>19.372887813476268</v>
      </c>
      <c r="BZ17" s="13">
        <f>BY17*VLOOKUP('Données projet'!$B$12,Paramètres!$A$1:$I$89,3,0)*VLOOKUP('Données projet'!$B$12,Paramètres!$A$1:$I$89,5,0)</f>
        <v>15.715286594291952</v>
      </c>
      <c r="CA17" s="13">
        <f t="shared" si="39"/>
        <v>5.2556018158314108</v>
      </c>
      <c r="CB17" s="20">
        <f t="shared" si="10"/>
        <v>36.524297314298188</v>
      </c>
      <c r="CC17" s="59">
        <f t="shared" si="11"/>
        <v>238.55415908657139</v>
      </c>
      <c r="CD17" s="59">
        <f ca="1">AVERAGE(OFFSET($CC$3,0,0,'Données projet'!$E$12+1,1))-AVERAGE(OFFSET($H$3,0,0,'Données projet'!$E$12+1,1))</f>
        <v>306.06916761900357</v>
      </c>
      <c r="CE17" s="59">
        <f t="shared" si="40"/>
        <v>258.90832875500337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2.85</v>
      </c>
      <c r="CT17" s="12">
        <f>IF('Données projet'!$A$140&gt;35,CT16+CS17-DB16,IF(A17&lt;'Données projet'!$A$140,$CQ$205^A17,IF(A17='Données projet'!$A$140,'Données projet'!$B$140,CT16+CS17-DB16)))</f>
        <v>16.94776365704034</v>
      </c>
      <c r="CU17" s="17">
        <f>CT17*VLOOKUP('Données projet'!$B$13,Paramètres!$A$1:$I$89,3,0)*VLOOKUP('Données projet'!$B$13,Paramètres!$A$1:$I$89,5,0)</f>
        <v>11.368559861142661</v>
      </c>
      <c r="CV17" s="13">
        <f t="shared" si="41"/>
        <v>3.9479659927225663</v>
      </c>
      <c r="CW17" s="20">
        <f t="shared" si="13"/>
        <v>26.676282528815268</v>
      </c>
      <c r="CX17" s="59">
        <f t="shared" si="14"/>
        <v>228.70614430108847</v>
      </c>
      <c r="CY17" s="59">
        <f ca="1">AVERAGE(OFFSET($CX$3,0,0,'Données projet'!$E$13+1,1))-AVERAGE(OFFSET($H$3,0,0,'Données projet'!$E$13+1,1))</f>
        <v>324.58754156328285</v>
      </c>
      <c r="CZ17" s="59">
        <f t="shared" si="42"/>
        <v>226.01037731977604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7.2264102564102561</v>
      </c>
      <c r="DO17" s="12">
        <f>IF('Données projet'!$A$166&gt;35,DO16+DN17-DW16,IF(A17&lt;'Données projet'!$A$166,$DL$205^A17,IF(A17='Données projet'!$A$166,'Données projet'!$B$166,DO16+DN17-DW16)))</f>
        <v>12.307045471848836</v>
      </c>
      <c r="DP17" s="17">
        <f>DO17*VLOOKUP('Données projet'!$B$14,Paramètres!$A$1:$I$89,3,0)*VLOOKUP('Données projet'!$B$14,Paramètres!$A$1:$I$89,5,0)</f>
        <v>5.7596972808252556</v>
      </c>
      <c r="DQ17" s="13">
        <f t="shared" si="43"/>
        <v>2.1649167617120959</v>
      </c>
      <c r="DR17" s="20">
        <f t="shared" si="16"/>
        <v>13.802036124085888</v>
      </c>
      <c r="DS17" s="59">
        <f t="shared" si="17"/>
        <v>215.83189789635907</v>
      </c>
      <c r="DT17" s="59">
        <f ca="1">AVERAGE(OFFSET($DS$3,0,0,'Données projet'!$E$14+1,1))-AVERAGE(OFFSET($H$3,0,0,'Données projet'!$E$14+1,1))</f>
        <v>325.93182817189722</v>
      </c>
      <c r="DU17" s="59">
        <f t="shared" si="44"/>
        <v>280.04509991782709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4.75</v>
      </c>
      <c r="EJ17" s="12">
        <f>IF('Données projet'!$A$192&gt;35,EJ16+EI17-ER16,IF(A17&lt;'Données projet'!$A$192,$EG$205^A17,IF(A17='Données projet'!$A$192,'Données projet'!$B$192,EJ16+EI17-ER16)))</f>
        <v>24.232963250726986</v>
      </c>
      <c r="EK17" s="17">
        <f>EJ17*VLOOKUP('Données projet'!$B$15,Paramètres!$A$1:$I$89,3,0)*VLOOKUP('Données projet'!$B$15,Paramètres!$A$1:$I$89,5,0)</f>
        <v>19.279745562278389</v>
      </c>
      <c r="EL17" s="13">
        <f t="shared" si="45"/>
        <v>6.2960413540292901</v>
      </c>
      <c r="EM17" s="20">
        <f t="shared" si="19"/>
        <v>44.544495545902528</v>
      </c>
      <c r="EN17" s="59">
        <f t="shared" si="20"/>
        <v>246.57435731817571</v>
      </c>
      <c r="EO17" s="59">
        <f ca="1">AVERAGE(OFFSET($EN$3,0,0,'Données projet'!$E$15+1,1))-AVERAGE(OFFSET($H$3,0,0,'Données projet'!$E$15+1,1))</f>
        <v>333.52903437536651</v>
      </c>
      <c r="EP17" s="59">
        <f t="shared" si="46"/>
        <v>359.47288701414777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2.3805128205128203</v>
      </c>
      <c r="FE17" s="12">
        <f>IF('Données projet'!$A$218&gt;35,FE16+FD17-FM16,IF(A17&lt;'Données projet'!$A$218,$FB$205^A17,IF(A17='Données projet'!$A$218,'Données projet'!$B$218,FE16+FD17-FM16)))</f>
        <v>28.134832345956244</v>
      </c>
      <c r="FF17" s="17">
        <f>FE17*VLOOKUP('Données projet'!$B$16,Paramètres!$A$1:$I$89,3,0)*VLOOKUP('Données projet'!$B$16,Paramètres!$A$1:$I$89,5,0)</f>
        <v>16.824629742881836</v>
      </c>
      <c r="FG17" s="13">
        <f t="shared" si="47"/>
        <v>5.5820988439469144</v>
      </c>
      <c r="FH17" s="20">
        <f t="shared" si="22"/>
        <v>39.025052288726734</v>
      </c>
      <c r="FI17" s="59">
        <f t="shared" si="23"/>
        <v>241.05491406099992</v>
      </c>
      <c r="FJ17" s="59">
        <f ca="1">AVERAGE(OFFSET($FI$3,0,0,'Données projet'!$E$16+1,1))-AVERAGE(OFFSET($H$3,0,0,'Données projet'!$E$16+1,1))</f>
        <v>313.26988717307376</v>
      </c>
      <c r="FK17" s="59">
        <f t="shared" si="48"/>
        <v>248.17359813993201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1.05</v>
      </c>
      <c r="FZ17" s="12">
        <f>IF('Données projet'!$A$244&gt;35,FZ16+FY17-GH16,IF(A17&lt;'Données projet'!$A$244,$FW$205^A17,IF(A17='Données projet'!$A$244,'Données projet'!$B$244,FZ16+FY17-GH16)))</f>
        <v>8.4246817951744681</v>
      </c>
      <c r="GA17" s="17">
        <f>FZ17*VLOOKUP('Données projet'!$B$17,Paramètres!$A$1:$I$89,3,0)*VLOOKUP('Données projet'!$B$17,Paramètres!$A$1:$I$89,5,0)</f>
        <v>9.0683274843257973</v>
      </c>
      <c r="GB17" s="13">
        <f t="shared" si="49"/>
        <v>3.2331294591120168</v>
      </c>
      <c r="GC17" s="20">
        <f t="shared" si="25"/>
        <v>21.425037509820857</v>
      </c>
      <c r="GD17" s="59">
        <f t="shared" si="26"/>
        <v>223.45489928209406</v>
      </c>
      <c r="GE17" s="59">
        <f ca="1">AVERAGE(OFFSET($GD$3,0,0,'Données projet'!$E$17+1,1))-AVERAGE(OFFSET($H$3,0,0,'Données projet'!$E$17+1,1))</f>
        <v>313.51355235711543</v>
      </c>
      <c r="GF17" s="59">
        <f t="shared" si="50"/>
        <v>186.0840067781198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2.85</v>
      </c>
      <c r="N18" s="13">
        <f>IF('Données projet'!$A$36&gt;35,N17+M18-V17,IF(A18&lt;'Données projet'!$A$36,$K$205^A18,IF(A18='Données projet'!$A$36,'Données projet'!$B$36,N17+M18-V17)))</f>
        <v>20.744651426583019</v>
      </c>
      <c r="O18" s="13">
        <f>N18*VLOOKUP('Données projet'!$B$9,Paramètres!$A$1:$I$89,3,0)*VLOOKUP('Données projet'!$B$9,Paramètres!$A$1:$I$89,5,0)</f>
        <v>21.035076546555182</v>
      </c>
      <c r="P18" s="13">
        <f t="shared" si="33"/>
        <v>6.7999460763444777</v>
      </c>
      <c r="Q18" s="20">
        <f t="shared" si="2"/>
        <v>48.479331068216901</v>
      </c>
      <c r="R18" s="59">
        <f t="shared" si="0"/>
        <v>252.97608100109795</v>
      </c>
      <c r="S18" s="59">
        <f ca="1">AVERAGE(OFFSET($R$3,0,0,'Données projet'!$E$9+1,1))-AVERAGE(OFFSET($H$3,0,0,'Données projet'!$E$9+1,1))</f>
        <v>452.67426184967104</v>
      </c>
      <c r="T18" s="59">
        <f t="shared" si="34"/>
        <v>310.47823616327639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30.128205128205128</v>
      </c>
      <c r="AG18" s="12">
        <f>VLOOKUP(A18,'Données projet'!$A$61:$I$81,9,0)</f>
        <v>2.0085470085470085</v>
      </c>
      <c r="AH18" s="12">
        <f t="array" ref="AH18">INDEX(AG:AG,MIN(IF(ISNUMBER(AG18:AG214),ROW(AG18:AG214),"")))</f>
        <v>2.0085470085470085</v>
      </c>
      <c r="AI18" s="13">
        <f>IF('Données projet'!$A$62&gt;35,AI17+AH18-AQ17,IF(A18&lt;'Données projet'!$A$62,$AF$205^A18,IF(A18='Données projet'!$A$62,'Données projet'!$B$62,AI17+AH18-AQ17)))</f>
        <v>30.128205128205128</v>
      </c>
      <c r="AJ18" s="13">
        <f>AI18*VLOOKUP('Données projet'!$B$10,Paramètres!$A$1:$I$89,3,0)*VLOOKUP('Données projet'!$B$10,Paramètres!$A$1:$I$89,5,0)</f>
        <v>31.490000000000006</v>
      </c>
      <c r="AK18" s="13">
        <f t="shared" si="35"/>
        <v>9.7126430402655597</v>
      </c>
      <c r="AL18" s="20">
        <f t="shared" si="4"/>
        <v>71.761269961795847</v>
      </c>
      <c r="AM18" s="59">
        <f t="shared" si="5"/>
        <v>276.25801989467686</v>
      </c>
      <c r="AN18" s="59">
        <f ca="1">AVERAGE(OFFSET($AM$3,0,0,'Données projet'!$E$10+1,1))-AVERAGE(OFFSET($H$3,0,0,'Données projet'!$E$10+1,1))</f>
        <v>528.45201982036087</v>
      </c>
      <c r="AO18" s="59">
        <f t="shared" si="36"/>
        <v>321.23004033257985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3.8461538461538458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1.05</v>
      </c>
      <c r="BD18" s="12">
        <f>IF('Données projet'!$A$88&gt;35,BD17+BC18-BL17,IF(A18&lt;'Données projet'!$A$88,$BA$205^A18,IF(A18='Données projet'!$A$88,'Données projet'!$B$88,BD17+BC18-BL17)))</f>
        <v>9.8098975322922115</v>
      </c>
      <c r="BE18" s="13">
        <f>BD18*VLOOKUP('Données projet'!$B$11,Paramètres!$A$1:$I$89,3,0)*VLOOKUP('Données projet'!$B$11,Paramètres!$A$1:$I$89,5,0)</f>
        <v>9.4881328932330273</v>
      </c>
      <c r="BF18" s="13">
        <f t="shared" si="37"/>
        <v>3.3650303333773621</v>
      </c>
      <c r="BG18" s="20">
        <f t="shared" si="7"/>
        <v>22.385925953013096</v>
      </c>
      <c r="BH18" s="59">
        <f t="shared" si="8"/>
        <v>226.88267588589414</v>
      </c>
      <c r="BI18" s="59">
        <f ca="1">AVERAGE(OFFSET($BH$3,0,0,'Données projet'!$E$11+1,1))-AVERAGE(OFFSET($H$3,0,0,'Données projet'!$E$11+1,1))</f>
        <v>289.06522051625166</v>
      </c>
      <c r="BJ18" s="59">
        <f t="shared" si="38"/>
        <v>173.19148969173838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3.45</v>
      </c>
      <c r="BY18" s="12">
        <f>IF('Données projet'!$A$114&gt;35,BY17+BX18-CG17,IF(A18&lt;'Données projet'!$A$114,$BV$205^A18,IF(A18='Données projet'!$A$114,'Données projet'!$B$114,BY17+BX18-CG17)))</f>
        <v>23.940698539126789</v>
      </c>
      <c r="BZ18" s="13">
        <f>BY18*VLOOKUP('Données projet'!$B$12,Paramètres!$A$1:$I$89,3,0)*VLOOKUP('Données projet'!$B$12,Paramètres!$A$1:$I$89,5,0)</f>
        <v>19.420694654939652</v>
      </c>
      <c r="CA18" s="13">
        <f t="shared" si="39"/>
        <v>6.3366950412492162</v>
      </c>
      <c r="CB18" s="20">
        <f t="shared" si="10"/>
        <v>44.860787054195605</v>
      </c>
      <c r="CC18" s="59">
        <f t="shared" si="11"/>
        <v>249.35753698707666</v>
      </c>
      <c r="CD18" s="59">
        <f ca="1">AVERAGE(OFFSET($CC$3,0,0,'Données projet'!$E$12+1,1))-AVERAGE(OFFSET($H$3,0,0,'Données projet'!$E$12+1,1))</f>
        <v>306.06916761900357</v>
      </c>
      <c r="CE18" s="59">
        <f t="shared" si="40"/>
        <v>258.90832875500337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2.85</v>
      </c>
      <c r="CT18" s="12">
        <f>IF('Données projet'!$A$140&gt;35,CT17+CS18-DB17,IF(A18&lt;'Données projet'!$A$140,$CQ$205^A18,IF(A18='Données projet'!$A$140,'Données projet'!$B$140,CT17+CS18-DB17)))</f>
        <v>20.744651426583019</v>
      </c>
      <c r="CU18" s="17">
        <f>CT18*VLOOKUP('Données projet'!$B$13,Paramètres!$A$1:$I$89,3,0)*VLOOKUP('Données projet'!$B$13,Paramètres!$A$1:$I$89,5,0)</f>
        <v>13.915512176951887</v>
      </c>
      <c r="CV18" s="13">
        <f t="shared" si="41"/>
        <v>4.7200647265158606</v>
      </c>
      <c r="CW18" s="20">
        <f t="shared" si="13"/>
        <v>32.456963106872998</v>
      </c>
      <c r="CX18" s="59">
        <f t="shared" si="14"/>
        <v>236.95371303975404</v>
      </c>
      <c r="CY18" s="59">
        <f ca="1">AVERAGE(OFFSET($CX$3,0,0,'Données projet'!$E$13+1,1))-AVERAGE(OFFSET($H$3,0,0,'Données projet'!$E$13+1,1))</f>
        <v>324.58754156328285</v>
      </c>
      <c r="CZ18" s="59">
        <f t="shared" si="42"/>
        <v>226.01037731977604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7.2264102564102561</v>
      </c>
      <c r="DO18" s="12">
        <f>IF('Données projet'!$A$166&gt;35,DO17+DN18-DW17,IF(A18&lt;'Données projet'!$A$166,$DL$205^A18,IF(A18='Données projet'!$A$166,'Données projet'!$B$166,DO17+DN18-DW17)))</f>
        <v>14.723868638788783</v>
      </c>
      <c r="DP18" s="17">
        <f>DO18*VLOOKUP('Données projet'!$B$14,Paramètres!$A$1:$I$89,3,0)*VLOOKUP('Données projet'!$B$14,Paramètres!$A$1:$I$89,5,0)</f>
        <v>6.89077052295315</v>
      </c>
      <c r="DQ18" s="13">
        <f t="shared" si="43"/>
        <v>2.5365619978778424</v>
      </c>
      <c r="DR18" s="20">
        <f t="shared" si="16"/>
        <v>16.419270807113978</v>
      </c>
      <c r="DS18" s="59">
        <f t="shared" si="17"/>
        <v>220.91602073999502</v>
      </c>
      <c r="DT18" s="59">
        <f ca="1">AVERAGE(OFFSET($DS$3,0,0,'Données projet'!$E$14+1,1))-AVERAGE(OFFSET($H$3,0,0,'Données projet'!$E$14+1,1))</f>
        <v>325.93182817189722</v>
      </c>
      <c r="DU18" s="59">
        <f t="shared" si="44"/>
        <v>280.04509991782709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4.75</v>
      </c>
      <c r="EJ18" s="12">
        <f>IF('Données projet'!$A$192&gt;35,EJ17+EI18-ER17,IF(A18&lt;'Données projet'!$A$192,$EG$205^A18,IF(A18='Données projet'!$A$192,'Données projet'!$B$192,EJ17+EI18-ER17)))</f>
        <v>30.429351993705815</v>
      </c>
      <c r="EK18" s="17">
        <f>EJ18*VLOOKUP('Données projet'!$B$15,Paramètres!$A$1:$I$89,3,0)*VLOOKUP('Données projet'!$B$15,Paramètres!$A$1:$I$89,5,0)</f>
        <v>24.209592446192346</v>
      </c>
      <c r="EL18" s="13">
        <f t="shared" si="45"/>
        <v>7.6991609890859385</v>
      </c>
      <c r="EM18" s="20">
        <f t="shared" si="19"/>
        <v>55.574412233109683</v>
      </c>
      <c r="EN18" s="59">
        <f t="shared" si="20"/>
        <v>260.0711621659907</v>
      </c>
      <c r="EO18" s="59">
        <f ca="1">AVERAGE(OFFSET($EN$3,0,0,'Données projet'!$E$15+1,1))-AVERAGE(OFFSET($H$3,0,0,'Données projet'!$E$15+1,1))</f>
        <v>333.52903437536651</v>
      </c>
      <c r="EP18" s="59">
        <f t="shared" si="46"/>
        <v>359.47288701414777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35.707692307692305</v>
      </c>
      <c r="FC18" s="12">
        <f>VLOOKUP(A18,'Données projet'!$A$217:$I$237,9,0)</f>
        <v>2.3805128205128203</v>
      </c>
      <c r="FD18" s="12">
        <f t="array" ref="FD18">INDEX(FC:FC,MIN(IF(ISNUMBER(FC18:FC214),ROW(FC18:FC214),"")))</f>
        <v>2.3805128205128203</v>
      </c>
      <c r="FE18" s="12">
        <f>IF('Données projet'!$A$218&gt;35,FE17+FD18-FM17,IF(A18&lt;'Données projet'!$A$218,$FB$205^A18,IF(A18='Données projet'!$A$218,'Données projet'!$B$218,FE17+FD18-FM17)))</f>
        <v>35.707692307692305</v>
      </c>
      <c r="FF18" s="17">
        <f>FE18*VLOOKUP('Données projet'!$B$16,Paramètres!$A$1:$I$89,3,0)*VLOOKUP('Données projet'!$B$16,Paramètres!$A$1:$I$89,5,0)</f>
        <v>21.353200000000001</v>
      </c>
      <c r="FG18" s="13">
        <f t="shared" si="47"/>
        <v>6.8907349180546449</v>
      </c>
      <c r="FH18" s="20">
        <f t="shared" si="22"/>
        <v>49.1915199822785</v>
      </c>
      <c r="FI18" s="59">
        <f t="shared" si="23"/>
        <v>253.68826991515954</v>
      </c>
      <c r="FJ18" s="59">
        <f ca="1">AVERAGE(OFFSET($FI$3,0,0,'Données projet'!$E$16+1,1))-AVERAGE(OFFSET($H$3,0,0,'Données projet'!$E$16+1,1))</f>
        <v>313.26988717307376</v>
      </c>
      <c r="FK18" s="59">
        <f t="shared" si="48"/>
        <v>248.17359813993201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1.05</v>
      </c>
      <c r="FZ18" s="12">
        <f>IF('Données projet'!$A$244&gt;35,FZ17+FY18-GH17,IF(A18&lt;'Données projet'!$A$244,$FW$205^A18,IF(A18='Données projet'!$A$244,'Données projet'!$B$244,FZ17+FY18-GH17)))</f>
        <v>9.8098975322922115</v>
      </c>
      <c r="GA18" s="17">
        <f>FZ18*VLOOKUP('Données projet'!$B$17,Paramètres!$A$1:$I$89,3,0)*VLOOKUP('Données projet'!$B$17,Paramètres!$A$1:$I$89,5,0)</f>
        <v>10.559373703759336</v>
      </c>
      <c r="GB18" s="13">
        <f t="shared" si="49"/>
        <v>3.6986117341982632</v>
      </c>
      <c r="GC18" s="20">
        <f t="shared" si="25"/>
        <v>24.832657971109484</v>
      </c>
      <c r="GD18" s="59">
        <f t="shared" si="26"/>
        <v>229.32940790399053</v>
      </c>
      <c r="GE18" s="59">
        <f ca="1">AVERAGE(OFFSET($GD$3,0,0,'Données projet'!$E$17+1,1))-AVERAGE(OFFSET($H$3,0,0,'Données projet'!$E$17+1,1))</f>
        <v>313.51355235711543</v>
      </c>
      <c r="GF18" s="59">
        <f t="shared" si="50"/>
        <v>186.0840067781198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2.85</v>
      </c>
      <c r="N19" s="13">
        <f>IF('Données projet'!$A$36&gt;35,N18+M19-V18,IF(A19&lt;'Données projet'!$A$36,$K$205^A19,IF(A19='Données projet'!$A$36,'Données projet'!$B$36,N18+M19-V18)))</f>
        <v>25.392173948075062</v>
      </c>
      <c r="O19" s="13">
        <f>N19*VLOOKUP('Données projet'!$B$9,Paramètres!$A$1:$I$89,3,0)*VLOOKUP('Données projet'!$B$9,Paramètres!$A$1:$I$89,5,0)</f>
        <v>25.747664383348113</v>
      </c>
      <c r="P19" s="13">
        <f t="shared" si="33"/>
        <v>8.1298029608987559</v>
      </c>
      <c r="Q19" s="20">
        <f t="shared" si="2"/>
        <v>59.00325562456328</v>
      </c>
      <c r="R19" s="59">
        <f t="shared" si="0"/>
        <v>265.94530154667734</v>
      </c>
      <c r="S19" s="59">
        <f ca="1">AVERAGE(OFFSET($R$3,0,0,'Données projet'!$E$9+1,1))-AVERAGE(OFFSET($H$3,0,0,'Données projet'!$E$9+1,1))</f>
        <v>452.67426184967104</v>
      </c>
      <c r="T19" s="59">
        <f t="shared" si="34"/>
        <v>310.47823616327639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5.7692307692307683</v>
      </c>
      <c r="AI19" s="13">
        <f>IF('Données projet'!$A$62&gt;35,AI18+AH19-AQ18,IF(A19&lt;'Données projet'!$A$62,$AF$205^A19,IF(A19='Données projet'!$A$62,'Données projet'!$B$62,AI18+AH19-AQ18)))</f>
        <v>32.051282051282051</v>
      </c>
      <c r="AJ19" s="13">
        <f>AI19*VLOOKUP('Données projet'!$B$10,Paramètres!$A$1:$I$89,3,0)*VLOOKUP('Données projet'!$B$10,Paramètres!$A$1:$I$89,5,0)</f>
        <v>33.5</v>
      </c>
      <c r="AK19" s="13">
        <f t="shared" si="35"/>
        <v>10.25844788209978</v>
      </c>
      <c r="AL19" s="20">
        <f t="shared" si="4"/>
        <v>76.212630061323765</v>
      </c>
      <c r="AM19" s="59">
        <f t="shared" si="5"/>
        <v>283.15467598343781</v>
      </c>
      <c r="AN19" s="59">
        <f ca="1">AVERAGE(OFFSET($AM$3,0,0,'Données projet'!$E$10+1,1))-AVERAGE(OFFSET($H$3,0,0,'Données projet'!$E$10+1,1))</f>
        <v>528.45201982036087</v>
      </c>
      <c r="AO19" s="59">
        <f t="shared" si="36"/>
        <v>321.23004033257985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1.05</v>
      </c>
      <c r="BD19" s="12">
        <f>IF('Données projet'!$A$88&gt;35,BD18+BC19-BL18,IF(A19&lt;'Données projet'!$A$88,$BA$205^A19,IF(A19='Données projet'!$A$88,'Données projet'!$B$88,BD18+BC19-BL18)))</f>
        <v>11.42287530066646</v>
      </c>
      <c r="BE19" s="13">
        <f>BD19*VLOOKUP('Données projet'!$B$11,Paramètres!$A$1:$I$89,3,0)*VLOOKUP('Données projet'!$B$11,Paramètres!$A$1:$I$89,5,0)</f>
        <v>11.048204990804599</v>
      </c>
      <c r="BF19" s="13">
        <f t="shared" si="37"/>
        <v>3.8495027292785511</v>
      </c>
      <c r="BG19" s="20">
        <f t="shared" si="7"/>
        <v>25.946840945811488</v>
      </c>
      <c r="BH19" s="59">
        <f t="shared" si="8"/>
        <v>232.88888686792555</v>
      </c>
      <c r="BI19" s="59">
        <f ca="1">AVERAGE(OFFSET($BH$3,0,0,'Données projet'!$E$11+1,1))-AVERAGE(OFFSET($H$3,0,0,'Données projet'!$E$11+1,1))</f>
        <v>289.06522051625166</v>
      </c>
      <c r="BJ19" s="59">
        <f t="shared" si="38"/>
        <v>173.19148969173838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3.45</v>
      </c>
      <c r="BY19" s="12">
        <f>IF('Données projet'!$A$114&gt;35,BY18+BX19-CG18,IF(A19&lt;'Données projet'!$A$114,$BV$205^A19,IF(A19='Données projet'!$A$114,'Données projet'!$B$114,BY18+BX19-CG18)))</f>
        <v>29.585524474190425</v>
      </c>
      <c r="BZ19" s="13">
        <f>BY19*VLOOKUP('Données projet'!$B$12,Paramètres!$A$1:$I$89,3,0)*VLOOKUP('Données projet'!$B$12,Paramètres!$A$1:$I$89,5,0)</f>
        <v>23.999777453463274</v>
      </c>
      <c r="CA19" s="13">
        <f t="shared" si="39"/>
        <v>7.6401724203758565</v>
      </c>
      <c r="CB19" s="20">
        <f t="shared" si="10"/>
        <v>55.106246030269809</v>
      </c>
      <c r="CC19" s="59">
        <f t="shared" si="11"/>
        <v>262.04829195238386</v>
      </c>
      <c r="CD19" s="59">
        <f ca="1">AVERAGE(OFFSET($CC$3,0,0,'Données projet'!$E$12+1,1))-AVERAGE(OFFSET($H$3,0,0,'Données projet'!$E$12+1,1))</f>
        <v>306.06916761900357</v>
      </c>
      <c r="CE19" s="59">
        <f t="shared" si="40"/>
        <v>258.90832875500337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2.85</v>
      </c>
      <c r="CT19" s="12">
        <f>IF('Données projet'!$A$140&gt;35,CT18+CS19-DB18,IF(A19&lt;'Données projet'!$A$140,$CQ$205^A19,IF(A19='Données projet'!$A$140,'Données projet'!$B$140,CT18+CS19-DB18)))</f>
        <v>25.392173948075062</v>
      </c>
      <c r="CU19" s="17">
        <f>CT19*VLOOKUP('Données projet'!$B$13,Paramètres!$A$1:$I$89,3,0)*VLOOKUP('Données projet'!$B$13,Paramètres!$A$1:$I$89,5,0)</f>
        <v>17.033070284368751</v>
      </c>
      <c r="CV19" s="13">
        <f t="shared" si="41"/>
        <v>5.6431618366437304</v>
      </c>
      <c r="CW19" s="20">
        <f t="shared" si="13"/>
        <v>39.494437610763406</v>
      </c>
      <c r="CX19" s="59">
        <f t="shared" si="14"/>
        <v>246.43648353287747</v>
      </c>
      <c r="CY19" s="59">
        <f ca="1">AVERAGE(OFFSET($CX$3,0,0,'Données projet'!$E$13+1,1))-AVERAGE(OFFSET($H$3,0,0,'Données projet'!$E$13+1,1))</f>
        <v>324.58754156328285</v>
      </c>
      <c r="CZ19" s="59">
        <f t="shared" si="42"/>
        <v>226.01037731977604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7.2264102564102561</v>
      </c>
      <c r="DO19" s="12">
        <f>IF('Données projet'!$A$166&gt;35,DO18+DN19-DW18,IF(A19&lt;'Données projet'!$A$166,$DL$205^A19,IF(A19='Données projet'!$A$166,'Données projet'!$B$166,DO18+DN19-DW18)))</f>
        <v>17.61530077939495</v>
      </c>
      <c r="DP19" s="17">
        <f>DO19*VLOOKUP('Données projet'!$B$14,Paramètres!$A$1:$I$89,3,0)*VLOOKUP('Données projet'!$B$14,Paramètres!$A$1:$I$89,5,0)</f>
        <v>8.2439607647568369</v>
      </c>
      <c r="DQ19" s="13">
        <f t="shared" si="43"/>
        <v>2.972006537558364</v>
      </c>
      <c r="DR19" s="20">
        <f t="shared" si="16"/>
        <v>19.534476384865641</v>
      </c>
      <c r="DS19" s="59">
        <f t="shared" si="17"/>
        <v>226.47652230697969</v>
      </c>
      <c r="DT19" s="59">
        <f ca="1">AVERAGE(OFFSET($DS$3,0,0,'Données projet'!$E$14+1,1))-AVERAGE(OFFSET($H$3,0,0,'Données projet'!$E$14+1,1))</f>
        <v>325.93182817189722</v>
      </c>
      <c r="DU19" s="59">
        <f t="shared" si="44"/>
        <v>280.04509991782709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4.75</v>
      </c>
      <c r="EJ19" s="12">
        <f>IF('Données projet'!$A$192&gt;35,EJ18+EI19-ER18,IF(A19&lt;'Données projet'!$A$192,$EG$205^A19,IF(A19='Données projet'!$A$192,'Données projet'!$B$192,EJ18+EI19-ER18)))</f>
        <v>38.21016246244956</v>
      </c>
      <c r="EK19" s="17">
        <f>EJ19*VLOOKUP('Données projet'!$B$15,Paramètres!$A$1:$I$89,3,0)*VLOOKUP('Données projet'!$B$15,Paramètres!$A$1:$I$89,5,0)</f>
        <v>30.400005255124871</v>
      </c>
      <c r="EL19" s="13">
        <f t="shared" si="45"/>
        <v>9.4149762688466279</v>
      </c>
      <c r="EM19" s="20">
        <f t="shared" si="19"/>
        <v>69.344426154250357</v>
      </c>
      <c r="EN19" s="59">
        <f t="shared" si="20"/>
        <v>276.28647207636442</v>
      </c>
      <c r="EO19" s="59">
        <f ca="1">AVERAGE(OFFSET($EN$3,0,0,'Données projet'!$E$15+1,1))-AVERAGE(OFFSET($H$3,0,0,'Données projet'!$E$15+1,1))</f>
        <v>333.52903437536651</v>
      </c>
      <c r="EP19" s="59">
        <f t="shared" si="46"/>
        <v>359.47288701414777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13.468131868131868</v>
      </c>
      <c r="FE19" s="12">
        <f>IF('Données projet'!$A$218&gt;35,FE18+FD19-FM18,IF(A19&lt;'Données projet'!$A$218,$FB$205^A19,IF(A19='Données projet'!$A$218,'Données projet'!$B$218,FE18+FD19-FM18)))</f>
        <v>49.175824175824175</v>
      </c>
      <c r="FF19" s="17">
        <f>FE19*VLOOKUP('Données projet'!$B$16,Paramètres!$A$1:$I$89,3,0)*VLOOKUP('Données projet'!$B$16,Paramètres!$A$1:$I$89,5,0)</f>
        <v>29.407142857142858</v>
      </c>
      <c r="FG19" s="13">
        <f t="shared" si="47"/>
        <v>9.1427529908921841</v>
      </c>
      <c r="FH19" s="20">
        <f t="shared" si="22"/>
        <v>67.141068601994363</v>
      </c>
      <c r="FI19" s="59">
        <f t="shared" si="23"/>
        <v>274.0831145241084</v>
      </c>
      <c r="FJ19" s="59">
        <f ca="1">AVERAGE(OFFSET($FI$3,0,0,'Données projet'!$E$16+1,1))-AVERAGE(OFFSET($H$3,0,0,'Données projet'!$E$16+1,1))</f>
        <v>313.26988717307376</v>
      </c>
      <c r="FK19" s="59">
        <f t="shared" si="48"/>
        <v>248.17359813993201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1.05</v>
      </c>
      <c r="FZ19" s="12">
        <f>IF('Données projet'!$A$244&gt;35,FZ18+FY19-GH18,IF(A19&lt;'Données projet'!$A$244,$FW$205^A19,IF(A19='Données projet'!$A$244,'Données projet'!$B$244,FZ18+FY19-GH18)))</f>
        <v>11.42287530066646</v>
      </c>
      <c r="GA19" s="17">
        <f>FZ19*VLOOKUP('Données projet'!$B$17,Paramètres!$A$1:$I$89,3,0)*VLOOKUP('Données projet'!$B$17,Paramètres!$A$1:$I$89,5,0)</f>
        <v>12.295582973637377</v>
      </c>
      <c r="GB19" s="13">
        <f t="shared" si="49"/>
        <v>4.2311107344604242</v>
      </c>
      <c r="GC19" s="20">
        <f t="shared" si="25"/>
        <v>28.783991541603669</v>
      </c>
      <c r="GD19" s="59">
        <f t="shared" si="26"/>
        <v>235.72603746371772</v>
      </c>
      <c r="GE19" s="59">
        <f ca="1">AVERAGE(OFFSET($GD$3,0,0,'Données projet'!$E$17+1,1))-AVERAGE(OFFSET($H$3,0,0,'Données projet'!$E$17+1,1))</f>
        <v>313.51355235711543</v>
      </c>
      <c r="GF19" s="59">
        <f t="shared" si="50"/>
        <v>186.0840067781198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2.85</v>
      </c>
      <c r="N20" s="13">
        <f>IF('Données projet'!$A$36&gt;35,N19+M20-V19,IF(A20&lt;'Données projet'!$A$36,$K$205^A20,IF(A20='Données projet'!$A$36,'Données projet'!$B$36,N19+M20-V19)))</f>
        <v>31.080902954246678</v>
      </c>
      <c r="O20" s="13">
        <f>N20*VLOOKUP('Données projet'!$B$9,Paramètres!$A$1:$I$89,3,0)*VLOOKUP('Données projet'!$B$9,Paramètres!$A$1:$I$89,5,0)</f>
        <v>31.516035595606134</v>
      </c>
      <c r="P20" s="13">
        <f t="shared" si="33"/>
        <v>9.7197382804201471</v>
      </c>
      <c r="Q20" s="20">
        <f t="shared" si="2"/>
        <v>71.818972834079091</v>
      </c>
      <c r="R20" s="59">
        <f t="shared" si="0"/>
        <v>281.18509714995184</v>
      </c>
      <c r="S20" s="59">
        <f ca="1">AVERAGE(OFFSET($R$3,0,0,'Données projet'!$E$9+1,1))-AVERAGE(OFFSET($H$3,0,0,'Données projet'!$E$9+1,1))</f>
        <v>452.67426184967104</v>
      </c>
      <c r="T20" s="59">
        <f t="shared" si="34"/>
        <v>310.47823616327639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5.7692307692307683</v>
      </c>
      <c r="AI20" s="13">
        <f>IF('Données projet'!$A$62&gt;35,AI19+AH20-AQ19,IF(A20&lt;'Données projet'!$A$62,$AF$205^A20,IF(A20='Données projet'!$A$62,'Données projet'!$B$62,AI19+AH20-AQ19)))</f>
        <v>37.820512820512818</v>
      </c>
      <c r="AJ20" s="13">
        <f>AI20*VLOOKUP('Données projet'!$B$10,Paramètres!$A$1:$I$89,3,0)*VLOOKUP('Données projet'!$B$10,Paramètres!$A$1:$I$89,5,0)</f>
        <v>39.53</v>
      </c>
      <c r="AK20" s="13">
        <f t="shared" si="35"/>
        <v>11.873987790463543</v>
      </c>
      <c r="AL20" s="20">
        <f t="shared" si="4"/>
        <v>89.528612068390657</v>
      </c>
      <c r="AM20" s="59">
        <f t="shared" si="5"/>
        <v>298.89473638426341</v>
      </c>
      <c r="AN20" s="59">
        <f ca="1">AVERAGE(OFFSET($AM$3,0,0,'Données projet'!$E$10+1,1))-AVERAGE(OFFSET($H$3,0,0,'Données projet'!$E$10+1,1))</f>
        <v>528.45201982036087</v>
      </c>
      <c r="AO20" s="59">
        <f t="shared" si="36"/>
        <v>321.23004033257985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1.05</v>
      </c>
      <c r="BD20" s="12">
        <f>IF('Données projet'!$A$88&gt;35,BD19+BC20-BL19,IF(A20&lt;'Données projet'!$A$88,$BA$205^A20,IF(A20='Données projet'!$A$88,'Données projet'!$B$88,BD19+BC20-BL19)))</f>
        <v>13.301064532535134</v>
      </c>
      <c r="BE20" s="13">
        <f>BD20*VLOOKUP('Données projet'!$B$11,Paramètres!$A$1:$I$89,3,0)*VLOOKUP('Données projet'!$B$11,Paramètres!$A$1:$I$89,5,0)</f>
        <v>12.864789615867982</v>
      </c>
      <c r="BF20" s="13">
        <f t="shared" si="37"/>
        <v>4.4037259087201281</v>
      </c>
      <c r="BG20" s="20">
        <f t="shared" si="7"/>
        <v>30.07599787199096</v>
      </c>
      <c r="BH20" s="59">
        <f t="shared" si="8"/>
        <v>239.44212218786367</v>
      </c>
      <c r="BI20" s="59">
        <f ca="1">AVERAGE(OFFSET($BH$3,0,0,'Données projet'!$E$11+1,1))-AVERAGE(OFFSET($H$3,0,0,'Données projet'!$E$11+1,1))</f>
        <v>289.06522051625166</v>
      </c>
      <c r="BJ20" s="59">
        <f t="shared" si="38"/>
        <v>173.19148969173838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3.45</v>
      </c>
      <c r="BY20" s="12">
        <f>IF('Données projet'!$A$114&gt;35,BY19+BX20-CG19,IF(A20&lt;'Données projet'!$A$114,$BV$205^A20,IF(A20='Données projet'!$A$114,'Données projet'!$B$114,BY19+BX20-CG19)))</f>
        <v>36.561308225087672</v>
      </c>
      <c r="BZ20" s="13">
        <f>BY20*VLOOKUP('Données projet'!$B$12,Paramètres!$A$1:$I$89,3,0)*VLOOKUP('Données projet'!$B$12,Paramètres!$A$1:$I$89,5,0)</f>
        <v>29.658533232191125</v>
      </c>
      <c r="CA20" s="13">
        <f t="shared" si="39"/>
        <v>9.2117790477675214</v>
      </c>
      <c r="CB20" s="20">
        <f t="shared" si="10"/>
        <v>67.699127220927977</v>
      </c>
      <c r="CC20" s="59">
        <f t="shared" si="11"/>
        <v>277.0652515368007</v>
      </c>
      <c r="CD20" s="59">
        <f ca="1">AVERAGE(OFFSET($CC$3,0,0,'Données projet'!$E$12+1,1))-AVERAGE(OFFSET($H$3,0,0,'Données projet'!$E$12+1,1))</f>
        <v>306.06916761900357</v>
      </c>
      <c r="CE20" s="59">
        <f t="shared" si="40"/>
        <v>258.90832875500337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2.85</v>
      </c>
      <c r="CT20" s="12">
        <f>IF('Données projet'!$A$140&gt;35,CT19+CS20-DB19,IF(A20&lt;'Données projet'!$A$140,$CQ$205^A20,IF(A20='Données projet'!$A$140,'Données projet'!$B$140,CT19+CS20-DB19)))</f>
        <v>31.080902954246678</v>
      </c>
      <c r="CU20" s="17">
        <f>CT20*VLOOKUP('Données projet'!$B$13,Paramètres!$A$1:$I$89,3,0)*VLOOKUP('Données projet'!$B$13,Paramètres!$A$1:$I$89,5,0)</f>
        <v>20.849069701708672</v>
      </c>
      <c r="CV20" s="13">
        <f t="shared" si="41"/>
        <v>6.7467878852710115</v>
      </c>
      <c r="CW20" s="20">
        <f t="shared" si="13"/>
        <v>48.062785297322939</v>
      </c>
      <c r="CX20" s="59">
        <f t="shared" si="14"/>
        <v>257.42890961319569</v>
      </c>
      <c r="CY20" s="59">
        <f ca="1">AVERAGE(OFFSET($CX$3,0,0,'Données projet'!$E$13+1,1))-AVERAGE(OFFSET($H$3,0,0,'Données projet'!$E$13+1,1))</f>
        <v>324.58754156328285</v>
      </c>
      <c r="CZ20" s="59">
        <f t="shared" si="42"/>
        <v>226.01037731977604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7.2264102564102561</v>
      </c>
      <c r="DO20" s="12">
        <f>IF('Données projet'!$A$166&gt;35,DO19+DN20-DW19,IF(A20&lt;'Données projet'!$A$166,$DL$205^A20,IF(A20='Données projet'!$A$166,'Données projet'!$B$166,DO19+DN20-DW19)))</f>
        <v>21.074544276434004</v>
      </c>
      <c r="DP20" s="17">
        <f>DO20*VLOOKUP('Données projet'!$B$14,Paramètres!$A$1:$I$89,3,0)*VLOOKUP('Données projet'!$B$14,Paramètres!$A$1:$I$89,5,0)</f>
        <v>9.8628867213711136</v>
      </c>
      <c r="DQ20" s="13">
        <f t="shared" si="43"/>
        <v>3.4822026296536168</v>
      </c>
      <c r="DR20" s="20">
        <f t="shared" si="16"/>
        <v>23.24269728636807</v>
      </c>
      <c r="DS20" s="59">
        <f t="shared" si="17"/>
        <v>232.60882160224079</v>
      </c>
      <c r="DT20" s="59">
        <f ca="1">AVERAGE(OFFSET($DS$3,0,0,'Données projet'!$E$14+1,1))-AVERAGE(OFFSET($H$3,0,0,'Données projet'!$E$14+1,1))</f>
        <v>325.93182817189722</v>
      </c>
      <c r="DU20" s="59">
        <f t="shared" si="44"/>
        <v>280.04509991782709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4.75</v>
      </c>
      <c r="EJ20" s="12">
        <f>IF('Données projet'!$A$192&gt;35,EJ19+EI20-ER19,IF(A20&lt;'Données projet'!$A$192,$EG$205^A20,IF(A20='Données projet'!$A$192,'Données projet'!$B$192,EJ19+EI20-ER19)))</f>
        <v>47.980532602494719</v>
      </c>
      <c r="EK20" s="17">
        <f>EJ20*VLOOKUP('Données projet'!$B$15,Paramètres!$A$1:$I$89,3,0)*VLOOKUP('Données projet'!$B$15,Paramètres!$A$1:$I$89,5,0)</f>
        <v>38.173311738544804</v>
      </c>
      <c r="EL20" s="13">
        <f t="shared" si="45"/>
        <v>11.513173743035207</v>
      </c>
      <c r="EM20" s="20">
        <f t="shared" si="19"/>
        <v>86.537295547085179</v>
      </c>
      <c r="EN20" s="59">
        <f t="shared" si="20"/>
        <v>295.90341986295789</v>
      </c>
      <c r="EO20" s="59">
        <f ca="1">AVERAGE(OFFSET($EN$3,0,0,'Données projet'!$E$15+1,1))-AVERAGE(OFFSET($H$3,0,0,'Données projet'!$E$15+1,1))</f>
        <v>333.52903437536651</v>
      </c>
      <c r="EP20" s="59">
        <f t="shared" si="46"/>
        <v>359.47288701414777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13.468131868131868</v>
      </c>
      <c r="FE20" s="12">
        <f>IF('Données projet'!$A$218&gt;35,FE19+FD20-FM19,IF(A20&lt;'Données projet'!$A$218,$FB$205^A20,IF(A20='Données projet'!$A$218,'Données projet'!$B$218,FE19+FD20-FM19)))</f>
        <v>62.643956043956045</v>
      </c>
      <c r="FF20" s="17">
        <f>FE20*VLOOKUP('Données projet'!$B$16,Paramètres!$A$1:$I$89,3,0)*VLOOKUP('Données projet'!$B$16,Paramètres!$A$1:$I$89,5,0)</f>
        <v>37.461085714285716</v>
      </c>
      <c r="FG20" s="13">
        <f t="shared" si="47"/>
        <v>11.323160704188275</v>
      </c>
      <c r="FH20" s="20">
        <f t="shared" si="22"/>
        <v>84.965895845508868</v>
      </c>
      <c r="FI20" s="59">
        <f t="shared" si="23"/>
        <v>294.33202016138159</v>
      </c>
      <c r="FJ20" s="59">
        <f ca="1">AVERAGE(OFFSET($FI$3,0,0,'Données projet'!$E$16+1,1))-AVERAGE(OFFSET($H$3,0,0,'Données projet'!$E$16+1,1))</f>
        <v>313.26988717307376</v>
      </c>
      <c r="FK20" s="59">
        <f t="shared" si="48"/>
        <v>248.17359813993201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1.05</v>
      </c>
      <c r="FZ20" s="12">
        <f>IF('Données projet'!$A$244&gt;35,FZ19+FY20-GH19,IF(A20&lt;'Données projet'!$A$244,$FW$205^A20,IF(A20='Données projet'!$A$244,'Données projet'!$B$244,FZ19+FY20-GH19)))</f>
        <v>13.301064532535134</v>
      </c>
      <c r="GA20" s="17">
        <f>FZ20*VLOOKUP('Données projet'!$B$17,Paramètres!$A$1:$I$89,3,0)*VLOOKUP('Données projet'!$B$17,Paramètres!$A$1:$I$89,5,0)</f>
        <v>14.317265862820818</v>
      </c>
      <c r="GB20" s="13">
        <f t="shared" si="49"/>
        <v>4.8402750366406995</v>
      </c>
      <c r="GC20" s="20">
        <f t="shared" si="25"/>
        <v>33.366050399895471</v>
      </c>
      <c r="GD20" s="59">
        <f t="shared" si="26"/>
        <v>242.7321747157682</v>
      </c>
      <c r="GE20" s="59">
        <f ca="1">AVERAGE(OFFSET($GD$3,0,0,'Données projet'!$E$17+1,1))-AVERAGE(OFFSET($H$3,0,0,'Données projet'!$E$17+1,1))</f>
        <v>313.51355235711543</v>
      </c>
      <c r="GF20" s="59">
        <f t="shared" si="50"/>
        <v>186.0840067781198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2.85</v>
      </c>
      <c r="N21" s="13">
        <f>IF('Données projet'!$A$36&gt;35,N20+M21-V20,IF(A21&lt;'Données projet'!$A$36,$K$205^A21,IF(A21='Données projet'!$A$36,'Données projet'!$B$36,N20+M21-V20)))</f>
        <v>38.044104865803838</v>
      </c>
      <c r="O21" s="13">
        <f>N21*VLOOKUP('Données projet'!$B$9,Paramètres!$A$1:$I$89,3,0)*VLOOKUP('Données projet'!$B$9,Paramètres!$A$1:$I$89,5,0)</f>
        <v>38.576722333925098</v>
      </c>
      <c r="P21" s="13">
        <f t="shared" si="33"/>
        <v>11.620615246672676</v>
      </c>
      <c r="Q21" s="20">
        <f t="shared" si="2"/>
        <v>87.427029619541131</v>
      </c>
      <c r="R21" s="59">
        <f t="shared" si="0"/>
        <v>299.19638281154425</v>
      </c>
      <c r="S21" s="59">
        <f ca="1">AVERAGE(OFFSET($R$3,0,0,'Données projet'!$E$9+1,1))-AVERAGE(OFFSET($H$3,0,0,'Données projet'!$E$9+1,1))</f>
        <v>452.67426184967104</v>
      </c>
      <c r="T21" s="59">
        <f t="shared" si="34"/>
        <v>310.47823616327639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5.7692307692307683</v>
      </c>
      <c r="AI21" s="13">
        <f>IF('Données projet'!$A$62&gt;35,AI20+AH21-AQ20,IF(A21&lt;'Données projet'!$A$62,$AF$205^A21,IF(A21='Données projet'!$A$62,'Données projet'!$B$62,AI20+AH21-AQ20)))</f>
        <v>43.589743589743584</v>
      </c>
      <c r="AJ21" s="13">
        <f>AI21*VLOOKUP('Données projet'!$B$10,Paramètres!$A$1:$I$89,3,0)*VLOOKUP('Données projet'!$B$10,Paramètres!$A$1:$I$89,5,0)</f>
        <v>45.56</v>
      </c>
      <c r="AK21" s="13">
        <f t="shared" si="35"/>
        <v>13.460978661457077</v>
      </c>
      <c r="AL21" s="20">
        <f t="shared" si="4"/>
        <v>102.7948711687044</v>
      </c>
      <c r="AM21" s="59">
        <f t="shared" si="5"/>
        <v>314.5642243607075</v>
      </c>
      <c r="AN21" s="59">
        <f ca="1">AVERAGE(OFFSET($AM$3,0,0,'Données projet'!$E$10+1,1))-AVERAGE(OFFSET($H$3,0,0,'Données projet'!$E$10+1,1))</f>
        <v>528.45201982036087</v>
      </c>
      <c r="AO21" s="59">
        <f t="shared" si="36"/>
        <v>321.23004033257985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1.05</v>
      </c>
      <c r="BD21" s="12">
        <f>IF('Données projet'!$A$88&gt;35,BD20+BC21-BL20,IF(A21&lt;'Données projet'!$A$88,$BA$205^A21,IF(A21='Données projet'!$A$88,'Données projet'!$B$88,BD20+BC21-BL20)))</f>
        <v>15.48807222716875</v>
      </c>
      <c r="BE21" s="13">
        <f>BD21*VLOOKUP('Données projet'!$B$11,Paramètres!$A$1:$I$89,3,0)*VLOOKUP('Données projet'!$B$11,Paramètres!$A$1:$I$89,5,0)</f>
        <v>14.980063458117616</v>
      </c>
      <c r="BF21" s="13">
        <f t="shared" si="37"/>
        <v>5.0377420781222293</v>
      </c>
      <c r="BG21" s="20">
        <f t="shared" si="7"/>
        <v>34.864344642284394</v>
      </c>
      <c r="BH21" s="59">
        <f t="shared" si="8"/>
        <v>246.63369783428749</v>
      </c>
      <c r="BI21" s="59">
        <f ca="1">AVERAGE(OFFSET($BH$3,0,0,'Données projet'!$E$11+1,1))-AVERAGE(OFFSET($H$3,0,0,'Données projet'!$E$11+1,1))</f>
        <v>289.06522051625166</v>
      </c>
      <c r="BJ21" s="59">
        <f t="shared" si="38"/>
        <v>173.19148969173838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3.45</v>
      </c>
      <c r="BY21" s="12">
        <f>IF('Données projet'!$A$114&gt;35,BY20+BX21-CG20,IF(A21&lt;'Données projet'!$A$114,$BV$205^A21,IF(A21='Données projet'!$A$114,'Données projet'!$B$114,BY20+BX21-CG20)))</f>
        <v>45.181867919765558</v>
      </c>
      <c r="BZ21" s="13">
        <f>BY21*VLOOKUP('Données projet'!$B$12,Paramètres!$A$1:$I$89,3,0)*VLOOKUP('Données projet'!$B$12,Paramètres!$A$1:$I$89,5,0)</f>
        <v>36.65153125651382</v>
      </c>
      <c r="CA21" s="13">
        <f t="shared" si="39"/>
        <v>11.106669922602888</v>
      </c>
      <c r="CB21" s="20">
        <f t="shared" si="10"/>
        <v>83.178867053628267</v>
      </c>
      <c r="CC21" s="59">
        <f t="shared" si="11"/>
        <v>294.94822024563138</v>
      </c>
      <c r="CD21" s="59">
        <f ca="1">AVERAGE(OFFSET($CC$3,0,0,'Données projet'!$E$12+1,1))-AVERAGE(OFFSET($H$3,0,0,'Données projet'!$E$12+1,1))</f>
        <v>306.06916761900357</v>
      </c>
      <c r="CE21" s="59">
        <f t="shared" si="40"/>
        <v>258.90832875500337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2.85</v>
      </c>
      <c r="CT21" s="12">
        <f>IF('Données projet'!$A$140&gt;35,CT20+CS21-DB20,IF(A21&lt;'Données projet'!$A$140,$CQ$205^A21,IF(A21='Données projet'!$A$140,'Données projet'!$B$140,CT20+CS21-DB20)))</f>
        <v>38.044104865803838</v>
      </c>
      <c r="CU21" s="17">
        <f>CT21*VLOOKUP('Données projet'!$B$13,Paramètres!$A$1:$I$89,3,0)*VLOOKUP('Données projet'!$B$13,Paramètres!$A$1:$I$89,5,0)</f>
        <v>25.519985543981218</v>
      </c>
      <c r="CV21" s="13">
        <f t="shared" si="41"/>
        <v>8.066248689389381</v>
      </c>
      <c r="CW21" s="20">
        <f t="shared" si="13"/>
        <v>58.496024623120455</v>
      </c>
      <c r="CX21" s="59">
        <f t="shared" si="14"/>
        <v>270.26537781512354</v>
      </c>
      <c r="CY21" s="59">
        <f ca="1">AVERAGE(OFFSET($CX$3,0,0,'Données projet'!$E$13+1,1))-AVERAGE(OFFSET($H$3,0,0,'Données projet'!$E$13+1,1))</f>
        <v>324.58754156328285</v>
      </c>
      <c r="CZ21" s="59">
        <f t="shared" si="42"/>
        <v>226.01037731977604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7.2264102564102561</v>
      </c>
      <c r="DO21" s="12">
        <f>IF('Données projet'!$A$166&gt;35,DO20+DN21-DW20,IF(A21&lt;'Données projet'!$A$166,$DL$205^A21,IF(A21='Données projet'!$A$166,'Données projet'!$B$166,DO20+DN21-DW20)))</f>
        <v>25.213104335913162</v>
      </c>
      <c r="DP21" s="17">
        <f>DO21*VLOOKUP('Données projet'!$B$14,Paramètres!$A$1:$I$89,3,0)*VLOOKUP('Données projet'!$B$14,Paramètres!$A$1:$I$89,5,0)</f>
        <v>11.799732829207361</v>
      </c>
      <c r="DQ21" s="13">
        <f t="shared" si="43"/>
        <v>4.079982665155371</v>
      </c>
      <c r="DR21" s="20">
        <f t="shared" si="16"/>
        <v>27.657171152681755</v>
      </c>
      <c r="DS21" s="59">
        <f t="shared" si="17"/>
        <v>239.42652434468488</v>
      </c>
      <c r="DT21" s="59">
        <f ca="1">AVERAGE(OFFSET($DS$3,0,0,'Données projet'!$E$14+1,1))-AVERAGE(OFFSET($H$3,0,0,'Données projet'!$E$14+1,1))</f>
        <v>325.93182817189722</v>
      </c>
      <c r="DU21" s="59">
        <f t="shared" si="44"/>
        <v>280.04509991782709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4.75</v>
      </c>
      <c r="EJ21" s="12">
        <f>IF('Données projet'!$A$192&gt;35,EJ20+EI21-ER20,IF(A21&lt;'Données projet'!$A$192,$EG$205^A21,IF(A21='Données projet'!$A$192,'Données projet'!$B$192,EJ20+EI21-ER20)))</f>
        <v>60.249194467085609</v>
      </c>
      <c r="EK21" s="17">
        <f>EJ21*VLOOKUP('Données projet'!$B$15,Paramètres!$A$1:$I$89,3,0)*VLOOKUP('Données projet'!$B$15,Paramètres!$A$1:$I$89,5,0)</f>
        <v>47.934259118013308</v>
      </c>
      <c r="EL21" s="13">
        <f t="shared" si="45"/>
        <v>14.078970127192205</v>
      </c>
      <c r="EM21" s="20">
        <f t="shared" si="19"/>
        <v>108.00637426873294</v>
      </c>
      <c r="EN21" s="59">
        <f t="shared" si="20"/>
        <v>319.77572746073605</v>
      </c>
      <c r="EO21" s="59">
        <f ca="1">AVERAGE(OFFSET($EN$3,0,0,'Données projet'!$E$15+1,1))-AVERAGE(OFFSET($H$3,0,0,'Données projet'!$E$15+1,1))</f>
        <v>333.52903437536651</v>
      </c>
      <c r="EP21" s="59">
        <f t="shared" si="46"/>
        <v>359.47288701414777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13.468131868131868</v>
      </c>
      <c r="FE21" s="12">
        <f>IF('Données projet'!$A$218&gt;35,FE20+FD21-FM20,IF(A21&lt;'Données projet'!$A$218,$FB$205^A21,IF(A21='Données projet'!$A$218,'Données projet'!$B$218,FE20+FD21-FM20)))</f>
        <v>76.112087912087915</v>
      </c>
      <c r="FF21" s="17">
        <f>FE21*VLOOKUP('Données projet'!$B$16,Paramètres!$A$1:$I$89,3,0)*VLOOKUP('Données projet'!$B$16,Paramètres!$A$1:$I$89,5,0)</f>
        <v>45.515028571428573</v>
      </c>
      <c r="FG21" s="13">
        <f t="shared" si="47"/>
        <v>13.449237521387609</v>
      </c>
      <c r="FH21" s="20">
        <f t="shared" si="22"/>
        <v>102.69609677832152</v>
      </c>
      <c r="FI21" s="59">
        <f t="shared" si="23"/>
        <v>314.46544997032464</v>
      </c>
      <c r="FJ21" s="59">
        <f ca="1">AVERAGE(OFFSET($FI$3,0,0,'Données projet'!$E$16+1,1))-AVERAGE(OFFSET($H$3,0,0,'Données projet'!$E$16+1,1))</f>
        <v>313.26988717307376</v>
      </c>
      <c r="FK21" s="59">
        <f t="shared" si="48"/>
        <v>248.17359813993201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1.05</v>
      </c>
      <c r="FZ21" s="12">
        <f>IF('Données projet'!$A$244&gt;35,FZ20+FY21-GH20,IF(A21&lt;'Données projet'!$A$244,$FW$205^A21,IF(A21='Données projet'!$A$244,'Données projet'!$B$244,FZ20+FY21-GH20)))</f>
        <v>15.48807222716875</v>
      </c>
      <c r="GA21" s="17">
        <f>FZ21*VLOOKUP('Données projet'!$B$17,Paramètres!$A$1:$I$89,3,0)*VLOOKUP('Données projet'!$B$17,Paramètres!$A$1:$I$89,5,0)</f>
        <v>16.671360945324444</v>
      </c>
      <c r="GB21" s="13">
        <f t="shared" si="49"/>
        <v>5.5371423488198674</v>
      </c>
      <c r="GC21" s="20">
        <f t="shared" si="25"/>
        <v>38.679809903968007</v>
      </c>
      <c r="GD21" s="59">
        <f t="shared" si="26"/>
        <v>250.44916309597113</v>
      </c>
      <c r="GE21" s="59">
        <f ca="1">AVERAGE(OFFSET($GD$3,0,0,'Données projet'!$E$17+1,1))-AVERAGE(OFFSET($H$3,0,0,'Données projet'!$E$17+1,1))</f>
        <v>313.51355235711543</v>
      </c>
      <c r="GF21" s="59">
        <f t="shared" si="50"/>
        <v>186.0840067781198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2.85</v>
      </c>
      <c r="N22" s="13">
        <f>IF('Données projet'!$A$36&gt;35,N21+M22-V21,IF(A22&lt;'Données projet'!$A$36,$K$205^A22,IF(A22='Données projet'!$A$36,'Données projet'!$B$36,N21+M22-V21)))</f>
        <v>46.567305884609858</v>
      </c>
      <c r="O22" s="13">
        <f>N22*VLOOKUP('Données projet'!$B$9,Paramètres!$A$1:$I$89,3,0)*VLOOKUP('Données projet'!$B$9,Paramètres!$A$1:$I$89,5,0)</f>
        <v>47.219248166994397</v>
      </c>
      <c r="P22" s="13">
        <f t="shared" si="33"/>
        <v>13.893244325644975</v>
      </c>
      <c r="Q22" s="20">
        <f t="shared" si="2"/>
        <v>106.4375910913469</v>
      </c>
      <c r="R22" s="59">
        <f t="shared" si="0"/>
        <v>320.58968533437042</v>
      </c>
      <c r="S22" s="59">
        <f ca="1">AVERAGE(OFFSET($R$3,0,0,'Données projet'!$E$9+1,1))-AVERAGE(OFFSET($H$3,0,0,'Données projet'!$E$9+1,1))</f>
        <v>452.67426184967104</v>
      </c>
      <c r="T22" s="59">
        <f t="shared" si="34"/>
        <v>310.47823616327639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5.7692307692307683</v>
      </c>
      <c r="AI22" s="13">
        <f>IF('Données projet'!$A$62&gt;35,AI21+AH22-AQ21,IF(A22&lt;'Données projet'!$A$62,$AF$205^A22,IF(A22='Données projet'!$A$62,'Données projet'!$B$62,AI21+AH22-AQ21)))</f>
        <v>49.358974358974351</v>
      </c>
      <c r="AJ22" s="13">
        <f>AI22*VLOOKUP('Données projet'!$B$10,Paramètres!$A$1:$I$89,3,0)*VLOOKUP('Données projet'!$B$10,Paramètres!$A$1:$I$89,5,0)</f>
        <v>51.589999999999996</v>
      </c>
      <c r="AK22" s="13">
        <f t="shared" si="35"/>
        <v>15.023632974755502</v>
      </c>
      <c r="AL22" s="20">
        <f t="shared" si="4"/>
        <v>116.01874409769916</v>
      </c>
      <c r="AM22" s="59">
        <f t="shared" si="5"/>
        <v>330.1708383407227</v>
      </c>
      <c r="AN22" s="59">
        <f ca="1">AVERAGE(OFFSET($AM$3,0,0,'Données projet'!$E$10+1,1))-AVERAGE(OFFSET($H$3,0,0,'Données projet'!$E$10+1,1))</f>
        <v>528.45201982036087</v>
      </c>
      <c r="AO22" s="59">
        <f t="shared" si="36"/>
        <v>321.23004033257985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1.05</v>
      </c>
      <c r="BD22" s="12">
        <f>IF('Données projet'!$A$88&gt;35,BD21+BC22-BL21,IF(A22&lt;'Données projet'!$A$88,$BA$205^A22,IF(A22='Données projet'!$A$88,'Données projet'!$B$88,BD21+BC22-BL21)))</f>
        <v>18.034675399644545</v>
      </c>
      <c r="BE22" s="13">
        <f>BD22*VLOOKUP('Données projet'!$B$11,Paramètres!$A$1:$I$89,3,0)*VLOOKUP('Données projet'!$B$11,Paramètres!$A$1:$I$89,5,0)</f>
        <v>17.443138046536202</v>
      </c>
      <c r="BF22" s="13">
        <f t="shared" si="37"/>
        <v>5.7630392471586012</v>
      </c>
      <c r="BG22" s="20">
        <f t="shared" si="7"/>
        <v>40.417425453185118</v>
      </c>
      <c r="BH22" s="59">
        <f t="shared" si="8"/>
        <v>254.56951969620866</v>
      </c>
      <c r="BI22" s="59">
        <f ca="1">AVERAGE(OFFSET($BH$3,0,0,'Données projet'!$E$11+1,1))-AVERAGE(OFFSET($H$3,0,0,'Données projet'!$E$11+1,1))</f>
        <v>289.06522051625166</v>
      </c>
      <c r="BJ22" s="59">
        <f t="shared" si="38"/>
        <v>173.19148969173838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3.45</v>
      </c>
      <c r="BY22" s="12">
        <f>IF('Données projet'!$A$114&gt;35,BY21+BX22-CG21,IF(A22&lt;'Données projet'!$A$114,$BV$205^A22,IF(A22='Données projet'!$A$114,'Données projet'!$B$114,BY21+BX22-CG21)))</f>
        <v>55.835014878334412</v>
      </c>
      <c r="BZ22" s="13">
        <f>BY22*VLOOKUP('Données projet'!$B$12,Paramètres!$A$1:$I$89,3,0)*VLOOKUP('Données projet'!$B$12,Paramètres!$A$1:$I$89,5,0)</f>
        <v>45.293364069304879</v>
      </c>
      <c r="CA22" s="13">
        <f t="shared" si="39"/>
        <v>13.391345594589314</v>
      </c>
      <c r="CB22" s="20">
        <f t="shared" si="10"/>
        <v>102.20920266461572</v>
      </c>
      <c r="CC22" s="59">
        <f t="shared" si="11"/>
        <v>316.36129690763926</v>
      </c>
      <c r="CD22" s="59">
        <f ca="1">AVERAGE(OFFSET($CC$3,0,0,'Données projet'!$E$12+1,1))-AVERAGE(OFFSET($H$3,0,0,'Données projet'!$E$12+1,1))</f>
        <v>306.06916761900357</v>
      </c>
      <c r="CE22" s="59">
        <f t="shared" si="40"/>
        <v>258.90832875500337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2.85</v>
      </c>
      <c r="CT22" s="12">
        <f>IF('Données projet'!$A$140&gt;35,CT21+CS22-DB21,IF(A22&lt;'Données projet'!$A$140,$CQ$205^A22,IF(A22='Données projet'!$A$140,'Données projet'!$B$140,CT21+CS22-DB21)))</f>
        <v>46.567305884609858</v>
      </c>
      <c r="CU22" s="17">
        <f>CT22*VLOOKUP('Données projet'!$B$13,Paramètres!$A$1:$I$89,3,0)*VLOOKUP('Données projet'!$B$13,Paramètres!$A$1:$I$89,5,0)</f>
        <v>31.237348787396293</v>
      </c>
      <c r="CV22" s="13">
        <f t="shared" si="41"/>
        <v>9.6437547801256205</v>
      </c>
      <c r="CW22" s="20">
        <f t="shared" si="13"/>
        <v>71.201255380100662</v>
      </c>
      <c r="CX22" s="59">
        <f t="shared" si="14"/>
        <v>285.35334962312419</v>
      </c>
      <c r="CY22" s="59">
        <f ca="1">AVERAGE(OFFSET($CX$3,0,0,'Données projet'!$E$13+1,1))-AVERAGE(OFFSET($H$3,0,0,'Données projet'!$E$13+1,1))</f>
        <v>324.58754156328285</v>
      </c>
      <c r="CZ22" s="59">
        <f t="shared" si="42"/>
        <v>226.01037731977604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7.2264102564102561</v>
      </c>
      <c r="DO22" s="12">
        <f>IF('Données projet'!$A$166&gt;35,DO21+DN22-DW21,IF(A22&lt;'Données projet'!$A$166,$DL$205^A22,IF(A22='Données projet'!$A$166,'Données projet'!$B$166,DO21+DN22-DW21)))</f>
        <v>30.164383244315122</v>
      </c>
      <c r="DP22" s="17">
        <f>DO22*VLOOKUP('Données projet'!$B$14,Paramètres!$A$1:$I$89,3,0)*VLOOKUP('Données projet'!$B$14,Paramètres!$A$1:$I$89,5,0)</f>
        <v>14.116931358339476</v>
      </c>
      <c r="DQ22" s="13">
        <f t="shared" si="43"/>
        <v>4.7803819359082427</v>
      </c>
      <c r="DR22" s="20">
        <f t="shared" si="16"/>
        <v>32.912820654148106</v>
      </c>
      <c r="DS22" s="59">
        <f t="shared" si="17"/>
        <v>247.06491489717163</v>
      </c>
      <c r="DT22" s="59">
        <f ca="1">AVERAGE(OFFSET($DS$3,0,0,'Données projet'!$E$14+1,1))-AVERAGE(OFFSET($H$3,0,0,'Données projet'!$E$14+1,1))</f>
        <v>325.93182817189722</v>
      </c>
      <c r="DU22" s="59">
        <f t="shared" si="44"/>
        <v>280.04509991782709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4.75</v>
      </c>
      <c r="EJ22" s="12">
        <f>IF('Données projet'!$A$192&gt;35,EJ21+EI22-ER21,IF(A22&lt;'Données projet'!$A$192,$EG$205^A22,IF(A22='Données projet'!$A$192,'Données projet'!$B$192,EJ21+EI22-ER21)))</f>
        <v>75.65496331618381</v>
      </c>
      <c r="EK22" s="17">
        <f>EJ22*VLOOKUP('Données projet'!$B$15,Paramètres!$A$1:$I$89,3,0)*VLOOKUP('Données projet'!$B$15,Paramètres!$A$1:$I$89,5,0)</f>
        <v>60.191088814355844</v>
      </c>
      <c r="EL22" s="13">
        <f t="shared" si="45"/>
        <v>17.216573315614252</v>
      </c>
      <c r="EM22" s="20">
        <f t="shared" si="19"/>
        <v>134.81834487636456</v>
      </c>
      <c r="EN22" s="59">
        <f t="shared" si="20"/>
        <v>348.97043911938806</v>
      </c>
      <c r="EO22" s="59">
        <f ca="1">AVERAGE(OFFSET($EN$3,0,0,'Données projet'!$E$15+1,1))-AVERAGE(OFFSET($H$3,0,0,'Données projet'!$E$15+1,1))</f>
        <v>333.52903437536651</v>
      </c>
      <c r="EP22" s="59">
        <f t="shared" si="46"/>
        <v>359.47288701414777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13.468131868131868</v>
      </c>
      <c r="FE22" s="12">
        <f>IF('Données projet'!$A$218&gt;35,FE21+FD22-FM21,IF(A22&lt;'Données projet'!$A$218,$FB$205^A22,IF(A22='Données projet'!$A$218,'Données projet'!$B$218,FE21+FD22-FM21)))</f>
        <v>89.580219780219778</v>
      </c>
      <c r="FF22" s="17">
        <f>FE22*VLOOKUP('Données projet'!$B$16,Paramètres!$A$1:$I$89,3,0)*VLOOKUP('Données projet'!$B$16,Paramètres!$A$1:$I$89,5,0)</f>
        <v>53.56897142857143</v>
      </c>
      <c r="FG22" s="13">
        <f t="shared" si="47"/>
        <v>15.531731116329365</v>
      </c>
      <c r="FH22" s="20">
        <f t="shared" si="22"/>
        <v>120.35039026570223</v>
      </c>
      <c r="FI22" s="59">
        <f t="shared" si="23"/>
        <v>334.50248450872573</v>
      </c>
      <c r="FJ22" s="59">
        <f ca="1">AVERAGE(OFFSET($FI$3,0,0,'Données projet'!$E$16+1,1))-AVERAGE(OFFSET($H$3,0,0,'Données projet'!$E$16+1,1))</f>
        <v>313.26988717307376</v>
      </c>
      <c r="FK22" s="59">
        <f t="shared" si="48"/>
        <v>248.17359813993201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1.05</v>
      </c>
      <c r="FZ22" s="12">
        <f>IF('Données projet'!$A$244&gt;35,FZ21+FY22-GH21,IF(A22&lt;'Données projet'!$A$244,$FW$205^A22,IF(A22='Données projet'!$A$244,'Données projet'!$B$244,FZ21+FY22-GH21)))</f>
        <v>18.034675399644545</v>
      </c>
      <c r="GA22" s="17">
        <f>FZ22*VLOOKUP('Données projet'!$B$17,Paramètres!$A$1:$I$89,3,0)*VLOOKUP('Données projet'!$B$17,Paramètres!$A$1:$I$89,5,0)</f>
        <v>19.412524600177388</v>
      </c>
      <c r="GB22" s="13">
        <f t="shared" si="49"/>
        <v>6.3343395073626514</v>
      </c>
      <c r="GC22" s="20">
        <f t="shared" si="25"/>
        <v>44.842454987298908</v>
      </c>
      <c r="GD22" s="59">
        <f t="shared" si="26"/>
        <v>258.99454923032243</v>
      </c>
      <c r="GE22" s="59">
        <f ca="1">AVERAGE(OFFSET($GD$3,0,0,'Données projet'!$E$17+1,1))-AVERAGE(OFFSET($H$3,0,0,'Données projet'!$E$17+1,1))</f>
        <v>313.51355235711543</v>
      </c>
      <c r="GF22" s="59">
        <f t="shared" si="50"/>
        <v>186.0840067781198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57</v>
      </c>
      <c r="L23" s="12">
        <f>VLOOKUP(A23,'Données projet'!$A$35:$I$55,9,0)</f>
        <v>2.85</v>
      </c>
      <c r="M23" s="12">
        <f t="array" ref="M23">INDEX(L:L,MIN(IF(ISNUMBER(L23:L219),ROW(L23:L219),"")))</f>
        <v>2.85</v>
      </c>
      <c r="N23" s="13">
        <f>IF('Données projet'!$A$36&gt;35,N22+M23-V22,IF(A23&lt;'Données projet'!$A$36,$K$205^A23,IF(A23='Données projet'!$A$36,'Données projet'!$B$36,N22+M23-V22)))</f>
        <v>57</v>
      </c>
      <c r="O23" s="13">
        <f>N23*VLOOKUP('Données projet'!$B$9,Paramètres!$A$1:$I$89,3,0)*VLOOKUP('Données projet'!$B$9,Paramètres!$A$1:$I$89,5,0)</f>
        <v>57.798000000000009</v>
      </c>
      <c r="P23" s="13">
        <f t="shared" si="33"/>
        <v>16.610328609522991</v>
      </c>
      <c r="Q23" s="20">
        <f t="shared" si="2"/>
        <v>129.59450566158588</v>
      </c>
      <c r="R23" s="59">
        <f t="shared" si="0"/>
        <v>346.1092085484816</v>
      </c>
      <c r="S23" s="59">
        <f ca="1">AVERAGE(OFFSET($R$3,0,0,'Données projet'!$E$9+1,1))-AVERAGE(OFFSET($H$3,0,0,'Données projet'!$E$9+1,1))</f>
        <v>452.67426184967104</v>
      </c>
      <c r="T23" s="59">
        <f t="shared" si="34"/>
        <v>310.47823616327639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11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55.128205128205124</v>
      </c>
      <c r="AG23" s="12">
        <f>VLOOKUP(A23,'Données projet'!$A$61:$I$81,9,0)</f>
        <v>5.7692307692307683</v>
      </c>
      <c r="AH23" s="12">
        <f t="array" ref="AH23">INDEX(AG:AG,MIN(IF(ISNUMBER(AG23:AG219),ROW(AG23:AG219),"")))</f>
        <v>5.7692307692307683</v>
      </c>
      <c r="AI23" s="13">
        <f>IF('Données projet'!$A$62&gt;35,AI22+AH23-AQ22,IF(A23&lt;'Données projet'!$A$62,$AF$205^A23,IF(A23='Données projet'!$A$62,'Données projet'!$B$62,AI22+AH23-AQ22)))</f>
        <v>55.128205128205117</v>
      </c>
      <c r="AJ23" s="13">
        <f>AI23*VLOOKUP('Données projet'!$B$10,Paramètres!$A$1:$I$89,3,0)*VLOOKUP('Données projet'!$B$10,Paramètres!$A$1:$I$89,5,0)</f>
        <v>57.62</v>
      </c>
      <c r="AK23" s="13">
        <f t="shared" si="35"/>
        <v>16.565120218812034</v>
      </c>
      <c r="AL23" s="20">
        <f t="shared" si="4"/>
        <v>129.20575104776427</v>
      </c>
      <c r="AM23" s="59">
        <f t="shared" si="5"/>
        <v>345.72045393465999</v>
      </c>
      <c r="AN23" s="59">
        <f ca="1">AVERAGE(OFFSET($AM$3,0,0,'Données projet'!$E$10+1,1))-AVERAGE(OFFSET($H$3,0,0,'Données projet'!$E$10+1,1))</f>
        <v>528.45201982036087</v>
      </c>
      <c r="AO23" s="59">
        <f t="shared" si="36"/>
        <v>321.23004033257985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6.4102564102564097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3.1608151639280497</v>
      </c>
      <c r="AX23" s="21">
        <f t="shared" si="6"/>
        <v>3.1608151639280497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21</v>
      </c>
      <c r="BB23" s="12">
        <f>VLOOKUP(A23,'Données projet'!$A$87:$I$107,9,0)</f>
        <v>1.05</v>
      </c>
      <c r="BC23" s="12">
        <f t="array" ref="BC23">INDEX(BB:BB,MIN(IF(ISNUMBER(BB23:BB219),ROW(BB23:BB219),"")))</f>
        <v>1.05</v>
      </c>
      <c r="BD23" s="12">
        <f>IF('Données projet'!$A$88&gt;35,BD22+BC23-BL22,IF(A23&lt;'Données projet'!$A$88,$BA$205^A23,IF(A23='Données projet'!$A$88,'Données projet'!$B$88,BD22+BC23-BL22)))</f>
        <v>21</v>
      </c>
      <c r="BE23" s="13">
        <f>BD23*VLOOKUP('Données projet'!$B$11,Paramètres!$A$1:$I$89,3,0)*VLOOKUP('Données projet'!$B$11,Paramètres!$A$1:$I$89,5,0)</f>
        <v>20.311199999999999</v>
      </c>
      <c r="BF23" s="13">
        <f t="shared" si="37"/>
        <v>6.5927593849088089</v>
      </c>
      <c r="BG23" s="20">
        <f t="shared" si="7"/>
        <v>46.85772926204951</v>
      </c>
      <c r="BH23" s="59">
        <f t="shared" si="8"/>
        <v>263.37243214894522</v>
      </c>
      <c r="BI23" s="59">
        <f ca="1">AVERAGE(OFFSET($BH$3,0,0,'Données projet'!$E$11+1,1))-AVERAGE(OFFSET($H$3,0,0,'Données projet'!$E$11+1,1))</f>
        <v>289.06522051625166</v>
      </c>
      <c r="BJ23" s="59">
        <f t="shared" si="38"/>
        <v>173.19148969173838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69</v>
      </c>
      <c r="BW23" s="12">
        <f>VLOOKUP(A23,'Données projet'!$A$113:$I$133,9,0)</f>
        <v>3.45</v>
      </c>
      <c r="BX23" s="12">
        <f t="array" ref="BX23">INDEX(BW:BW,MIN(IF(ISNUMBER(BW23:BW219),ROW(BW23:BW219),"")))</f>
        <v>3.45</v>
      </c>
      <c r="BY23" s="12">
        <f>IF('Données projet'!$A$114&gt;35,BY22+BX23-CG22,IF(A23&lt;'Données projet'!$A$114,$BV$205^A23,IF(A23='Données projet'!$A$114,'Données projet'!$B$114,BY22+BX23-CG22)))</f>
        <v>69</v>
      </c>
      <c r="BZ23" s="13">
        <f>BY23*VLOOKUP('Données projet'!$B$12,Paramètres!$A$1:$I$89,3,0)*VLOOKUP('Données projet'!$B$12,Paramètres!$A$1:$I$89,5,0)</f>
        <v>55.972800000000007</v>
      </c>
      <c r="CA23" s="13">
        <f t="shared" si="39"/>
        <v>16.145985978099571</v>
      </c>
      <c r="CB23" s="20">
        <f t="shared" si="10"/>
        <v>125.60688557852342</v>
      </c>
      <c r="CC23" s="59">
        <f t="shared" si="11"/>
        <v>342.12158846541911</v>
      </c>
      <c r="CD23" s="59">
        <f ca="1">AVERAGE(OFFSET($CC$3,0,0,'Données projet'!$E$12+1,1))-AVERAGE(OFFSET($H$3,0,0,'Données projet'!$E$12+1,1))</f>
        <v>306.06916761900357</v>
      </c>
      <c r="CE23" s="59">
        <f t="shared" si="40"/>
        <v>258.90832875500337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15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5.7404177484591825</v>
      </c>
      <c r="CN23" s="22">
        <f t="shared" si="12"/>
        <v>5.7404177484591825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57</v>
      </c>
      <c r="CR23" s="12">
        <f>VLOOKUP(A23,'Données projet'!$A$139:$I$159,9,0)</f>
        <v>2.85</v>
      </c>
      <c r="CS23" s="12">
        <f t="array" ref="CS23">INDEX(CR:CR,MIN(IF(ISNUMBER(CR23:CR219),ROW(CR23:CR219),"")))</f>
        <v>2.85</v>
      </c>
      <c r="CT23" s="12">
        <f>IF('Données projet'!$A$140&gt;35,CT22+CS23-DB22,IF(A23&lt;'Données projet'!$A$140,$CQ$205^A23,IF(A23='Données projet'!$A$140,'Données projet'!$B$140,CT22+CS23-DB22)))</f>
        <v>57</v>
      </c>
      <c r="CU23" s="17">
        <f>CT23*VLOOKUP('Données projet'!$B$13,Paramètres!$A$1:$I$89,3,0)*VLOOKUP('Données projet'!$B$13,Paramètres!$A$1:$I$89,5,0)</f>
        <v>38.235599999999998</v>
      </c>
      <c r="CV23" s="13">
        <f t="shared" si="41"/>
        <v>11.529771748983352</v>
      </c>
      <c r="CW23" s="20">
        <f t="shared" si="13"/>
        <v>86.674689129479319</v>
      </c>
      <c r="CX23" s="59">
        <f t="shared" si="14"/>
        <v>303.18939201637505</v>
      </c>
      <c r="CY23" s="59">
        <f ca="1">AVERAGE(OFFSET($CX$3,0,0,'Données projet'!$E$13+1,1))-AVERAGE(OFFSET($H$3,0,0,'Données projet'!$E$13+1,1))</f>
        <v>324.58754156328285</v>
      </c>
      <c r="CZ23" s="59">
        <f t="shared" si="42"/>
        <v>226.01037731977604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11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0.5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3.4810481987451189</v>
      </c>
      <c r="DI23" s="22">
        <f t="shared" si="15"/>
        <v>3.4810481987451189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7.2264102564102561</v>
      </c>
      <c r="DO23" s="12">
        <f>IF('Données projet'!$A$166&gt;35,DO22+DN23-DW22,IF(A23&lt;'Données projet'!$A$166,$DL$205^A23,IF(A23='Données projet'!$A$166,'Données projet'!$B$166,DO22+DN23-DW22)))</f>
        <v>36.0879804560157</v>
      </c>
      <c r="DP23" s="17">
        <f>DO23*VLOOKUP('Données projet'!$B$14,Paramètres!$A$1:$I$89,3,0)*VLOOKUP('Données projet'!$B$14,Paramètres!$A$1:$I$89,5,0)</f>
        <v>16.889174853415348</v>
      </c>
      <c r="DQ23" s="13">
        <f t="shared" si="43"/>
        <v>5.6010168004690764</v>
      </c>
      <c r="DR23" s="20">
        <f t="shared" si="16"/>
        <v>39.170417130515368</v>
      </c>
      <c r="DS23" s="59">
        <f t="shared" si="17"/>
        <v>255.68512001741109</v>
      </c>
      <c r="DT23" s="59">
        <f ca="1">AVERAGE(OFFSET($DS$3,0,0,'Données projet'!$E$14+1,1))-AVERAGE(OFFSET($H$3,0,0,'Données projet'!$E$14+1,1))</f>
        <v>325.93182817189722</v>
      </c>
      <c r="DU23" s="59">
        <f t="shared" si="44"/>
        <v>280.04509991782709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95</v>
      </c>
      <c r="EH23" s="12">
        <f>VLOOKUP(A23,'Données projet'!$A$191:$I$211,9,0)</f>
        <v>4.75</v>
      </c>
      <c r="EI23" s="12">
        <f t="array" ref="EI23">INDEX(EH:EH,MIN(IF(ISNUMBER(EH23:EH219),ROW(EH23:EH219),"")))</f>
        <v>4.75</v>
      </c>
      <c r="EJ23" s="12">
        <f>IF('Données projet'!$A$192&gt;35,EJ22+EI23-ER22,IF(A23&lt;'Données projet'!$A$192,$EG$205^A23,IF(A23='Données projet'!$A$192,'Données projet'!$B$192,EJ22+EI23-ER22)))</f>
        <v>95</v>
      </c>
      <c r="EK23" s="17">
        <f>EJ23*VLOOKUP('Données projet'!$B$15,Paramètres!$A$1:$I$89,3,0)*VLOOKUP('Données projet'!$B$15,Paramètres!$A$1:$I$89,5,0)</f>
        <v>75.582000000000008</v>
      </c>
      <c r="EL23" s="13">
        <f t="shared" si="45"/>
        <v>21.053414706764137</v>
      </c>
      <c r="EM23" s="20">
        <f t="shared" si="19"/>
        <v>168.30668061428091</v>
      </c>
      <c r="EN23" s="59">
        <f t="shared" si="20"/>
        <v>384.82138350117663</v>
      </c>
      <c r="EO23" s="59">
        <f ca="1">AVERAGE(OFFSET($EN$3,0,0,'Données projet'!$E$15+1,1))-AVERAGE(OFFSET($H$3,0,0,'Données projet'!$E$15+1,1))</f>
        <v>333.52903437536651</v>
      </c>
      <c r="EP23" s="59">
        <f t="shared" si="46"/>
        <v>359.47288701414777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43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0.13250000000000001</v>
      </c>
      <c r="EU23" s="16">
        <f>IF(ISNA(VLOOKUP(A23,'Données projet'!$A$191:$I$211,7,0)),0%,VLOOKUP(A23,'Données projet'!$A$191:$I$211,7,0))</f>
        <v>0.25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4.9912906541261721</v>
      </c>
      <c r="EX23" s="21">
        <f>EXP(-LN(2)/2)*EX22+(1-EXP(-LN(2)/2))/(LN(2)/2)*ER23*EU23*VLOOKUP('Données projet'!$B$15,Paramètres!$A$1:$I$89,3,0)*0.475*44/12</f>
        <v>8.0697026425455061</v>
      </c>
      <c r="EY23" s="22">
        <f t="shared" si="21"/>
        <v>13.060993296671679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13.468131868131868</v>
      </c>
      <c r="FE23" s="12">
        <f>IF('Données projet'!$A$218&gt;35,FE22+FD23-FM22,IF(A23&lt;'Données projet'!$A$218,$FB$205^A23,IF(A23='Données projet'!$A$218,'Données projet'!$B$218,FE22+FD23-FM22)))</f>
        <v>103.04835164835164</v>
      </c>
      <c r="FF23" s="17">
        <f>FE23*VLOOKUP('Données projet'!$B$16,Paramètres!$A$1:$I$89,3,0)*VLOOKUP('Données projet'!$B$16,Paramètres!$A$1:$I$89,5,0)</f>
        <v>61.622914285714288</v>
      </c>
      <c r="FG23" s="13">
        <f t="shared" si="47"/>
        <v>17.577953130673084</v>
      </c>
      <c r="FH23" s="20">
        <f t="shared" si="22"/>
        <v>137.94151075020798</v>
      </c>
      <c r="FI23" s="59">
        <f t="shared" si="23"/>
        <v>354.4562136371037</v>
      </c>
      <c r="FJ23" s="59">
        <f ca="1">AVERAGE(OFFSET($FI$3,0,0,'Données projet'!$E$16+1,1))-AVERAGE(OFFSET($H$3,0,0,'Données projet'!$E$16+1,1))</f>
        <v>313.26988717307376</v>
      </c>
      <c r="FK23" s="59">
        <f t="shared" si="48"/>
        <v>248.17359813993201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21</v>
      </c>
      <c r="FX23" s="12">
        <f>VLOOKUP(A23,'Données projet'!$A$243:$I$263,9,0)</f>
        <v>1.05</v>
      </c>
      <c r="FY23" s="12">
        <f t="array" ref="FY23">INDEX(FX:FX,MIN(IF(ISNUMBER(FX23:FX219),ROW(FX23:FX219),"")))</f>
        <v>1.05</v>
      </c>
      <c r="FZ23" s="12">
        <f>IF('Données projet'!$A$244&gt;35,FZ22+FY23-GH22,IF(A23&lt;'Données projet'!$A$244,$FW$205^A23,IF(A23='Données projet'!$A$244,'Données projet'!$B$244,FZ22+FY23-GH22)))</f>
        <v>21</v>
      </c>
      <c r="GA23" s="17">
        <f>FZ23*VLOOKUP('Données projet'!$B$17,Paramètres!$A$1:$I$89,3,0)*VLOOKUP('Données projet'!$B$17,Paramètres!$A$1:$I$89,5,0)</f>
        <v>22.604399999999998</v>
      </c>
      <c r="GB23" s="13">
        <f t="shared" si="49"/>
        <v>7.2463112679569939</v>
      </c>
      <c r="GC23" s="20">
        <f t="shared" si="25"/>
        <v>51.989988791691758</v>
      </c>
      <c r="GD23" s="59">
        <f t="shared" si="26"/>
        <v>268.50469167858751</v>
      </c>
      <c r="GE23" s="59">
        <f ca="1">AVERAGE(OFFSET($GD$3,0,0,'Données projet'!$E$17+1,1))-AVERAGE(OFFSET($H$3,0,0,'Données projet'!$E$17+1,1))</f>
        <v>313.51355235711543</v>
      </c>
      <c r="GF23" s="59">
        <f t="shared" si="50"/>
        <v>186.0840067781198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6.8</v>
      </c>
      <c r="N24" s="13">
        <f>IF('Données projet'!$A$36&gt;35,N23+M24-V23,IF(A24&lt;'Données projet'!$A$36,$K$205^A24,IF(A24='Données projet'!$A$36,'Données projet'!$B$36,N23+M24-V23)))</f>
        <v>52.8</v>
      </c>
      <c r="O24" s="13">
        <f>N24*VLOOKUP('Données projet'!$B$9,Paramètres!$A$1:$I$89,3,0)*VLOOKUP('Données projet'!$B$9,Paramètres!$A$1:$I$89,5,0)</f>
        <v>53.539200000000001</v>
      </c>
      <c r="P24" s="13">
        <f t="shared" si="33"/>
        <v>15.524103725721874</v>
      </c>
      <c r="Q24" s="20">
        <f t="shared" si="2"/>
        <v>120.28525398896561</v>
      </c>
      <c r="R24" s="59">
        <f t="shared" si="0"/>
        <v>339.14278236484</v>
      </c>
      <c r="S24" s="59">
        <f ca="1">AVERAGE(OFFSET($R$3,0,0,'Données projet'!$E$9+1,1))-AVERAGE(OFFSET($H$3,0,0,'Données projet'!$E$9+1,1))</f>
        <v>452.67426184967104</v>
      </c>
      <c r="T24" s="59">
        <f t="shared" si="34"/>
        <v>310.47823616327639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6.666666666666667</v>
      </c>
      <c r="AI24" s="13">
        <f>IF('Données projet'!$A$62&gt;35,AI23+AH24-AQ23,IF(A24&lt;'Données projet'!$A$62,$AF$205^A24,IF(A24='Données projet'!$A$62,'Données projet'!$B$62,AI23+AH24-AQ23)))</f>
        <v>55.384615384615373</v>
      </c>
      <c r="AJ24" s="13">
        <f>AI24*VLOOKUP('Données projet'!$B$10,Paramètres!$A$1:$I$89,3,0)*VLOOKUP('Données projet'!$B$10,Paramètres!$A$1:$I$89,5,0)</f>
        <v>57.887999999999998</v>
      </c>
      <c r="AK24" s="13">
        <f t="shared" si="35"/>
        <v>16.633180613606434</v>
      </c>
      <c r="AL24" s="20">
        <f t="shared" si="4"/>
        <v>129.79105623536455</v>
      </c>
      <c r="AM24" s="59">
        <f t="shared" si="5"/>
        <v>348.6485846112389</v>
      </c>
      <c r="AN24" s="59">
        <f ca="1">AVERAGE(OFFSET($AM$3,0,0,'Données projet'!$E$10+1,1))-AVERAGE(OFFSET($H$3,0,0,'Données projet'!$E$10+1,1))</f>
        <v>528.45201982036087</v>
      </c>
      <c r="AO24" s="59">
        <f t="shared" si="36"/>
        <v>321.23004033257985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2.2350338364907931</v>
      </c>
      <c r="AX24" s="21">
        <f t="shared" si="6"/>
        <v>2.2350338364907931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3.3</v>
      </c>
      <c r="BD24" s="12">
        <f>IF('Données projet'!$A$88&gt;35,BD23+BC24-BL23,IF(A24&lt;'Données projet'!$A$88,$BA$205^A24,IF(A24='Données projet'!$A$88,'Données projet'!$B$88,BD23+BC24-BL23)))</f>
        <v>24.3</v>
      </c>
      <c r="BE24" s="13">
        <f>BD24*VLOOKUP('Données projet'!$B$11,Paramètres!$A$1:$I$89,3,0)*VLOOKUP('Données projet'!$B$11,Paramètres!$A$1:$I$89,5,0)</f>
        <v>23.502960000000002</v>
      </c>
      <c r="BF24" s="13">
        <f t="shared" si="37"/>
        <v>7.5002538086241195</v>
      </c>
      <c r="BG24" s="20">
        <f t="shared" si="7"/>
        <v>53.997264050020341</v>
      </c>
      <c r="BH24" s="59">
        <f t="shared" si="8"/>
        <v>272.85479242589474</v>
      </c>
      <c r="BI24" s="59">
        <f ca="1">AVERAGE(OFFSET($BH$3,0,0,'Données projet'!$E$11+1,1))-AVERAGE(OFFSET($H$3,0,0,'Données projet'!$E$11+1,1))</f>
        <v>289.06522051625166</v>
      </c>
      <c r="BJ24" s="59">
        <f t="shared" si="38"/>
        <v>173.19148969173838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5.9</v>
      </c>
      <c r="BY24" s="12">
        <f>IF('Données projet'!$A$114&gt;35,BY23+BX24-CG23,IF(A24&lt;'Données projet'!$A$114,$BV$205^A24,IF(A24='Données projet'!$A$114,'Données projet'!$B$114,BY23+BX24-CG23)))</f>
        <v>59.900000000000006</v>
      </c>
      <c r="BZ24" s="13">
        <f>BY24*VLOOKUP('Données projet'!$B$12,Paramètres!$A$1:$I$89,3,0)*VLOOKUP('Données projet'!$B$12,Paramètres!$A$1:$I$89,5,0)</f>
        <v>48.590880000000006</v>
      </c>
      <c r="CA24" s="13">
        <f t="shared" si="39"/>
        <v>14.249245030442918</v>
      </c>
      <c r="CB24" s="20">
        <f t="shared" si="10"/>
        <v>109.44655109468808</v>
      </c>
      <c r="CC24" s="59">
        <f t="shared" si="11"/>
        <v>328.30407947056244</v>
      </c>
      <c r="CD24" s="59">
        <f ca="1">AVERAGE(OFFSET($CC$3,0,0,'Données projet'!$E$12+1,1))-AVERAGE(OFFSET($H$3,0,0,'Données projet'!$E$12+1,1))</f>
        <v>306.06916761900357</v>
      </c>
      <c r="CE24" s="59">
        <f t="shared" si="40"/>
        <v>258.90832875500337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4.0590883167791016</v>
      </c>
      <c r="CN24" s="22">
        <f t="shared" si="12"/>
        <v>4.0590883167791016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6.8</v>
      </c>
      <c r="CT24" s="12">
        <f>IF('Données projet'!$A$140&gt;35,CT23+CS24-DB23,IF(A24&lt;'Données projet'!$A$140,$CQ$205^A24,IF(A24='Données projet'!$A$140,'Données projet'!$B$140,CT23+CS24-DB23)))</f>
        <v>52.8</v>
      </c>
      <c r="CU24" s="17">
        <f>CT24*VLOOKUP('Données projet'!$B$13,Paramètres!$A$1:$I$89,3,0)*VLOOKUP('Données projet'!$B$13,Paramètres!$A$1:$I$89,5,0)</f>
        <v>35.418239999999997</v>
      </c>
      <c r="CV24" s="13">
        <f t="shared" si="41"/>
        <v>10.775787570060317</v>
      </c>
      <c r="CW24" s="20">
        <f t="shared" si="13"/>
        <v>80.454598017855048</v>
      </c>
      <c r="CX24" s="59">
        <f t="shared" si="14"/>
        <v>299.31212639372944</v>
      </c>
      <c r="CY24" s="59">
        <f ca="1">AVERAGE(OFFSET($CX$3,0,0,'Données projet'!$E$13+1,1))-AVERAGE(OFFSET($H$3,0,0,'Données projet'!$E$13+1,1))</f>
        <v>324.58754156328285</v>
      </c>
      <c r="CZ24" s="59">
        <f t="shared" si="42"/>
        <v>226.01037731977604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2.4614727869698902</v>
      </c>
      <c r="DI24" s="22">
        <f t="shared" si="15"/>
        <v>2.4614727869698902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7.2264102564102561</v>
      </c>
      <c r="DO24" s="12">
        <f>IF('Données projet'!$A$166&gt;35,DO23+DN24-DW23,IF(A24&lt;'Données projet'!$A$166,$DL$205^A24,IF(A24='Données projet'!$A$166,'Données projet'!$B$166,DO23+DN24-DW23)))</f>
        <v>43.17483711984115</v>
      </c>
      <c r="DP24" s="17">
        <f>DO24*VLOOKUP('Données projet'!$B$14,Paramètres!$A$1:$I$89,3,0)*VLOOKUP('Données projet'!$B$14,Paramètres!$A$1:$I$89,5,0)</f>
        <v>20.205823772085658</v>
      </c>
      <c r="DQ24" s="13">
        <f t="shared" si="43"/>
        <v>6.5625277686471071</v>
      </c>
      <c r="DR24" s="20">
        <f t="shared" si="16"/>
        <v>46.621545600109563</v>
      </c>
      <c r="DS24" s="59">
        <f t="shared" si="17"/>
        <v>265.47907397598397</v>
      </c>
      <c r="DT24" s="59">
        <f ca="1">AVERAGE(OFFSET($DS$3,0,0,'Données projet'!$E$14+1,1))-AVERAGE(OFFSET($H$3,0,0,'Données projet'!$E$14+1,1))</f>
        <v>325.93182817189722</v>
      </c>
      <c r="DU24" s="59">
        <f t="shared" si="44"/>
        <v>280.04509991782709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12.2</v>
      </c>
      <c r="EJ24" s="12">
        <f>IF('Données projet'!$A$192&gt;35,EJ23+EI24-ER23,IF(A24&lt;'Données projet'!$A$192,$EG$205^A24,IF(A24='Données projet'!$A$192,'Données projet'!$B$192,EJ23+EI24-ER23)))</f>
        <v>64.2</v>
      </c>
      <c r="EK24" s="17">
        <f>EJ24*VLOOKUP('Données projet'!$B$15,Paramètres!$A$1:$I$89,3,0)*VLOOKUP('Données projet'!$B$15,Paramètres!$A$1:$I$89,5,0)</f>
        <v>51.077520000000007</v>
      </c>
      <c r="EL24" s="13">
        <f t="shared" si="45"/>
        <v>14.891687648984377</v>
      </c>
      <c r="EM24" s="20">
        <f t="shared" si="19"/>
        <v>114.89636998864779</v>
      </c>
      <c r="EN24" s="59">
        <f t="shared" si="20"/>
        <v>333.75389836452217</v>
      </c>
      <c r="EO24" s="59">
        <f ca="1">AVERAGE(OFFSET($EN$3,0,0,'Données projet'!$E$15+1,1))-AVERAGE(OFFSET($H$3,0,0,'Données projet'!$E$15+1,1))</f>
        <v>333.52903437536651</v>
      </c>
      <c r="EP24" s="59">
        <f t="shared" si="46"/>
        <v>359.47288701414777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4.8548035487085244</v>
      </c>
      <c r="EX24" s="21">
        <f>EXP(-LN(2)/2)*EX23+(1-EXP(-LN(2)/2))/(LN(2)/2)*ER24*EU24*VLOOKUP('Données projet'!$B$15,Paramètres!$A$1:$I$89,3,0)*0.475*44/12</f>
        <v>5.7061414607029297</v>
      </c>
      <c r="EY24" s="22">
        <f t="shared" si="21"/>
        <v>10.560945009411455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13.468131868131868</v>
      </c>
      <c r="FE24" s="12">
        <f>IF('Données projet'!$A$218&gt;35,FE23+FD24-FM23,IF(A24&lt;'Données projet'!$A$218,$FB$205^A24,IF(A24='Données projet'!$A$218,'Données projet'!$B$218,FE23+FD24-FM23)))</f>
        <v>116.5164835164835</v>
      </c>
      <c r="FF24" s="17">
        <f>FE24*VLOOKUP('Données projet'!$B$16,Paramètres!$A$1:$I$89,3,0)*VLOOKUP('Données projet'!$B$16,Paramètres!$A$1:$I$89,5,0)</f>
        <v>69.676857142857145</v>
      </c>
      <c r="FG24" s="13">
        <f t="shared" si="47"/>
        <v>19.593188213653896</v>
      </c>
      <c r="FH24" s="20">
        <f t="shared" si="22"/>
        <v>155.47866232925674</v>
      </c>
      <c r="FI24" s="59">
        <f t="shared" si="23"/>
        <v>374.33619070513112</v>
      </c>
      <c r="FJ24" s="59">
        <f ca="1">AVERAGE(OFFSET($FI$3,0,0,'Données projet'!$E$16+1,1))-AVERAGE(OFFSET($H$3,0,0,'Données projet'!$E$16+1,1))</f>
        <v>313.26988717307376</v>
      </c>
      <c r="FK24" s="59">
        <f t="shared" si="48"/>
        <v>248.17359813993201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3.3</v>
      </c>
      <c r="FZ24" s="12">
        <f>IF('Données projet'!$A$244&gt;35,FZ23+FY24-GH23,IF(A24&lt;'Données projet'!$A$244,$FW$205^A24,IF(A24='Données projet'!$A$244,'Données projet'!$B$244,FZ23+FY24-GH23)))</f>
        <v>24.3</v>
      </c>
      <c r="GA24" s="17">
        <f>FZ24*VLOOKUP('Données projet'!$B$17,Paramètres!$A$1:$I$89,3,0)*VLOOKUP('Données projet'!$B$17,Paramètres!$A$1:$I$89,5,0)</f>
        <v>26.15652</v>
      </c>
      <c r="GB24" s="13">
        <f t="shared" si="49"/>
        <v>8.2437672168619649</v>
      </c>
      <c r="GC24" s="20">
        <f t="shared" si="25"/>
        <v>59.913833569367917</v>
      </c>
      <c r="GD24" s="59">
        <f t="shared" si="26"/>
        <v>278.77136194524229</v>
      </c>
      <c r="GE24" s="59">
        <f ca="1">AVERAGE(OFFSET($GD$3,0,0,'Données projet'!$E$17+1,1))-AVERAGE(OFFSET($H$3,0,0,'Données projet'!$E$17+1,1))</f>
        <v>313.51355235711543</v>
      </c>
      <c r="GF24" s="59">
        <f t="shared" si="50"/>
        <v>186.0840067781198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6.8</v>
      </c>
      <c r="N25" s="13">
        <f>IF('Données projet'!$A$36&gt;35,N24+M25-V24,IF(A25&lt;'Données projet'!$A$36,$K$205^A25,IF(A25='Données projet'!$A$36,'Données projet'!$B$36,N24+M25-V24)))</f>
        <v>59.599999999999994</v>
      </c>
      <c r="O25" s="13">
        <f>N25*VLOOKUP('Données projet'!$B$9,Paramètres!$A$1:$I$89,3,0)*VLOOKUP('Données projet'!$B$9,Paramètres!$A$1:$I$89,5,0)</f>
        <v>60.434399999999997</v>
      </c>
      <c r="P25" s="13">
        <f t="shared" si="33"/>
        <v>17.27805280717822</v>
      </c>
      <c r="Q25" s="20">
        <f t="shared" si="2"/>
        <v>135.34918863916872</v>
      </c>
      <c r="R25" s="59">
        <f t="shared" si="0"/>
        <v>356.53010254263711</v>
      </c>
      <c r="S25" s="59">
        <f ca="1">AVERAGE(OFFSET($R$3,0,0,'Données projet'!$E$9+1,1))-AVERAGE(OFFSET($H$3,0,0,'Données projet'!$E$9+1,1))</f>
        <v>452.67426184967104</v>
      </c>
      <c r="T25" s="59">
        <f t="shared" si="34"/>
        <v>310.47823616327639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6.666666666666667</v>
      </c>
      <c r="AI25" s="13">
        <f>IF('Données projet'!$A$62&gt;35,AI24+AH25-AQ24,IF(A25&lt;'Données projet'!$A$62,$AF$205^A25,IF(A25='Données projet'!$A$62,'Données projet'!$B$62,AI24+AH25-AQ24)))</f>
        <v>62.051282051282037</v>
      </c>
      <c r="AJ25" s="13">
        <f>AI25*VLOOKUP('Données projet'!$B$10,Paramètres!$A$1:$I$89,3,0)*VLOOKUP('Données projet'!$B$10,Paramètres!$A$1:$I$89,5,0)</f>
        <v>64.855999999999995</v>
      </c>
      <c r="AK25" s="13">
        <f t="shared" si="35"/>
        <v>18.390402151153513</v>
      </c>
      <c r="AL25" s="20">
        <f t="shared" si="4"/>
        <v>144.98748374659235</v>
      </c>
      <c r="AM25" s="59">
        <f t="shared" si="5"/>
        <v>366.16839765006074</v>
      </c>
      <c r="AN25" s="59">
        <f ca="1">AVERAGE(OFFSET($AM$3,0,0,'Données projet'!$E$10+1,1))-AVERAGE(OFFSET($H$3,0,0,'Données projet'!$E$10+1,1))</f>
        <v>528.45201982036087</v>
      </c>
      <c r="AO25" s="59">
        <f t="shared" si="36"/>
        <v>321.23004033257985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1.5804075819640253</v>
      </c>
      <c r="AX25" s="21">
        <f t="shared" si="6"/>
        <v>1.5804075819640253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3.3</v>
      </c>
      <c r="BD25" s="12">
        <f>IF('Données projet'!$A$88&gt;35,BD24+BC25-BL24,IF(A25&lt;'Données projet'!$A$88,$BA$205^A25,IF(A25='Données projet'!$A$88,'Données projet'!$B$88,BD24+BC25-BL24)))</f>
        <v>27.6</v>
      </c>
      <c r="BE25" s="13">
        <f>BD25*VLOOKUP('Données projet'!$B$11,Paramètres!$A$1:$I$89,3,0)*VLOOKUP('Données projet'!$B$11,Paramètres!$A$1:$I$89,5,0)</f>
        <v>26.694720000000004</v>
      </c>
      <c r="BF25" s="13">
        <f t="shared" si="37"/>
        <v>8.3934695983883056</v>
      </c>
      <c r="BG25" s="20">
        <f t="shared" si="7"/>
        <v>61.11193021719297</v>
      </c>
      <c r="BH25" s="59">
        <f t="shared" si="8"/>
        <v>282.29284412066136</v>
      </c>
      <c r="BI25" s="59">
        <f ca="1">AVERAGE(OFFSET($BH$3,0,0,'Données projet'!$E$11+1,1))-AVERAGE(OFFSET($H$3,0,0,'Données projet'!$E$11+1,1))</f>
        <v>289.06522051625166</v>
      </c>
      <c r="BJ25" s="59">
        <f t="shared" si="38"/>
        <v>173.19148969173838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5.9</v>
      </c>
      <c r="BY25" s="12">
        <f>IF('Données projet'!$A$114&gt;35,BY24+BX25-CG24,IF(A25&lt;'Données projet'!$A$114,$BV$205^A25,IF(A25='Données projet'!$A$114,'Données projet'!$B$114,BY24+BX25-CG24)))</f>
        <v>65.800000000000011</v>
      </c>
      <c r="BZ25" s="13">
        <f>BY25*VLOOKUP('Données projet'!$B$12,Paramètres!$A$1:$I$89,3,0)*VLOOKUP('Données projet'!$B$12,Paramètres!$A$1:$I$89,5,0)</f>
        <v>53.376960000000011</v>
      </c>
      <c r="CA25" s="13">
        <f t="shared" si="39"/>
        <v>15.48252942274674</v>
      </c>
      <c r="CB25" s="20">
        <f t="shared" si="10"/>
        <v>119.9302774112839</v>
      </c>
      <c r="CC25" s="59">
        <f t="shared" si="11"/>
        <v>341.11119131475232</v>
      </c>
      <c r="CD25" s="59">
        <f ca="1">AVERAGE(OFFSET($CC$3,0,0,'Données projet'!$E$12+1,1))-AVERAGE(OFFSET($H$3,0,0,'Données projet'!$E$12+1,1))</f>
        <v>306.06916761900357</v>
      </c>
      <c r="CE25" s="59">
        <f t="shared" si="40"/>
        <v>258.90832875500337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2.8702088742295921</v>
      </c>
      <c r="CN25" s="22">
        <f t="shared" si="12"/>
        <v>2.8702088742295921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6.8</v>
      </c>
      <c r="CT25" s="12">
        <f>IF('Données projet'!$A$140&gt;35,CT24+CS25-DB24,IF(A25&lt;'Données projet'!$A$140,$CQ$205^A25,IF(A25='Données projet'!$A$140,'Données projet'!$B$140,CT24+CS25-DB24)))</f>
        <v>59.599999999999994</v>
      </c>
      <c r="CU25" s="17">
        <f>CT25*VLOOKUP('Données projet'!$B$13,Paramètres!$A$1:$I$89,3,0)*VLOOKUP('Données projet'!$B$13,Paramètres!$A$1:$I$89,5,0)</f>
        <v>39.979679999999995</v>
      </c>
      <c r="CV25" s="13">
        <f t="shared" si="41"/>
        <v>11.993260929192825</v>
      </c>
      <c r="CW25" s="20">
        <f t="shared" si="13"/>
        <v>90.519538785010809</v>
      </c>
      <c r="CX25" s="59">
        <f t="shared" si="14"/>
        <v>311.70045268847923</v>
      </c>
      <c r="CY25" s="59">
        <f ca="1">AVERAGE(OFFSET($CX$3,0,0,'Données projet'!$E$13+1,1))-AVERAGE(OFFSET($H$3,0,0,'Données projet'!$E$13+1,1))</f>
        <v>324.58754156328285</v>
      </c>
      <c r="CZ25" s="59">
        <f t="shared" si="42"/>
        <v>226.01037731977604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1.7405240993725597</v>
      </c>
      <c r="DI25" s="22">
        <f t="shared" si="15"/>
        <v>1.7405240993725597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7.2264102564102561</v>
      </c>
      <c r="DO25" s="12">
        <f>IF('Données projet'!$A$166&gt;35,DO24+DN25-DW24,IF(A25&lt;'Données projet'!$A$166,$DL$205^A25,IF(A25='Données projet'!$A$166,'Données projet'!$B$166,DO24+DN25-DW24)))</f>
        <v>51.653390873361616</v>
      </c>
      <c r="DP25" s="17">
        <f>DO25*VLOOKUP('Données projet'!$B$14,Paramètres!$A$1:$I$89,3,0)*VLOOKUP('Données projet'!$B$14,Paramètres!$A$1:$I$89,5,0)</f>
        <v>24.173786928733236</v>
      </c>
      <c r="DQ25" s="13">
        <f t="shared" si="43"/>
        <v>7.6890986491341353</v>
      </c>
      <c r="DR25" s="20">
        <f t="shared" si="16"/>
        <v>55.494525714785674</v>
      </c>
      <c r="DS25" s="59">
        <f t="shared" si="17"/>
        <v>276.67543961825407</v>
      </c>
      <c r="DT25" s="59">
        <f ca="1">AVERAGE(OFFSET($DS$3,0,0,'Données projet'!$E$14+1,1))-AVERAGE(OFFSET($H$3,0,0,'Données projet'!$E$14+1,1))</f>
        <v>325.93182817189722</v>
      </c>
      <c r="DU25" s="59">
        <f t="shared" si="44"/>
        <v>280.04509991782709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12.2</v>
      </c>
      <c r="EJ25" s="12">
        <f>IF('Données projet'!$A$192&gt;35,EJ24+EI25-ER24,IF(A25&lt;'Données projet'!$A$192,$EG$205^A25,IF(A25='Données projet'!$A$192,'Données projet'!$B$192,EJ24+EI25-ER24)))</f>
        <v>76.400000000000006</v>
      </c>
      <c r="EK25" s="17">
        <f>EJ25*VLOOKUP('Données projet'!$B$15,Paramètres!$A$1:$I$89,3,0)*VLOOKUP('Données projet'!$B$15,Paramètres!$A$1:$I$89,5,0)</f>
        <v>60.783840000000012</v>
      </c>
      <c r="EL25" s="13">
        <f t="shared" si="45"/>
        <v>17.366298404318218</v>
      </c>
      <c r="EM25" s="20">
        <f t="shared" si="19"/>
        <v>136.11149105418758</v>
      </c>
      <c r="EN25" s="59">
        <f t="shared" si="20"/>
        <v>357.292404957656</v>
      </c>
      <c r="EO25" s="59">
        <f ca="1">AVERAGE(OFFSET($EN$3,0,0,'Données projet'!$E$15+1,1))-AVERAGE(OFFSET($H$3,0,0,'Données projet'!$E$15+1,1))</f>
        <v>333.52903437536651</v>
      </c>
      <c r="EP25" s="59">
        <f t="shared" si="46"/>
        <v>359.47288701414777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4.7220486903660666</v>
      </c>
      <c r="EX25" s="21">
        <f>EXP(-LN(2)/2)*EX24+(1-EXP(-LN(2)/2))/(LN(2)/2)*ER25*EU25*VLOOKUP('Données projet'!$B$15,Paramètres!$A$1:$I$89,3,0)*0.475*44/12</f>
        <v>4.034851321272753</v>
      </c>
      <c r="EY25" s="22">
        <f t="shared" si="21"/>
        <v>8.7569000116388196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>
        <f>VLOOKUP(A25,'Données projet'!$A$217:$I$237,2,0)</f>
        <v>129.98461538461538</v>
      </c>
      <c r="FC25" s="12">
        <f>VLOOKUP(A25,'Données projet'!$A$217:$I$237,9,0)</f>
        <v>13.468131868131868</v>
      </c>
      <c r="FD25" s="12">
        <f t="array" ref="FD25">INDEX(FC:FC,MIN(IF(ISNUMBER(FC25:FC221),ROW(FC25:FC221),"")))</f>
        <v>13.468131868131868</v>
      </c>
      <c r="FE25" s="12">
        <f>IF('Données projet'!$A$218&gt;35,FE24+FD25-FM24,IF(A25&lt;'Données projet'!$A$218,$FB$205^A25,IF(A25='Données projet'!$A$218,'Données projet'!$B$218,FE24+FD25-FM24)))</f>
        <v>129.98461538461538</v>
      </c>
      <c r="FF25" s="17">
        <f>FE25*VLOOKUP('Données projet'!$B$16,Paramètres!$A$1:$I$89,3,0)*VLOOKUP('Données projet'!$B$16,Paramètres!$A$1:$I$89,5,0)</f>
        <v>77.730800000000002</v>
      </c>
      <c r="FG25" s="13">
        <f t="shared" si="47"/>
        <v>21.581427176601697</v>
      </c>
      <c r="FH25" s="20">
        <f t="shared" si="22"/>
        <v>172.96879566591463</v>
      </c>
      <c r="FI25" s="59">
        <f t="shared" si="23"/>
        <v>394.14970956938305</v>
      </c>
      <c r="FJ25" s="59">
        <f ca="1">AVERAGE(OFFSET($FI$3,0,0,'Données projet'!$E$16+1,1))-AVERAGE(OFFSET($H$3,0,0,'Données projet'!$E$16+1,1))</f>
        <v>313.26988717307376</v>
      </c>
      <c r="FK25" s="59">
        <f t="shared" si="48"/>
        <v>248.17359813993201</v>
      </c>
      <c r="FL25" s="15">
        <f>IF(ISNA(VLOOKUP(A25,'Données projet'!$A$217:$I$237,3,0)),0,VLOOKUP(A25,'Données projet'!$A$217:$I$237,3,0))</f>
        <v>1</v>
      </c>
      <c r="FM25" s="15">
        <f>IF(ISNA(VLOOKUP(A25,'Données projet'!$A$217:$I$237,4,0)),0,VLOOKUP(A25,'Données projet'!$A$217:$I$237,4,0))</f>
        <v>52.746153846153838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9.0000000000000011E-2</v>
      </c>
      <c r="FP25" s="16">
        <f>IF(ISNA(VLOOKUP(A25,'Données projet'!$A$217:$I$237,7,0)),0%,VLOOKUP(A25,'Données projet'!$A$217:$I$237,7,0))</f>
        <v>0.4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3.751020942437131</v>
      </c>
      <c r="FS25" s="21">
        <f>EXP(-LN(2)/2)*FS24+(1-EXP(-LN(2)/2))/(LN(2)/2)*FM25*FP25*VLOOKUP('Données projet'!$B$16,Paramètres!$A$1:$I$89,3,0)*0.475*44/12</f>
        <v>14.285239030015715</v>
      </c>
      <c r="FT25" s="22">
        <f t="shared" si="24"/>
        <v>18.036259972452847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3.3</v>
      </c>
      <c r="FZ25" s="12">
        <f>IF('Données projet'!$A$244&gt;35,FZ24+FY25-GH24,IF(A25&lt;'Données projet'!$A$244,$FW$205^A25,IF(A25='Données projet'!$A$244,'Données projet'!$B$244,FZ24+FY25-GH24)))</f>
        <v>27.6</v>
      </c>
      <c r="GA25" s="17">
        <f>FZ25*VLOOKUP('Données projet'!$B$17,Paramètres!$A$1:$I$89,3,0)*VLOOKUP('Données projet'!$B$17,Paramètres!$A$1:$I$89,5,0)</f>
        <v>29.708640000000003</v>
      </c>
      <c r="GB25" s="13">
        <f t="shared" si="49"/>
        <v>9.2255290656109583</v>
      </c>
      <c r="GC25" s="20">
        <f t="shared" si="25"/>
        <v>67.810344455939074</v>
      </c>
      <c r="GD25" s="59">
        <f t="shared" si="26"/>
        <v>288.99125835940748</v>
      </c>
      <c r="GE25" s="59">
        <f ca="1">AVERAGE(OFFSET($GD$3,0,0,'Données projet'!$E$17+1,1))-AVERAGE(OFFSET($H$3,0,0,'Données projet'!$E$17+1,1))</f>
        <v>313.51355235711543</v>
      </c>
      <c r="GF25" s="59">
        <f t="shared" si="50"/>
        <v>186.0840067781198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6.8</v>
      </c>
      <c r="N26" s="13">
        <f>IF('Données projet'!$A$36&gt;35,N25+M26-V25,IF(A26&lt;'Données projet'!$A$36,$K$205^A26,IF(A26='Données projet'!$A$36,'Données projet'!$B$36,N25+M26-V25)))</f>
        <v>66.399999999999991</v>
      </c>
      <c r="O26" s="13">
        <f>N26*VLOOKUP('Données projet'!$B$9,Paramètres!$A$1:$I$89,3,0)*VLOOKUP('Données projet'!$B$9,Paramètres!$A$1:$I$89,5,0)</f>
        <v>67.329599999999999</v>
      </c>
      <c r="P26" s="13">
        <f t="shared" si="33"/>
        <v>19.008809433660961</v>
      </c>
      <c r="Q26" s="20">
        <f t="shared" si="2"/>
        <v>150.37272976362615</v>
      </c>
      <c r="R26" s="59">
        <f t="shared" si="0"/>
        <v>373.85792647317265</v>
      </c>
      <c r="S26" s="59">
        <f ca="1">AVERAGE(OFFSET($R$3,0,0,'Données projet'!$E$9+1,1))-AVERAGE(OFFSET($H$3,0,0,'Données projet'!$E$9+1,1))</f>
        <v>452.67426184967104</v>
      </c>
      <c r="T26" s="59">
        <f t="shared" si="34"/>
        <v>310.47823616327639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6.666666666666667</v>
      </c>
      <c r="AI26" s="13">
        <f>IF('Données projet'!$A$62&gt;35,AI25+AH26-AQ25,IF(A26&lt;'Données projet'!$A$62,$AF$205^A26,IF(A26='Données projet'!$A$62,'Données projet'!$B$62,AI25+AH26-AQ25)))</f>
        <v>68.717948717948701</v>
      </c>
      <c r="AJ26" s="13">
        <f>AI26*VLOOKUP('Données projet'!$B$10,Paramètres!$A$1:$I$89,3,0)*VLOOKUP('Données projet'!$B$10,Paramètres!$A$1:$I$89,5,0)</f>
        <v>71.823999999999998</v>
      </c>
      <c r="AK26" s="13">
        <f t="shared" si="35"/>
        <v>20.125740697059324</v>
      </c>
      <c r="AL26" s="20">
        <f t="shared" si="4"/>
        <v>160.14579838071165</v>
      </c>
      <c r="AM26" s="59">
        <f t="shared" si="5"/>
        <v>383.63099509025812</v>
      </c>
      <c r="AN26" s="59">
        <f ca="1">AVERAGE(OFFSET($AM$3,0,0,'Données projet'!$E$10+1,1))-AVERAGE(OFFSET($H$3,0,0,'Données projet'!$E$10+1,1))</f>
        <v>528.45201982036087</v>
      </c>
      <c r="AO26" s="59">
        <f t="shared" si="36"/>
        <v>321.23004033257985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1.1175169182453968</v>
      </c>
      <c r="AX26" s="21">
        <f t="shared" si="6"/>
        <v>1.1175169182453968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3.3</v>
      </c>
      <c r="BD26" s="12">
        <f>IF('Données projet'!$A$88&gt;35,BD25+BC26-BL25,IF(A26&lt;'Données projet'!$A$88,$BA$205^A26,IF(A26='Données projet'!$A$88,'Données projet'!$B$88,BD25+BC26-BL25)))</f>
        <v>30.900000000000002</v>
      </c>
      <c r="BE26" s="13">
        <f>BD26*VLOOKUP('Données projet'!$B$11,Paramètres!$A$1:$I$89,3,0)*VLOOKUP('Données projet'!$B$11,Paramètres!$A$1:$I$89,5,0)</f>
        <v>29.886480000000002</v>
      </c>
      <c r="BF26" s="13">
        <f t="shared" si="37"/>
        <v>9.2743091639722053</v>
      </c>
      <c r="BG26" s="20">
        <f t="shared" si="7"/>
        <v>68.20504112725159</v>
      </c>
      <c r="BH26" s="59">
        <f t="shared" si="8"/>
        <v>291.69023783679808</v>
      </c>
      <c r="BI26" s="59">
        <f ca="1">AVERAGE(OFFSET($BH$3,0,0,'Données projet'!$E$11+1,1))-AVERAGE(OFFSET($H$3,0,0,'Données projet'!$E$11+1,1))</f>
        <v>289.06522051625166</v>
      </c>
      <c r="BJ26" s="59">
        <f t="shared" si="38"/>
        <v>173.19148969173838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5.9</v>
      </c>
      <c r="BY26" s="12">
        <f>IF('Données projet'!$A$114&gt;35,BY25+BX26-CG25,IF(A26&lt;'Données projet'!$A$114,$BV$205^A26,IF(A26='Données projet'!$A$114,'Données projet'!$B$114,BY25+BX26-CG25)))</f>
        <v>71.700000000000017</v>
      </c>
      <c r="BZ26" s="13">
        <f>BY26*VLOOKUP('Données projet'!$B$12,Paramètres!$A$1:$I$89,3,0)*VLOOKUP('Données projet'!$B$12,Paramètres!$A$1:$I$89,5,0)</f>
        <v>58.163040000000024</v>
      </c>
      <c r="CA26" s="13">
        <f t="shared" si="39"/>
        <v>16.702990740570257</v>
      </c>
      <c r="CB26" s="20">
        <f t="shared" si="10"/>
        <v>130.39167020649325</v>
      </c>
      <c r="CC26" s="59">
        <f t="shared" si="11"/>
        <v>353.87686691603972</v>
      </c>
      <c r="CD26" s="59">
        <f ca="1">AVERAGE(OFFSET($CC$3,0,0,'Données projet'!$E$12+1,1))-AVERAGE(OFFSET($H$3,0,0,'Données projet'!$E$12+1,1))</f>
        <v>306.06916761900357</v>
      </c>
      <c r="CE26" s="59">
        <f t="shared" si="40"/>
        <v>258.90832875500337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2.0295441583895513</v>
      </c>
      <c r="CN26" s="22">
        <f t="shared" si="12"/>
        <v>2.0295441583895513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6.8</v>
      </c>
      <c r="CT26" s="12">
        <f>IF('Données projet'!$A$140&gt;35,CT25+CS26-DB25,IF(A26&lt;'Données projet'!$A$140,$CQ$205^A26,IF(A26='Données projet'!$A$140,'Données projet'!$B$140,CT25+CS26-DB25)))</f>
        <v>66.399999999999991</v>
      </c>
      <c r="CU26" s="17">
        <f>CT26*VLOOKUP('Données projet'!$B$13,Paramètres!$A$1:$I$89,3,0)*VLOOKUP('Données projet'!$B$13,Paramètres!$A$1:$I$89,5,0)</f>
        <v>44.541119999999992</v>
      </c>
      <c r="CV26" s="13">
        <f t="shared" si="41"/>
        <v>13.194635647628294</v>
      </c>
      <c r="CW26" s="20">
        <f t="shared" si="13"/>
        <v>100.55644108628593</v>
      </c>
      <c r="CX26" s="59">
        <f t="shared" si="14"/>
        <v>324.04163779583246</v>
      </c>
      <c r="CY26" s="59">
        <f ca="1">AVERAGE(OFFSET($CX$3,0,0,'Données projet'!$E$13+1,1))-AVERAGE(OFFSET($H$3,0,0,'Données projet'!$E$13+1,1))</f>
        <v>324.58754156328285</v>
      </c>
      <c r="CZ26" s="59">
        <f t="shared" si="42"/>
        <v>226.01037731977604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1.2307363934849453</v>
      </c>
      <c r="DI26" s="22">
        <f t="shared" si="15"/>
        <v>1.2307363934849453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7.2264102564102561</v>
      </c>
      <c r="DO26" s="12">
        <f>IF('Données projet'!$A$166&gt;35,DO25+DN26-DW25,IF(A26&lt;'Données projet'!$A$166,$DL$205^A26,IF(A26='Données projet'!$A$166,'Données projet'!$B$166,DO25+DN26-DW25)))</f>
        <v>61.796939298472864</v>
      </c>
      <c r="DP26" s="17">
        <f>DO26*VLOOKUP('Données projet'!$B$14,Paramètres!$A$1:$I$89,3,0)*VLOOKUP('Données projet'!$B$14,Paramètres!$A$1:$I$89,5,0)</f>
        <v>28.920967591685301</v>
      </c>
      <c r="DQ26" s="13">
        <f t="shared" si="43"/>
        <v>9.0090648177637647</v>
      </c>
      <c r="DR26" s="20">
        <f t="shared" si="16"/>
        <v>66.061473113123796</v>
      </c>
      <c r="DS26" s="59">
        <f t="shared" si="17"/>
        <v>289.54666982267031</v>
      </c>
      <c r="DT26" s="59">
        <f ca="1">AVERAGE(OFFSET($DS$3,0,0,'Données projet'!$E$14+1,1))-AVERAGE(OFFSET($H$3,0,0,'Données projet'!$E$14+1,1))</f>
        <v>325.93182817189722</v>
      </c>
      <c r="DU26" s="59">
        <f t="shared" si="44"/>
        <v>280.04509991782709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12.2</v>
      </c>
      <c r="EJ26" s="12">
        <f>IF('Données projet'!$A$192&gt;35,EJ25+EI26-ER25,IF(A26&lt;'Données projet'!$A$192,$EG$205^A26,IF(A26='Données projet'!$A$192,'Données projet'!$B$192,EJ25+EI26-ER25)))</f>
        <v>88.600000000000009</v>
      </c>
      <c r="EK26" s="17">
        <f>EJ26*VLOOKUP('Données projet'!$B$15,Paramètres!$A$1:$I$89,3,0)*VLOOKUP('Données projet'!$B$15,Paramètres!$A$1:$I$89,5,0)</f>
        <v>70.490160000000017</v>
      </c>
      <c r="EL26" s="13">
        <f t="shared" si="45"/>
        <v>19.795132097024002</v>
      </c>
      <c r="EM26" s="20">
        <f t="shared" si="19"/>
        <v>157.24688373565013</v>
      </c>
      <c r="EN26" s="59">
        <f t="shared" si="20"/>
        <v>380.73208044519663</v>
      </c>
      <c r="EO26" s="59">
        <f ca="1">AVERAGE(OFFSET($EN$3,0,0,'Données projet'!$E$15+1,1))-AVERAGE(OFFSET($H$3,0,0,'Données projet'!$E$15+1,1))</f>
        <v>333.52903437536651</v>
      </c>
      <c r="EP26" s="59">
        <f t="shared" si="46"/>
        <v>359.47288701414777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4.592924020606258</v>
      </c>
      <c r="EX26" s="21">
        <f>EXP(-LN(2)/2)*EX25+(1-EXP(-LN(2)/2))/(LN(2)/2)*ER26*EU26*VLOOKUP('Données projet'!$B$15,Paramètres!$A$1:$I$89,3,0)*0.475*44/12</f>
        <v>2.8530707303514649</v>
      </c>
      <c r="EY26" s="22">
        <f t="shared" si="21"/>
        <v>7.4459947509577233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12.695384615384615</v>
      </c>
      <c r="FE26" s="12">
        <f>IF('Données projet'!$A$218&gt;35,FE25+FD26-FM25,IF(A26&lt;'Données projet'!$A$218,$FB$205^A26,IF(A26='Données projet'!$A$218,'Données projet'!$B$218,FE25+FD26-FM25)))</f>
        <v>89.933846153846162</v>
      </c>
      <c r="FF26" s="17">
        <f>FE26*VLOOKUP('Données projet'!$B$16,Paramètres!$A$1:$I$89,3,0)*VLOOKUP('Données projet'!$B$16,Paramètres!$A$1:$I$89,5,0)</f>
        <v>53.780440000000013</v>
      </c>
      <c r="FG26" s="13">
        <f t="shared" si="47"/>
        <v>15.5858948320701</v>
      </c>
      <c r="FH26" s="20">
        <f t="shared" si="22"/>
        <v>120.81303316585546</v>
      </c>
      <c r="FI26" s="59">
        <f t="shared" si="23"/>
        <v>344.29822987540194</v>
      </c>
      <c r="FJ26" s="59">
        <f ca="1">AVERAGE(OFFSET($FI$3,0,0,'Données projet'!$E$16+1,1))-AVERAGE(OFFSET($H$3,0,0,'Données projet'!$E$16+1,1))</f>
        <v>313.26988717307376</v>
      </c>
      <c r="FK26" s="59">
        <f t="shared" si="48"/>
        <v>248.17359813993201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3.6484490775085692</v>
      </c>
      <c r="FS26" s="21">
        <f>EXP(-LN(2)/2)*FS25+(1-EXP(-LN(2)/2))/(LN(2)/2)*FM26*FP26*VLOOKUP('Données projet'!$B$16,Paramètres!$A$1:$I$89,3,0)*0.475*44/12</f>
        <v>10.101189388994852</v>
      </c>
      <c r="FT26" s="22">
        <f t="shared" si="24"/>
        <v>13.749638466503422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3.3</v>
      </c>
      <c r="FZ26" s="12">
        <f>IF('Données projet'!$A$244&gt;35,FZ25+FY26-GH25,IF(A26&lt;'Données projet'!$A$244,$FW$205^A26,IF(A26='Données projet'!$A$244,'Données projet'!$B$244,FZ25+FY26-GH25)))</f>
        <v>30.900000000000002</v>
      </c>
      <c r="GA26" s="17">
        <f>FZ26*VLOOKUP('Données projet'!$B$17,Paramètres!$A$1:$I$89,3,0)*VLOOKUP('Données projet'!$B$17,Paramètres!$A$1:$I$89,5,0)</f>
        <v>33.260760000000005</v>
      </c>
      <c r="GB26" s="13">
        <f t="shared" si="49"/>
        <v>10.193687813215735</v>
      </c>
      <c r="GC26" s="20">
        <f t="shared" si="25"/>
        <v>75.683163274684077</v>
      </c>
      <c r="GD26" s="59">
        <f t="shared" si="26"/>
        <v>299.16835998423056</v>
      </c>
      <c r="GE26" s="59">
        <f ca="1">AVERAGE(OFFSET($GD$3,0,0,'Données projet'!$E$17+1,1))-AVERAGE(OFFSET($H$3,0,0,'Données projet'!$E$17+1,1))</f>
        <v>313.51355235711543</v>
      </c>
      <c r="GF26" s="59">
        <f t="shared" si="50"/>
        <v>186.0840067781198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6.8</v>
      </c>
      <c r="N27" s="13">
        <f>IF('Données projet'!$A$36&gt;35,N26+M27-V26,IF(A27&lt;'Données projet'!$A$36,$K$205^A27,IF(A27='Données projet'!$A$36,'Données projet'!$B$36,N26+M27-V26)))</f>
        <v>73.199999999999989</v>
      </c>
      <c r="O27" s="13">
        <f>N27*VLOOKUP('Données projet'!$B$9,Paramètres!$A$1:$I$89,3,0)*VLOOKUP('Données projet'!$B$9,Paramètres!$A$1:$I$89,5,0)</f>
        <v>74.224799999999988</v>
      </c>
      <c r="P27" s="13">
        <f t="shared" si="33"/>
        <v>20.719019212647513</v>
      </c>
      <c r="Q27" s="20">
        <f t="shared" si="2"/>
        <v>165.36048512869436</v>
      </c>
      <c r="R27" s="59">
        <f t="shared" si="0"/>
        <v>391.13119331231417</v>
      </c>
      <c r="S27" s="59">
        <f ca="1">AVERAGE(OFFSET($R$3,0,0,'Données projet'!$E$9+1,1))-AVERAGE(OFFSET($H$3,0,0,'Données projet'!$E$9+1,1))</f>
        <v>452.67426184967104</v>
      </c>
      <c r="T27" s="59">
        <f t="shared" si="34"/>
        <v>310.47823616327639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6.666666666666667</v>
      </c>
      <c r="AI27" s="13">
        <f>IF('Données projet'!$A$62&gt;35,AI26+AH27-AQ26,IF(A27&lt;'Données projet'!$A$62,$AF$205^A27,IF(A27='Données projet'!$A$62,'Données projet'!$B$62,AI26+AH27-AQ26)))</f>
        <v>75.384615384615373</v>
      </c>
      <c r="AJ27" s="13">
        <f>AI27*VLOOKUP('Données projet'!$B$10,Paramètres!$A$1:$I$89,3,0)*VLOOKUP('Données projet'!$B$10,Paramètres!$A$1:$I$89,5,0)</f>
        <v>78.791999999999987</v>
      </c>
      <c r="AK27" s="13">
        <f t="shared" si="35"/>
        <v>21.841560808006729</v>
      </c>
      <c r="AL27" s="20">
        <f t="shared" si="4"/>
        <v>175.27011840727837</v>
      </c>
      <c r="AM27" s="59">
        <f t="shared" si="5"/>
        <v>401.04082659089818</v>
      </c>
      <c r="AN27" s="59">
        <f ca="1">AVERAGE(OFFSET($AM$3,0,0,'Données projet'!$E$10+1,1))-AVERAGE(OFFSET($H$3,0,0,'Données projet'!$E$10+1,1))</f>
        <v>528.45201982036087</v>
      </c>
      <c r="AO27" s="59">
        <f t="shared" si="36"/>
        <v>321.23004033257985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0.79020379098201277</v>
      </c>
      <c r="AX27" s="21">
        <f t="shared" si="6"/>
        <v>0.79020379098201277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3.3</v>
      </c>
      <c r="BD27" s="12">
        <f>IF('Données projet'!$A$88&gt;35,BD26+BC27-BL26,IF(A27&lt;'Données projet'!$A$88,$BA$205^A27,IF(A27='Données projet'!$A$88,'Données projet'!$B$88,BD26+BC27-BL26)))</f>
        <v>34.200000000000003</v>
      </c>
      <c r="BE27" s="13">
        <f>BD27*VLOOKUP('Données projet'!$B$11,Paramètres!$A$1:$I$89,3,0)*VLOOKUP('Données projet'!$B$11,Paramètres!$A$1:$I$89,5,0)</f>
        <v>33.078240000000001</v>
      </c>
      <c r="BF27" s="13">
        <f t="shared" si="37"/>
        <v>10.144244872597879</v>
      </c>
      <c r="BG27" s="20">
        <f t="shared" si="7"/>
        <v>75.279161153107964</v>
      </c>
      <c r="BH27" s="59">
        <f t="shared" si="8"/>
        <v>301.04986933672774</v>
      </c>
      <c r="BI27" s="59">
        <f ca="1">AVERAGE(OFFSET($BH$3,0,0,'Données projet'!$E$11+1,1))-AVERAGE(OFFSET($H$3,0,0,'Données projet'!$E$11+1,1))</f>
        <v>289.06522051625166</v>
      </c>
      <c r="BJ27" s="59">
        <f t="shared" si="38"/>
        <v>173.19148969173838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5.9</v>
      </c>
      <c r="BY27" s="12">
        <f>IF('Données projet'!$A$114&gt;35,BY26+BX27-CG26,IF(A27&lt;'Données projet'!$A$114,$BV$205^A27,IF(A27='Données projet'!$A$114,'Données projet'!$B$114,BY26+BX27-CG26)))</f>
        <v>77.600000000000023</v>
      </c>
      <c r="BZ27" s="13">
        <f>BY27*VLOOKUP('Données projet'!$B$12,Paramètres!$A$1:$I$89,3,0)*VLOOKUP('Données projet'!$B$12,Paramètres!$A$1:$I$89,5,0)</f>
        <v>62.949120000000022</v>
      </c>
      <c r="CA27" s="13">
        <f t="shared" si="39"/>
        <v>17.911804123212562</v>
      </c>
      <c r="CB27" s="20">
        <f t="shared" si="10"/>
        <v>140.83277618126189</v>
      </c>
      <c r="CC27" s="59">
        <f t="shared" si="11"/>
        <v>366.60348436488169</v>
      </c>
      <c r="CD27" s="59">
        <f ca="1">AVERAGE(OFFSET($CC$3,0,0,'Données projet'!$E$12+1,1))-AVERAGE(OFFSET($H$3,0,0,'Données projet'!$E$12+1,1))</f>
        <v>306.06916761900357</v>
      </c>
      <c r="CE27" s="59">
        <f t="shared" si="40"/>
        <v>258.90832875500337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1.4351044371147963</v>
      </c>
      <c r="CN27" s="22">
        <f t="shared" si="12"/>
        <v>1.4351044371147963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6.8</v>
      </c>
      <c r="CT27" s="12">
        <f>IF('Données projet'!$A$140&gt;35,CT26+CS27-DB26,IF(A27&lt;'Données projet'!$A$140,$CQ$205^A27,IF(A27='Données projet'!$A$140,'Données projet'!$B$140,CT26+CS27-DB26)))</f>
        <v>73.199999999999989</v>
      </c>
      <c r="CU27" s="17">
        <f>CT27*VLOOKUP('Données projet'!$B$13,Paramètres!$A$1:$I$89,3,0)*VLOOKUP('Données projet'!$B$13,Paramètres!$A$1:$I$89,5,0)</f>
        <v>49.102559999999997</v>
      </c>
      <c r="CV27" s="13">
        <f t="shared" si="41"/>
        <v>14.38174812794909</v>
      </c>
      <c r="CW27" s="20">
        <f t="shared" si="13"/>
        <v>110.56850332284465</v>
      </c>
      <c r="CX27" s="59">
        <f t="shared" si="14"/>
        <v>336.33921150646444</v>
      </c>
      <c r="CY27" s="59">
        <f ca="1">AVERAGE(OFFSET($CX$3,0,0,'Données projet'!$E$13+1,1))-AVERAGE(OFFSET($H$3,0,0,'Données projet'!$E$13+1,1))</f>
        <v>324.58754156328285</v>
      </c>
      <c r="CZ27" s="59">
        <f t="shared" si="42"/>
        <v>226.01037731977604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0.87026204968627996</v>
      </c>
      <c r="DI27" s="22">
        <f t="shared" si="15"/>
        <v>0.87026204968627996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7.2264102564102561</v>
      </c>
      <c r="DO27" s="12">
        <f>IF('Données projet'!$A$166&gt;35,DO26+DN27-DW26,IF(A27&lt;'Données projet'!$A$166,$DL$205^A27,IF(A27='Données projet'!$A$166,'Données projet'!$B$166,DO26+DN27-DW26)))</f>
        <v>73.932449391789717</v>
      </c>
      <c r="DP27" s="17">
        <f>DO27*VLOOKUP('Données projet'!$B$14,Paramètres!$A$1:$I$89,3,0)*VLOOKUP('Données projet'!$B$14,Paramètres!$A$1:$I$89,5,0)</f>
        <v>34.600386315357589</v>
      </c>
      <c r="DQ27" s="13">
        <f t="shared" si="43"/>
        <v>10.555625905490055</v>
      </c>
      <c r="DR27" s="20">
        <f t="shared" si="16"/>
        <v>78.646721284642979</v>
      </c>
      <c r="DS27" s="59">
        <f t="shared" si="17"/>
        <v>304.41742946826275</v>
      </c>
      <c r="DT27" s="59">
        <f ca="1">AVERAGE(OFFSET($DS$3,0,0,'Données projet'!$E$14+1,1))-AVERAGE(OFFSET($H$3,0,0,'Données projet'!$E$14+1,1))</f>
        <v>325.93182817189722</v>
      </c>
      <c r="DU27" s="59">
        <f t="shared" si="44"/>
        <v>280.04509991782709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12.2</v>
      </c>
      <c r="EJ27" s="12">
        <f>IF('Données projet'!$A$192&gt;35,EJ26+EI27-ER26,IF(A27&lt;'Données projet'!$A$192,$EG$205^A27,IF(A27='Données projet'!$A$192,'Données projet'!$B$192,EJ26+EI27-ER26)))</f>
        <v>100.80000000000001</v>
      </c>
      <c r="EK27" s="17">
        <f>EJ27*VLOOKUP('Données projet'!$B$15,Paramètres!$A$1:$I$89,3,0)*VLOOKUP('Données projet'!$B$15,Paramètres!$A$1:$I$89,5,0)</f>
        <v>80.196480000000022</v>
      </c>
      <c r="EL27" s="13">
        <f t="shared" si="45"/>
        <v>22.185217649516332</v>
      </c>
      <c r="EM27" s="20">
        <f t="shared" si="19"/>
        <v>178.31479007290764</v>
      </c>
      <c r="EN27" s="59">
        <f t="shared" si="20"/>
        <v>404.08549825652744</v>
      </c>
      <c r="EO27" s="59">
        <f ca="1">AVERAGE(OFFSET($EN$3,0,0,'Données projet'!$E$15+1,1))-AVERAGE(OFFSET($H$3,0,0,'Données projet'!$E$15+1,1))</f>
        <v>333.52903437536651</v>
      </c>
      <c r="EP27" s="59">
        <f t="shared" si="46"/>
        <v>359.47288701414777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4.4673302717314032</v>
      </c>
      <c r="EX27" s="21">
        <f>EXP(-LN(2)/2)*EX26+(1-EXP(-LN(2)/2))/(LN(2)/2)*ER27*EU27*VLOOKUP('Données projet'!$B$15,Paramètres!$A$1:$I$89,3,0)*0.475*44/12</f>
        <v>2.0174256606363765</v>
      </c>
      <c r="EY27" s="22">
        <f t="shared" si="21"/>
        <v>6.4847559323677793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12.695384615384615</v>
      </c>
      <c r="FE27" s="12">
        <f>IF('Données projet'!$A$218&gt;35,FE26+FD27-FM26,IF(A27&lt;'Données projet'!$A$218,$FB$205^A27,IF(A27='Données projet'!$A$218,'Données projet'!$B$218,FE26+FD27-FM26)))</f>
        <v>102.62923076923077</v>
      </c>
      <c r="FF27" s="17">
        <f>FE27*VLOOKUP('Données projet'!$B$16,Paramètres!$A$1:$I$89,3,0)*VLOOKUP('Données projet'!$B$16,Paramètres!$A$1:$I$89,5,0)</f>
        <v>61.372280000000011</v>
      </c>
      <c r="FG27" s="13">
        <f t="shared" si="47"/>
        <v>17.514766499235456</v>
      </c>
      <c r="FH27" s="20">
        <f t="shared" si="22"/>
        <v>137.39493931950179</v>
      </c>
      <c r="FI27" s="59">
        <f t="shared" si="23"/>
        <v>363.16564750312159</v>
      </c>
      <c r="FJ27" s="59">
        <f ca="1">AVERAGE(OFFSET($FI$3,0,0,'Données projet'!$E$16+1,1))-AVERAGE(OFFSET($H$3,0,0,'Données projet'!$E$16+1,1))</f>
        <v>313.26988717307376</v>
      </c>
      <c r="FK27" s="59">
        <f t="shared" si="48"/>
        <v>248.17359813993201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3.5486820456204988</v>
      </c>
      <c r="FS27" s="21">
        <f>EXP(-LN(2)/2)*FS26+(1-EXP(-LN(2)/2))/(LN(2)/2)*FM27*FP27*VLOOKUP('Données projet'!$B$16,Paramètres!$A$1:$I$89,3,0)*0.475*44/12</f>
        <v>7.1426195150078593</v>
      </c>
      <c r="FT27" s="22">
        <f t="shared" si="24"/>
        <v>10.691301560628357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3.3</v>
      </c>
      <c r="FZ27" s="12">
        <f>IF('Données projet'!$A$244&gt;35,FZ26+FY27-GH26,IF(A27&lt;'Données projet'!$A$244,$FW$205^A27,IF(A27='Données projet'!$A$244,'Données projet'!$B$244,FZ26+FY27-GH26)))</f>
        <v>34.200000000000003</v>
      </c>
      <c r="GA27" s="17">
        <f>FZ27*VLOOKUP('Données projet'!$B$17,Paramètres!$A$1:$I$89,3,0)*VLOOKUP('Données projet'!$B$17,Paramètres!$A$1:$I$89,5,0)</f>
        <v>36.81288</v>
      </c>
      <c r="GB27" s="13">
        <f t="shared" si="49"/>
        <v>11.149861785261818</v>
      </c>
      <c r="GC27" s="20">
        <f t="shared" si="25"/>
        <v>83.535108609331004</v>
      </c>
      <c r="GD27" s="59">
        <f t="shared" si="26"/>
        <v>309.30581679295079</v>
      </c>
      <c r="GE27" s="59">
        <f ca="1">AVERAGE(OFFSET($GD$3,0,0,'Données projet'!$E$17+1,1))-AVERAGE(OFFSET($H$3,0,0,'Données projet'!$E$17+1,1))</f>
        <v>313.51355235711543</v>
      </c>
      <c r="GF27" s="59">
        <f t="shared" si="50"/>
        <v>186.0840067781198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6.8</v>
      </c>
      <c r="N28" s="13">
        <f>IF('Données projet'!$A$36&gt;35,N27+M28-V27,IF(A28&lt;'Données projet'!$A$36,$K$205^A28,IF(A28='Données projet'!$A$36,'Données projet'!$B$36,N27+M28-V27)))</f>
        <v>79.999999999999986</v>
      </c>
      <c r="O28" s="13">
        <f>N28*VLOOKUP('Données projet'!$B$9,Paramètres!$A$1:$I$89,3,0)*VLOOKUP('Données projet'!$B$9,Paramètres!$A$1:$I$89,5,0)</f>
        <v>81.11999999999999</v>
      </c>
      <c r="P28" s="13">
        <f t="shared" si="33"/>
        <v>22.410807975569174</v>
      </c>
      <c r="Q28" s="20">
        <f t="shared" si="2"/>
        <v>180.3161572241163</v>
      </c>
      <c r="R28" s="59">
        <f t="shared" si="0"/>
        <v>408.35393119044841</v>
      </c>
      <c r="S28" s="59">
        <f ca="1">AVERAGE(OFFSET($R$3,0,0,'Données projet'!$E$9+1,1))-AVERAGE(OFFSET($H$3,0,0,'Données projet'!$E$9+1,1))</f>
        <v>452.67426184967104</v>
      </c>
      <c r="T28" s="59">
        <f t="shared" si="34"/>
        <v>310.47823616327639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6.666666666666667</v>
      </c>
      <c r="AI28" s="13">
        <f>IF('Données projet'!$A$62&gt;35,AI27+AH28-AQ27,IF(A28&lt;'Données projet'!$A$62,$AF$205^A28,IF(A28='Données projet'!$A$62,'Données projet'!$B$62,AI27+AH28-AQ27)))</f>
        <v>82.051282051282044</v>
      </c>
      <c r="AJ28" s="13">
        <f>AI28*VLOOKUP('Données projet'!$B$10,Paramètres!$A$1:$I$89,3,0)*VLOOKUP('Données projet'!$B$10,Paramètres!$A$1:$I$89,5,0)</f>
        <v>85.759999999999991</v>
      </c>
      <c r="AK28" s="13">
        <f t="shared" si="35"/>
        <v>23.539784881211357</v>
      </c>
      <c r="AL28" s="20">
        <f t="shared" si="4"/>
        <v>190.3637920014431</v>
      </c>
      <c r="AM28" s="59">
        <f t="shared" si="5"/>
        <v>418.40156596777524</v>
      </c>
      <c r="AN28" s="59">
        <f ca="1">AVERAGE(OFFSET($AM$3,0,0,'Données projet'!$E$10+1,1))-AVERAGE(OFFSET($H$3,0,0,'Données projet'!$E$10+1,1))</f>
        <v>528.45201982036087</v>
      </c>
      <c r="AO28" s="59">
        <f t="shared" si="36"/>
        <v>321.23004033257985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0.5587584591226985</v>
      </c>
      <c r="AX28" s="21">
        <f t="shared" si="6"/>
        <v>0.5587584591226985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3.3</v>
      </c>
      <c r="BD28" s="12">
        <f>IF('Données projet'!$A$88&gt;35,BD27+BC28-BL27,IF(A28&lt;'Données projet'!$A$88,$BA$205^A28,IF(A28='Données projet'!$A$88,'Données projet'!$B$88,BD27+BC28-BL27)))</f>
        <v>37.5</v>
      </c>
      <c r="BE28" s="13">
        <f>BD28*VLOOKUP('Données projet'!$B$11,Paramètres!$A$1:$I$89,3,0)*VLOOKUP('Données projet'!$B$11,Paramètres!$A$1:$I$89,5,0)</f>
        <v>36.270000000000003</v>
      </c>
      <c r="BF28" s="13">
        <f t="shared" si="37"/>
        <v>11.004448568154203</v>
      </c>
      <c r="BG28" s="20">
        <f t="shared" si="7"/>
        <v>82.336331256201902</v>
      </c>
      <c r="BH28" s="59">
        <f t="shared" si="8"/>
        <v>310.37410522253401</v>
      </c>
      <c r="BI28" s="59">
        <f ca="1">AVERAGE(OFFSET($BH$3,0,0,'Données projet'!$E$11+1,1))-AVERAGE(OFFSET($H$3,0,0,'Données projet'!$E$11+1,1))</f>
        <v>289.06522051625166</v>
      </c>
      <c r="BJ28" s="59">
        <f t="shared" si="38"/>
        <v>173.19148969173838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5.9</v>
      </c>
      <c r="BY28" s="12">
        <f>IF('Données projet'!$A$114&gt;35,BY27+BX28-CG27,IF(A28&lt;'Données projet'!$A$114,$BV$205^A28,IF(A28='Données projet'!$A$114,'Données projet'!$B$114,BY27+BX28-CG27)))</f>
        <v>83.500000000000028</v>
      </c>
      <c r="BZ28" s="13">
        <f>BY28*VLOOKUP('Données projet'!$B$12,Paramètres!$A$1:$I$89,3,0)*VLOOKUP('Données projet'!$B$12,Paramètres!$A$1:$I$89,5,0)</f>
        <v>67.73520000000002</v>
      </c>
      <c r="CA28" s="13">
        <f t="shared" si="39"/>
        <v>19.109955869759471</v>
      </c>
      <c r="CB28" s="20">
        <f t="shared" si="10"/>
        <v>151.25531313983112</v>
      </c>
      <c r="CC28" s="59">
        <f t="shared" si="11"/>
        <v>379.29308710616323</v>
      </c>
      <c r="CD28" s="59">
        <f ca="1">AVERAGE(OFFSET($CC$3,0,0,'Données projet'!$E$12+1,1))-AVERAGE(OFFSET($H$3,0,0,'Données projet'!$E$12+1,1))</f>
        <v>306.06916761900357</v>
      </c>
      <c r="CE28" s="59">
        <f t="shared" si="40"/>
        <v>258.90832875500337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1.0147720791947759</v>
      </c>
      <c r="CN28" s="22">
        <f t="shared" si="12"/>
        <v>1.0147720791947759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6.8</v>
      </c>
      <c r="CT28" s="12">
        <f>IF('Données projet'!$A$140&gt;35,CT27+CS28-DB27,IF(A28&lt;'Données projet'!$A$140,$CQ$205^A28,IF(A28='Données projet'!$A$140,'Données projet'!$B$140,CT27+CS28-DB27)))</f>
        <v>79.999999999999986</v>
      </c>
      <c r="CU28" s="17">
        <f>CT28*VLOOKUP('Données projet'!$B$13,Paramètres!$A$1:$I$89,3,0)*VLOOKUP('Données projet'!$B$13,Paramètres!$A$1:$I$89,5,0)</f>
        <v>53.663999999999987</v>
      </c>
      <c r="CV28" s="13">
        <f t="shared" si="41"/>
        <v>15.556073979202775</v>
      </c>
      <c r="CW28" s="20">
        <f t="shared" si="13"/>
        <v>120.55829551377815</v>
      </c>
      <c r="CX28" s="59">
        <f t="shared" si="14"/>
        <v>348.59606948011026</v>
      </c>
      <c r="CY28" s="59">
        <f ca="1">AVERAGE(OFFSET($CX$3,0,0,'Données projet'!$E$13+1,1))-AVERAGE(OFFSET($H$3,0,0,'Données projet'!$E$13+1,1))</f>
        <v>324.58754156328285</v>
      </c>
      <c r="CZ28" s="59">
        <f t="shared" si="42"/>
        <v>226.01037731977604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0.61536819674247278</v>
      </c>
      <c r="DI28" s="22">
        <f t="shared" si="15"/>
        <v>0.61536819674247278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7.2264102564102561</v>
      </c>
      <c r="DO28" s="12">
        <f>IF('Données projet'!$A$166&gt;35,DO27+DN28-DW27,IF(A28&lt;'Données projet'!$A$166,$DL$205^A28,IF(A28='Données projet'!$A$166,'Données projet'!$B$166,DO27+DN28-DW27)))</f>
        <v>88.451097014195071</v>
      </c>
      <c r="DP28" s="17">
        <f>DO28*VLOOKUP('Données projet'!$B$14,Paramètres!$A$1:$I$89,3,0)*VLOOKUP('Données projet'!$B$14,Paramètres!$A$1:$I$89,5,0)</f>
        <v>41.39511340264329</v>
      </c>
      <c r="DQ28" s="13">
        <f t="shared" si="43"/>
        <v>12.367680831528276</v>
      </c>
      <c r="DR28" s="20">
        <f t="shared" si="16"/>
        <v>93.636866624515463</v>
      </c>
      <c r="DS28" s="59">
        <f t="shared" si="17"/>
        <v>321.67464059084756</v>
      </c>
      <c r="DT28" s="59">
        <f ca="1">AVERAGE(OFFSET($DS$3,0,0,'Données projet'!$E$14+1,1))-AVERAGE(OFFSET($H$3,0,0,'Données projet'!$E$14+1,1))</f>
        <v>325.93182817189722</v>
      </c>
      <c r="DU28" s="59">
        <f t="shared" si="44"/>
        <v>280.04509991782709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12.2</v>
      </c>
      <c r="EJ28" s="12">
        <f>IF('Données projet'!$A$192&gt;35,EJ27+EI28-ER27,IF(A28&lt;'Données projet'!$A$192,$EG$205^A28,IF(A28='Données projet'!$A$192,'Données projet'!$B$192,EJ27+EI28-ER27)))</f>
        <v>113.00000000000001</v>
      </c>
      <c r="EK28" s="17">
        <f>EJ28*VLOOKUP('Données projet'!$B$15,Paramètres!$A$1:$I$89,3,0)*VLOOKUP('Données projet'!$B$15,Paramètres!$A$1:$I$89,5,0)</f>
        <v>89.902800000000013</v>
      </c>
      <c r="EL28" s="13">
        <f t="shared" si="45"/>
        <v>24.541781220398729</v>
      </c>
      <c r="EM28" s="20">
        <f t="shared" si="19"/>
        <v>199.32431229219446</v>
      </c>
      <c r="EN28" s="59">
        <f t="shared" si="20"/>
        <v>427.36208625852657</v>
      </c>
      <c r="EO28" s="59">
        <f ca="1">AVERAGE(OFFSET($EN$3,0,0,'Données projet'!$E$15+1,1))-AVERAGE(OFFSET($H$3,0,0,'Données projet'!$E$15+1,1))</f>
        <v>333.52903437536651</v>
      </c>
      <c r="EP28" s="59">
        <f t="shared" si="46"/>
        <v>359.47288701414777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4.3451708905242192</v>
      </c>
      <c r="EX28" s="21">
        <f>EXP(-LN(2)/2)*EX27+(1-EXP(-LN(2)/2))/(LN(2)/2)*ER28*EU28*VLOOKUP('Données projet'!$B$15,Paramètres!$A$1:$I$89,3,0)*0.475*44/12</f>
        <v>1.4265353651757324</v>
      </c>
      <c r="EY28" s="22">
        <f t="shared" si="21"/>
        <v>5.7717062556999519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12.695384615384615</v>
      </c>
      <c r="FE28" s="12">
        <f>IF('Données projet'!$A$218&gt;35,FE27+FD28-FM27,IF(A28&lt;'Données projet'!$A$218,$FB$205^A28,IF(A28='Données projet'!$A$218,'Données projet'!$B$218,FE27+FD28-FM27)))</f>
        <v>115.32461538461538</v>
      </c>
      <c r="FF28" s="17">
        <f>FE28*VLOOKUP('Données projet'!$B$16,Paramètres!$A$1:$I$89,3,0)*VLOOKUP('Données projet'!$B$16,Paramètres!$A$1:$I$89,5,0)</f>
        <v>68.964120000000008</v>
      </c>
      <c r="FG28" s="13">
        <f t="shared" si="47"/>
        <v>19.415989273317052</v>
      </c>
      <c r="FH28" s="20">
        <f t="shared" si="22"/>
        <v>153.92869031769388</v>
      </c>
      <c r="FI28" s="59">
        <f t="shared" si="23"/>
        <v>381.96646428402596</v>
      </c>
      <c r="FJ28" s="59">
        <f ca="1">AVERAGE(OFFSET($FI$3,0,0,'Données projet'!$E$16+1,1))-AVERAGE(OFFSET($H$3,0,0,'Données projet'!$E$16+1,1))</f>
        <v>313.26988717307376</v>
      </c>
      <c r="FK28" s="59">
        <f t="shared" si="48"/>
        <v>248.17359813993201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3.4516431484659282</v>
      </c>
      <c r="FS28" s="21">
        <f>EXP(-LN(2)/2)*FS27+(1-EXP(-LN(2)/2))/(LN(2)/2)*FM28*FP28*VLOOKUP('Données projet'!$B$16,Paramètres!$A$1:$I$89,3,0)*0.475*44/12</f>
        <v>5.0505946944974269</v>
      </c>
      <c r="FT28" s="22">
        <f t="shared" si="24"/>
        <v>8.5022378429633552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3.3</v>
      </c>
      <c r="FZ28" s="12">
        <f>IF('Données projet'!$A$244&gt;35,FZ27+FY28-GH27,IF(A28&lt;'Données projet'!$A$244,$FW$205^A28,IF(A28='Données projet'!$A$244,'Données projet'!$B$244,FZ27+FY28-GH27)))</f>
        <v>37.5</v>
      </c>
      <c r="GA28" s="17">
        <f>FZ28*VLOOKUP('Données projet'!$B$17,Paramètres!$A$1:$I$89,3,0)*VLOOKUP('Données projet'!$B$17,Paramètres!$A$1:$I$89,5,0)</f>
        <v>40.364999999999995</v>
      </c>
      <c r="GB28" s="13">
        <f t="shared" si="49"/>
        <v>12.095338992592698</v>
      </c>
      <c r="GC28" s="20">
        <f t="shared" si="25"/>
        <v>91.368423745432267</v>
      </c>
      <c r="GD28" s="59">
        <f t="shared" si="26"/>
        <v>319.40619771176438</v>
      </c>
      <c r="GE28" s="59">
        <f ca="1">AVERAGE(OFFSET($GD$3,0,0,'Données projet'!$E$17+1,1))-AVERAGE(OFFSET($H$3,0,0,'Données projet'!$E$17+1,1))</f>
        <v>313.51355235711543</v>
      </c>
      <c r="GF28" s="59">
        <f t="shared" si="50"/>
        <v>186.0840067781198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6.8</v>
      </c>
      <c r="N29" s="13">
        <f>IF('Données projet'!$A$36&gt;35,N28+M29-V28,IF(A29&lt;'Données projet'!$A$36,$K$205^A29,IF(A29='Données projet'!$A$36,'Données projet'!$B$36,N28+M29-V28)))</f>
        <v>86.799999999999983</v>
      </c>
      <c r="O29" s="13">
        <f>N29*VLOOKUP('Données projet'!$B$9,Paramètres!$A$1:$I$89,3,0)*VLOOKUP('Données projet'!$B$9,Paramètres!$A$1:$I$89,5,0)</f>
        <v>88.015199999999979</v>
      </c>
      <c r="P29" s="13">
        <f t="shared" si="33"/>
        <v>24.085919530575829</v>
      </c>
      <c r="Q29" s="20">
        <f t="shared" si="2"/>
        <v>195.24278318241952</v>
      </c>
      <c r="R29" s="59">
        <f t="shared" si="0"/>
        <v>425.5294972316097</v>
      </c>
      <c r="S29" s="59">
        <f ca="1">AVERAGE(OFFSET($R$3,0,0,'Données projet'!$E$9+1,1))-AVERAGE(OFFSET($H$3,0,0,'Données projet'!$E$9+1,1))</f>
        <v>452.67426184967104</v>
      </c>
      <c r="T29" s="59">
        <f t="shared" si="34"/>
        <v>310.47823616327639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6.666666666666667</v>
      </c>
      <c r="AI29" s="13">
        <f>IF('Données projet'!$A$62&gt;35,AI28+AH29-AQ28,IF(A29&lt;'Données projet'!$A$62,$AF$205^A29,IF(A29='Données projet'!$A$62,'Données projet'!$B$62,AI28+AH29-AQ28)))</f>
        <v>88.717948717948715</v>
      </c>
      <c r="AJ29" s="13">
        <f>AI29*VLOOKUP('Données projet'!$B$10,Paramètres!$A$1:$I$89,3,0)*VLOOKUP('Données projet'!$B$10,Paramètres!$A$1:$I$89,5,0)</f>
        <v>92.727999999999994</v>
      </c>
      <c r="AK29" s="13">
        <f t="shared" si="35"/>
        <v>25.222005134647326</v>
      </c>
      <c r="AL29" s="20">
        <f t="shared" si="4"/>
        <v>205.42959227617737</v>
      </c>
      <c r="AM29" s="59">
        <f t="shared" si="5"/>
        <v>435.71630632536755</v>
      </c>
      <c r="AN29" s="59">
        <f ca="1">AVERAGE(OFFSET($AM$3,0,0,'Données projet'!$E$10+1,1))-AVERAGE(OFFSET($H$3,0,0,'Données projet'!$E$10+1,1))</f>
        <v>528.45201982036087</v>
      </c>
      <c r="AO29" s="59">
        <f t="shared" si="36"/>
        <v>321.23004033257985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0.39510189549100644</v>
      </c>
      <c r="AX29" s="21">
        <f t="shared" si="6"/>
        <v>0.39510189549100644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3.3</v>
      </c>
      <c r="BD29" s="12">
        <f>IF('Données projet'!$A$88&gt;35,BD28+BC29-BL28,IF(A29&lt;'Données projet'!$A$88,$BA$205^A29,IF(A29='Données projet'!$A$88,'Données projet'!$B$88,BD28+BC29-BL28)))</f>
        <v>40.799999999999997</v>
      </c>
      <c r="BE29" s="13">
        <f>BD29*VLOOKUP('Données projet'!$B$11,Paramètres!$A$1:$I$89,3,0)*VLOOKUP('Données projet'!$B$11,Paramètres!$A$1:$I$89,5,0)</f>
        <v>39.461759999999998</v>
      </c>
      <c r="BF29" s="13">
        <f t="shared" si="37"/>
        <v>11.855874048851691</v>
      </c>
      <c r="BG29" s="20">
        <f t="shared" si="7"/>
        <v>89.378212635083344</v>
      </c>
      <c r="BH29" s="59">
        <f t="shared" si="8"/>
        <v>319.6649266842735</v>
      </c>
      <c r="BI29" s="59">
        <f ca="1">AVERAGE(OFFSET($BH$3,0,0,'Données projet'!$E$11+1,1))-AVERAGE(OFFSET($H$3,0,0,'Données projet'!$E$11+1,1))</f>
        <v>289.06522051625166</v>
      </c>
      <c r="BJ29" s="59">
        <f t="shared" si="38"/>
        <v>173.19148969173838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5.9</v>
      </c>
      <c r="BY29" s="12">
        <f>IF('Données projet'!$A$114&gt;35,BY28+BX29-CG28,IF(A29&lt;'Données projet'!$A$114,$BV$205^A29,IF(A29='Données projet'!$A$114,'Données projet'!$B$114,BY28+BX29-CG28)))</f>
        <v>89.400000000000034</v>
      </c>
      <c r="BZ29" s="13">
        <f>BY29*VLOOKUP('Données projet'!$B$12,Paramètres!$A$1:$I$89,3,0)*VLOOKUP('Données projet'!$B$12,Paramètres!$A$1:$I$89,5,0)</f>
        <v>72.521280000000033</v>
      </c>
      <c r="CA29" s="13">
        <f t="shared" si="39"/>
        <v>20.298285002427914</v>
      </c>
      <c r="CB29" s="20">
        <f t="shared" si="10"/>
        <v>161.66074237922865</v>
      </c>
      <c r="CC29" s="59">
        <f t="shared" si="11"/>
        <v>391.94745642841883</v>
      </c>
      <c r="CD29" s="59">
        <f ca="1">AVERAGE(OFFSET($CC$3,0,0,'Données projet'!$E$12+1,1))-AVERAGE(OFFSET($H$3,0,0,'Données projet'!$E$12+1,1))</f>
        <v>306.06916761900357</v>
      </c>
      <c r="CE29" s="59">
        <f t="shared" si="40"/>
        <v>258.90832875500337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0.71755221855739826</v>
      </c>
      <c r="CN29" s="22">
        <f t="shared" si="12"/>
        <v>0.71755221855739826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6.8</v>
      </c>
      <c r="CT29" s="12">
        <f>IF('Données projet'!$A$140&gt;35,CT28+CS29-DB28,IF(A29&lt;'Données projet'!$A$140,$CQ$205^A29,IF(A29='Données projet'!$A$140,'Données projet'!$B$140,CT28+CS29-DB28)))</f>
        <v>86.799999999999983</v>
      </c>
      <c r="CU29" s="17">
        <f>CT29*VLOOKUP('Données projet'!$B$13,Paramètres!$A$1:$I$89,3,0)*VLOOKUP('Données projet'!$B$13,Paramètres!$A$1:$I$89,5,0)</f>
        <v>58.225439999999985</v>
      </c>
      <c r="CV29" s="13">
        <f t="shared" si="41"/>
        <v>16.718823635596603</v>
      </c>
      <c r="CW29" s="20">
        <f t="shared" si="13"/>
        <v>130.52792583199741</v>
      </c>
      <c r="CX29" s="59">
        <f t="shared" si="14"/>
        <v>360.81463988118759</v>
      </c>
      <c r="CY29" s="59">
        <f ca="1">AVERAGE(OFFSET($CX$3,0,0,'Données projet'!$E$13+1,1))-AVERAGE(OFFSET($H$3,0,0,'Données projet'!$E$13+1,1))</f>
        <v>324.58754156328285</v>
      </c>
      <c r="CZ29" s="59">
        <f t="shared" si="42"/>
        <v>226.01037731977604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0.43513102484314004</v>
      </c>
      <c r="DI29" s="22">
        <f t="shared" si="15"/>
        <v>0.43513102484314004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7.2264102564102561</v>
      </c>
      <c r="DO29" s="12">
        <f>IF('Données projet'!$A$166&gt;35,DO28+DN29-DW28,IF(A29&lt;'Données projet'!$A$166,$DL$205^A29,IF(A29='Données projet'!$A$166,'Données projet'!$B$166,DO28+DN29-DW28)))</f>
        <v>105.82087604801265</v>
      </c>
      <c r="DP29" s="17">
        <f>DO29*VLOOKUP('Données projet'!$B$14,Paramètres!$A$1:$I$89,3,0)*VLOOKUP('Données projet'!$B$14,Paramètres!$A$1:$I$89,5,0)</f>
        <v>49.524169990469915</v>
      </c>
      <c r="DQ29" s="13">
        <f t="shared" si="43"/>
        <v>14.490806184311312</v>
      </c>
      <c r="DR29" s="20">
        <f t="shared" si="16"/>
        <v>111.4927501710773</v>
      </c>
      <c r="DS29" s="59">
        <f t="shared" si="17"/>
        <v>341.77946422026747</v>
      </c>
      <c r="DT29" s="59">
        <f ca="1">AVERAGE(OFFSET($DS$3,0,0,'Données projet'!$E$14+1,1))-AVERAGE(OFFSET($H$3,0,0,'Données projet'!$E$14+1,1))</f>
        <v>325.93182817189722</v>
      </c>
      <c r="DU29" s="59">
        <f t="shared" si="44"/>
        <v>280.04509991782709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12.2</v>
      </c>
      <c r="EJ29" s="12">
        <f>IF('Données projet'!$A$192&gt;35,EJ28+EI29-ER28,IF(A29&lt;'Données projet'!$A$192,$EG$205^A29,IF(A29='Données projet'!$A$192,'Données projet'!$B$192,EJ28+EI29-ER28)))</f>
        <v>125.20000000000002</v>
      </c>
      <c r="EK29" s="17">
        <f>EJ29*VLOOKUP('Données projet'!$B$15,Paramètres!$A$1:$I$89,3,0)*VLOOKUP('Données projet'!$B$15,Paramètres!$A$1:$I$89,5,0)</f>
        <v>99.609120000000019</v>
      </c>
      <c r="EL29" s="13">
        <f t="shared" si="45"/>
        <v>26.868854563103099</v>
      </c>
      <c r="EM29" s="20">
        <f t="shared" si="19"/>
        <v>220.28247236407125</v>
      </c>
      <c r="EN29" s="59">
        <f t="shared" si="20"/>
        <v>450.56918641326143</v>
      </c>
      <c r="EO29" s="59">
        <f ca="1">AVERAGE(OFFSET($EN$3,0,0,'Données projet'!$E$15+1,1))-AVERAGE(OFFSET($H$3,0,0,'Données projet'!$E$15+1,1))</f>
        <v>333.52903437536651</v>
      </c>
      <c r="EP29" s="59">
        <f t="shared" si="46"/>
        <v>359.47288701414777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4.2263519640202283</v>
      </c>
      <c r="EX29" s="21">
        <f>EXP(-LN(2)/2)*EX28+(1-EXP(-LN(2)/2))/(LN(2)/2)*ER29*EU29*VLOOKUP('Données projet'!$B$15,Paramètres!$A$1:$I$89,3,0)*0.475*44/12</f>
        <v>1.0087128303181883</v>
      </c>
      <c r="EY29" s="22">
        <f t="shared" si="21"/>
        <v>5.2350647943384168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12.695384615384615</v>
      </c>
      <c r="FE29" s="12">
        <f>IF('Données projet'!$A$218&gt;35,FE28+FD29-FM28,IF(A29&lt;'Données projet'!$A$218,$FB$205^A29,IF(A29='Données projet'!$A$218,'Données projet'!$B$218,FE28+FD29-FM28)))</f>
        <v>128.02000000000001</v>
      </c>
      <c r="FF29" s="17">
        <f>FE29*VLOOKUP('Données projet'!$B$16,Paramètres!$A$1:$I$89,3,0)*VLOOKUP('Données projet'!$B$16,Paramètres!$A$1:$I$89,5,0)</f>
        <v>76.555960000000013</v>
      </c>
      <c r="FG29" s="13">
        <f t="shared" si="47"/>
        <v>21.292953972936246</v>
      </c>
      <c r="FH29" s="20">
        <f t="shared" si="22"/>
        <v>170.42019183619729</v>
      </c>
      <c r="FI29" s="59">
        <f t="shared" si="23"/>
        <v>400.70690588538747</v>
      </c>
      <c r="FJ29" s="59">
        <f ca="1">AVERAGE(OFFSET($FI$3,0,0,'Données projet'!$E$16+1,1))-AVERAGE(OFFSET($H$3,0,0,'Données projet'!$E$16+1,1))</f>
        <v>313.26988717307376</v>
      </c>
      <c r="FK29" s="59">
        <f t="shared" si="48"/>
        <v>248.17359813993201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3.357257785057103</v>
      </c>
      <c r="FS29" s="21">
        <f>EXP(-LN(2)/2)*FS28+(1-EXP(-LN(2)/2))/(LN(2)/2)*FM29*FP29*VLOOKUP('Données projet'!$B$16,Paramètres!$A$1:$I$89,3,0)*0.475*44/12</f>
        <v>3.5713097575039301</v>
      </c>
      <c r="FT29" s="22">
        <f t="shared" si="24"/>
        <v>6.9285675425610336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3.3</v>
      </c>
      <c r="FZ29" s="12">
        <f>IF('Données projet'!$A$244&gt;35,FZ28+FY29-GH28,IF(A29&lt;'Données projet'!$A$244,$FW$205^A29,IF(A29='Données projet'!$A$244,'Données projet'!$B$244,FZ28+FY29-GH28)))</f>
        <v>40.799999999999997</v>
      </c>
      <c r="GA29" s="17">
        <f>FZ29*VLOOKUP('Données projet'!$B$17,Paramètres!$A$1:$I$89,3,0)*VLOOKUP('Données projet'!$B$17,Paramètres!$A$1:$I$89,5,0)</f>
        <v>43.917119999999997</v>
      </c>
      <c r="GB29" s="13">
        <f t="shared" si="49"/>
        <v>13.031167785120257</v>
      </c>
      <c r="GC29" s="20">
        <f t="shared" si="25"/>
        <v>99.184934559084454</v>
      </c>
      <c r="GD29" s="59">
        <f t="shared" si="26"/>
        <v>329.47164860827462</v>
      </c>
      <c r="GE29" s="59">
        <f ca="1">AVERAGE(OFFSET($GD$3,0,0,'Données projet'!$E$17+1,1))-AVERAGE(OFFSET($H$3,0,0,'Données projet'!$E$17+1,1))</f>
        <v>313.51355235711543</v>
      </c>
      <c r="GF29" s="59">
        <f t="shared" si="50"/>
        <v>186.0840067781198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6.8</v>
      </c>
      <c r="N30" s="13">
        <f>IF('Données projet'!$A$36&gt;35,N29+M30-V29,IF(A30&lt;'Données projet'!$A$36,$K$205^A30,IF(A30='Données projet'!$A$36,'Données projet'!$B$36,N29+M30-V29)))</f>
        <v>93.59999999999998</v>
      </c>
      <c r="O30" s="13">
        <f>N30*VLOOKUP('Données projet'!$B$9,Paramètres!$A$1:$I$89,3,0)*VLOOKUP('Données projet'!$B$9,Paramètres!$A$1:$I$89,5,0)</f>
        <v>94.910399999999981</v>
      </c>
      <c r="P30" s="13">
        <f t="shared" si="33"/>
        <v>25.745808929754993</v>
      </c>
      <c r="Q30" s="20">
        <f t="shared" si="2"/>
        <v>210.14289721932323</v>
      </c>
      <c r="R30" s="59">
        <f t="shared" si="0"/>
        <v>442.66074009188674</v>
      </c>
      <c r="S30" s="59">
        <f ca="1">AVERAGE(OFFSET($R$3,0,0,'Données projet'!$E$9+1,1))-AVERAGE(OFFSET($H$3,0,0,'Données projet'!$E$9+1,1))</f>
        <v>452.67426184967104</v>
      </c>
      <c r="T30" s="59">
        <f t="shared" si="34"/>
        <v>310.47823616327639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6.666666666666667</v>
      </c>
      <c r="AI30" s="13">
        <f>IF('Données projet'!$A$62&gt;35,AI29+AH30-AQ29,IF(A30&lt;'Données projet'!$A$62,$AF$205^A30,IF(A30='Données projet'!$A$62,'Données projet'!$B$62,AI29+AH30-AQ29)))</f>
        <v>95.384615384615387</v>
      </c>
      <c r="AJ30" s="13">
        <f>AI30*VLOOKUP('Données projet'!$B$10,Paramètres!$A$1:$I$89,3,0)*VLOOKUP('Données projet'!$B$10,Paramètres!$A$1:$I$89,5,0)</f>
        <v>99.696000000000012</v>
      </c>
      <c r="AK30" s="13">
        <f t="shared" si="35"/>
        <v>26.889560912089546</v>
      </c>
      <c r="AL30" s="20">
        <f t="shared" si="4"/>
        <v>220.46985192188933</v>
      </c>
      <c r="AM30" s="59">
        <f t="shared" si="5"/>
        <v>452.98769479445286</v>
      </c>
      <c r="AN30" s="59">
        <f ca="1">AVERAGE(OFFSET($AM$3,0,0,'Données projet'!$E$10+1,1))-AVERAGE(OFFSET($H$3,0,0,'Données projet'!$E$10+1,1))</f>
        <v>528.45201982036087</v>
      </c>
      <c r="AO30" s="59">
        <f t="shared" si="36"/>
        <v>321.23004033257985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0.27937922956134925</v>
      </c>
      <c r="AX30" s="21">
        <f t="shared" si="6"/>
        <v>0.27937922956134925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3.3</v>
      </c>
      <c r="BD30" s="12">
        <f>IF('Données projet'!$A$88&gt;35,BD29+BC30-BL29,IF(A30&lt;'Données projet'!$A$88,$BA$205^A30,IF(A30='Données projet'!$A$88,'Données projet'!$B$88,BD29+BC30-BL29)))</f>
        <v>44.099999999999994</v>
      </c>
      <c r="BE30" s="13">
        <f>BD30*VLOOKUP('Données projet'!$B$11,Paramètres!$A$1:$I$89,3,0)*VLOOKUP('Données projet'!$B$11,Paramètres!$A$1:$I$89,5,0)</f>
        <v>42.653519999999993</v>
      </c>
      <c r="BF30" s="13">
        <f t="shared" si="37"/>
        <v>12.699312037588646</v>
      </c>
      <c r="BG30" s="20">
        <f t="shared" si="7"/>
        <v>96.406182465466884</v>
      </c>
      <c r="BH30" s="59">
        <f t="shared" si="8"/>
        <v>328.92402533803039</v>
      </c>
      <c r="BI30" s="59">
        <f ca="1">AVERAGE(OFFSET($BH$3,0,0,'Données projet'!$E$11+1,1))-AVERAGE(OFFSET($H$3,0,0,'Données projet'!$E$11+1,1))</f>
        <v>289.06522051625166</v>
      </c>
      <c r="BJ30" s="59">
        <f t="shared" si="38"/>
        <v>173.19148969173838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5.9</v>
      </c>
      <c r="BY30" s="12">
        <f>IF('Données projet'!$A$114&gt;35,BY29+BX30-CG29,IF(A30&lt;'Données projet'!$A$114,$BV$205^A30,IF(A30='Données projet'!$A$114,'Données projet'!$B$114,BY29+BX30-CG29)))</f>
        <v>95.30000000000004</v>
      </c>
      <c r="BZ30" s="13">
        <f>BY30*VLOOKUP('Données projet'!$B$12,Paramètres!$A$1:$I$89,3,0)*VLOOKUP('Données projet'!$B$12,Paramètres!$A$1:$I$89,5,0)</f>
        <v>77.307360000000045</v>
      </c>
      <c r="CA30" s="13">
        <f t="shared" si="39"/>
        <v>21.477513535883457</v>
      </c>
      <c r="CB30" s="20">
        <f t="shared" si="10"/>
        <v>172.05032140833043</v>
      </c>
      <c r="CC30" s="59">
        <f t="shared" si="11"/>
        <v>404.56816428089394</v>
      </c>
      <c r="CD30" s="59">
        <f ca="1">AVERAGE(OFFSET($CC$3,0,0,'Données projet'!$E$12+1,1))-AVERAGE(OFFSET($H$3,0,0,'Données projet'!$E$12+1,1))</f>
        <v>306.06916761900357</v>
      </c>
      <c r="CE30" s="59">
        <f t="shared" si="40"/>
        <v>258.90832875500337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0.50738603959738793</v>
      </c>
      <c r="CN30" s="22">
        <f t="shared" si="12"/>
        <v>0.50738603959738793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6.8</v>
      </c>
      <c r="CT30" s="12">
        <f>IF('Données projet'!$A$140&gt;35,CT29+CS30-DB29,IF(A30&lt;'Données projet'!$A$140,$CQ$205^A30,IF(A30='Données projet'!$A$140,'Données projet'!$B$140,CT29+CS30-DB29)))</f>
        <v>93.59999999999998</v>
      </c>
      <c r="CU30" s="17">
        <f>CT30*VLOOKUP('Données projet'!$B$13,Paramètres!$A$1:$I$89,3,0)*VLOOKUP('Données projet'!$B$13,Paramètres!$A$1:$I$89,5,0)</f>
        <v>62.786879999999989</v>
      </c>
      <c r="CV30" s="13">
        <f t="shared" si="41"/>
        <v>17.871007096321183</v>
      </c>
      <c r="CW30" s="20">
        <f t="shared" si="13"/>
        <v>140.47915335942602</v>
      </c>
      <c r="CX30" s="59">
        <f t="shared" si="14"/>
        <v>372.99699623198956</v>
      </c>
      <c r="CY30" s="59">
        <f ca="1">AVERAGE(OFFSET($CX$3,0,0,'Données projet'!$E$13+1,1))-AVERAGE(OFFSET($H$3,0,0,'Données projet'!$E$13+1,1))</f>
        <v>324.58754156328285</v>
      </c>
      <c r="CZ30" s="59">
        <f t="shared" si="42"/>
        <v>226.01037731977604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0.30768409837123639</v>
      </c>
      <c r="DI30" s="22">
        <f t="shared" si="15"/>
        <v>0.30768409837123639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7.2264102564102561</v>
      </c>
      <c r="DO30" s="12">
        <f>IF('Données projet'!$A$166&gt;35,DO29+DN30-DW29,IF(A30&lt;'Données projet'!$A$166,$DL$205^A30,IF(A30='Données projet'!$A$166,'Données projet'!$B$166,DO29+DN30-DW29)))</f>
        <v>126.60168370519743</v>
      </c>
      <c r="DP30" s="17">
        <f>DO30*VLOOKUP('Données projet'!$B$14,Paramètres!$A$1:$I$89,3,0)*VLOOKUP('Données projet'!$B$14,Paramètres!$A$1:$I$89,5,0)</f>
        <v>59.249587974032401</v>
      </c>
      <c r="DQ30" s="13">
        <f t="shared" si="43"/>
        <v>16.97840255838226</v>
      </c>
      <c r="DR30" s="20">
        <f t="shared" si="16"/>
        <v>132.76375017728887</v>
      </c>
      <c r="DS30" s="59">
        <f t="shared" si="17"/>
        <v>365.2815930498524</v>
      </c>
      <c r="DT30" s="59">
        <f ca="1">AVERAGE(OFFSET($DS$3,0,0,'Données projet'!$E$14+1,1))-AVERAGE(OFFSET($H$3,0,0,'Données projet'!$E$14+1,1))</f>
        <v>325.93182817189722</v>
      </c>
      <c r="DU30" s="59">
        <f t="shared" si="44"/>
        <v>280.04509991782709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12.2</v>
      </c>
      <c r="EJ30" s="12">
        <f>IF('Données projet'!$A$192&gt;35,EJ29+EI30-ER29,IF(A30&lt;'Données projet'!$A$192,$EG$205^A30,IF(A30='Données projet'!$A$192,'Données projet'!$B$192,EJ29+EI30-ER29)))</f>
        <v>137.4</v>
      </c>
      <c r="EK30" s="17">
        <f>EJ30*VLOOKUP('Données projet'!$B$15,Paramètres!$A$1:$I$89,3,0)*VLOOKUP('Données projet'!$B$15,Paramètres!$A$1:$I$89,5,0)</f>
        <v>109.31544</v>
      </c>
      <c r="EL30" s="13">
        <f t="shared" si="45"/>
        <v>29.169638343948144</v>
      </c>
      <c r="EM30" s="20">
        <f t="shared" si="19"/>
        <v>241.19484478237635</v>
      </c>
      <c r="EN30" s="59">
        <f t="shared" si="20"/>
        <v>473.71268765493983</v>
      </c>
      <c r="EO30" s="59">
        <f ca="1">AVERAGE(OFFSET($EN$3,0,0,'Données projet'!$E$15+1,1))-AVERAGE(OFFSET($H$3,0,0,'Données projet'!$E$15+1,1))</f>
        <v>333.52903437536651</v>
      </c>
      <c r="EP30" s="59">
        <f t="shared" si="46"/>
        <v>359.47288701414777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4.1107821473099051</v>
      </c>
      <c r="EX30" s="21">
        <f>EXP(-LN(2)/2)*EX29+(1-EXP(-LN(2)/2))/(LN(2)/2)*ER30*EU30*VLOOKUP('Données projet'!$B$15,Paramètres!$A$1:$I$89,3,0)*0.475*44/12</f>
        <v>0.71326768258786621</v>
      </c>
      <c r="EY30" s="22">
        <f t="shared" si="21"/>
        <v>4.8240498298977714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>
        <f>VLOOKUP(A30,'Données projet'!$A$217:$I$237,2,0)</f>
        <v>140.71538461538461</v>
      </c>
      <c r="FC30" s="12">
        <f>VLOOKUP(A30,'Données projet'!$A$217:$I$237,9,0)</f>
        <v>12.695384615384615</v>
      </c>
      <c r="FD30" s="12">
        <f t="array" ref="FD30">INDEX(FC:FC,MIN(IF(ISNUMBER(FC30:FC226),ROW(FC30:FC226),"")))</f>
        <v>12.695384615384615</v>
      </c>
      <c r="FE30" s="12">
        <f>IF('Données projet'!$A$218&gt;35,FE29+FD30-FM29,IF(A30&lt;'Données projet'!$A$218,$FB$205^A30,IF(A30='Données projet'!$A$218,'Données projet'!$B$218,FE29+FD30-FM29)))</f>
        <v>140.71538461538464</v>
      </c>
      <c r="FF30" s="17">
        <f>FE30*VLOOKUP('Données projet'!$B$16,Paramètres!$A$1:$I$89,3,0)*VLOOKUP('Données projet'!$B$16,Paramètres!$A$1:$I$89,5,0)</f>
        <v>84.147800000000018</v>
      </c>
      <c r="FG30" s="13">
        <f t="shared" si="47"/>
        <v>23.148340019013897</v>
      </c>
      <c r="FH30" s="20">
        <f t="shared" si="22"/>
        <v>186.8741105331159</v>
      </c>
      <c r="FI30" s="59">
        <f t="shared" si="23"/>
        <v>419.39195340567937</v>
      </c>
      <c r="FJ30" s="59">
        <f ca="1">AVERAGE(OFFSET($FI$3,0,0,'Données projet'!$E$16+1,1))-AVERAGE(OFFSET($H$3,0,0,'Données projet'!$E$16+1,1))</f>
        <v>313.26988717307376</v>
      </c>
      <c r="FK30" s="59">
        <f t="shared" si="48"/>
        <v>248.17359813993201</v>
      </c>
      <c r="FL30" s="15">
        <f>IF(ISNA(VLOOKUP(A30,'Données projet'!$A$217:$I$237,3,0)),0,VLOOKUP(A30,'Données projet'!$A$217:$I$237,3,0))</f>
        <v>2</v>
      </c>
      <c r="FM30" s="15">
        <f>IF(ISNA(VLOOKUP(A30,'Données projet'!$A$217:$I$237,4,0)),0,VLOOKUP(A30,'Données projet'!$A$217:$I$237,4,0))</f>
        <v>34.646153846153844</v>
      </c>
      <c r="FN30" s="16">
        <f>IF(ISNA(VLOOKUP(A30,'Données projet'!$A$217:$I$237,5,0)),0%,VLOOKUP(A30,'Données projet'!$A$217:$I$237,5,0)*VLOOKUP('Données projet'!$B$16,Paramètres!$A$1:$I$89,7,0))</f>
        <v>9.0000000000000011E-2</v>
      </c>
      <c r="FO30" s="16">
        <f>IF(ISNA(VLOOKUP(A30,'Données projet'!$A$217:$I$237,6,0)),0%,VLOOKUP(A30,'Données projet'!$A$217:$I$237,6,0)*VLOOKUP('Données projet'!$B$16,Paramètres!$A$1:$I$89,7,0))</f>
        <v>0.18000000000000002</v>
      </c>
      <c r="FP30" s="16">
        <f>IF(ISNA(VLOOKUP(A30,'Données projet'!$A$217:$I$237,7,0)),0%,VLOOKUP(A30,'Données projet'!$A$217:$I$237,7,0))</f>
        <v>0.4</v>
      </c>
      <c r="FQ30" s="21">
        <f>EXP(-LN(2)/35)*FQ29+(1-EXP(-LN(2)/35))/(LN(2)/35)*FM30*FN30*VLOOKUP('Données projet'!$B$16,Paramètres!$A$1:$I$89,3,0)*0.475*44/12</f>
        <v>2.4735863712220714</v>
      </c>
      <c r="FR30" s="21">
        <f>EXP(-LN(2)/25)*FR29+(1-EXP(-LN(2)/25))/(LN(2)/25)*Calculateur!FM30*Calculateur!FO30*VLOOKUP('Données projet'!$B$16,Paramètres!$A$1:$I$89,3,0)*0.475*44/12</f>
        <v>8.1931472327107446</v>
      </c>
      <c r="FS30" s="21">
        <f>EXP(-LN(2)/2)*FS29+(1-EXP(-LN(2)/2))/(LN(2)/2)*FM30*FP30*VLOOKUP('Données projet'!$B$16,Paramètres!$A$1:$I$89,3,0)*0.475*44/12</f>
        <v>11.908514000477645</v>
      </c>
      <c r="FT30" s="22">
        <f t="shared" si="24"/>
        <v>22.57524760441046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3.3</v>
      </c>
      <c r="FZ30" s="12">
        <f>IF('Données projet'!$A$244&gt;35,FZ29+FY30-GH29,IF(A30&lt;'Données projet'!$A$244,$FW$205^A30,IF(A30='Données projet'!$A$244,'Données projet'!$B$244,FZ29+FY30-GH29)))</f>
        <v>44.099999999999994</v>
      </c>
      <c r="GA30" s="17">
        <f>FZ30*VLOOKUP('Données projet'!$B$17,Paramètres!$A$1:$I$89,3,0)*VLOOKUP('Données projet'!$B$17,Paramètres!$A$1:$I$89,5,0)</f>
        <v>47.469239999999992</v>
      </c>
      <c r="GB30" s="13">
        <f t="shared" si="49"/>
        <v>13.958217271500395</v>
      </c>
      <c r="GC30" s="20">
        <f t="shared" si="25"/>
        <v>106.98615474786317</v>
      </c>
      <c r="GD30" s="59">
        <f t="shared" si="26"/>
        <v>339.50399762042667</v>
      </c>
      <c r="GE30" s="59">
        <f ca="1">AVERAGE(OFFSET($GD$3,0,0,'Données projet'!$E$17+1,1))-AVERAGE(OFFSET($H$3,0,0,'Données projet'!$E$17+1,1))</f>
        <v>313.51355235711543</v>
      </c>
      <c r="GF30" s="59">
        <f t="shared" si="50"/>
        <v>186.0840067781198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6.8</v>
      </c>
      <c r="N31" s="13">
        <f>IF('Données projet'!$A$36&gt;35,N30+M31-V30,IF(A31&lt;'Données projet'!$A$36,$K$205^A31,IF(A31='Données projet'!$A$36,'Données projet'!$B$36,N30+M31-V30)))</f>
        <v>100.39999999999998</v>
      </c>
      <c r="O31" s="13">
        <f>N31*VLOOKUP('Données projet'!$B$9,Paramètres!$A$1:$I$89,3,0)*VLOOKUP('Données projet'!$B$9,Paramètres!$A$1:$I$89,5,0)</f>
        <v>101.80559999999998</v>
      </c>
      <c r="P31" s="13">
        <f t="shared" si="33"/>
        <v>27.391707821525987</v>
      </c>
      <c r="Q31" s="20">
        <f t="shared" si="2"/>
        <v>225.01864445582441</v>
      </c>
      <c r="R31" s="59">
        <f t="shared" si="0"/>
        <v>459.75011387780853</v>
      </c>
      <c r="S31" s="59">
        <f ca="1">AVERAGE(OFFSET($R$3,0,0,'Données projet'!$E$9+1,1))-AVERAGE(OFFSET($H$3,0,0,'Données projet'!$E$9+1,1))</f>
        <v>452.67426184967104</v>
      </c>
      <c r="T31" s="59">
        <f t="shared" si="34"/>
        <v>310.47823616327639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6.666666666666667</v>
      </c>
      <c r="AI31" s="13">
        <f>IF('Données projet'!$A$62&gt;35,AI30+AH31-AQ30,IF(A31&lt;'Données projet'!$A$62,$AF$205^A31,IF(A31='Données projet'!$A$62,'Données projet'!$B$62,AI30+AH31-AQ30)))</f>
        <v>102.05128205128206</v>
      </c>
      <c r="AJ31" s="13">
        <f>AI31*VLOOKUP('Données projet'!$B$10,Paramètres!$A$1:$I$89,3,0)*VLOOKUP('Données projet'!$B$10,Paramètres!$A$1:$I$89,5,0)</f>
        <v>106.66400000000002</v>
      </c>
      <c r="AK31" s="13">
        <f t="shared" si="35"/>
        <v>28.543593734498138</v>
      </c>
      <c r="AL31" s="20">
        <f t="shared" si="4"/>
        <v>235.48655908758425</v>
      </c>
      <c r="AM31" s="59">
        <f t="shared" si="5"/>
        <v>470.21802850956834</v>
      </c>
      <c r="AN31" s="59">
        <f ca="1">AVERAGE(OFFSET($AM$3,0,0,'Données projet'!$E$10+1,1))-AVERAGE(OFFSET($H$3,0,0,'Données projet'!$E$10+1,1))</f>
        <v>528.45201982036087</v>
      </c>
      <c r="AO31" s="59">
        <f t="shared" si="36"/>
        <v>321.23004033257985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0.19755094774550322</v>
      </c>
      <c r="AX31" s="21">
        <f t="shared" si="6"/>
        <v>0.19755094774550322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3.3</v>
      </c>
      <c r="BD31" s="12">
        <f>IF('Données projet'!$A$88&gt;35,BD30+BC31-BL30,IF(A31&lt;'Données projet'!$A$88,$BA$205^A31,IF(A31='Données projet'!$A$88,'Données projet'!$B$88,BD30+BC31-BL30)))</f>
        <v>47.399999999999991</v>
      </c>
      <c r="BE31" s="13">
        <f>BD31*VLOOKUP('Données projet'!$B$11,Paramètres!$A$1:$I$89,3,0)*VLOOKUP('Données projet'!$B$11,Paramètres!$A$1:$I$89,5,0)</f>
        <v>45.845279999999995</v>
      </c>
      <c r="BF31" s="13">
        <f t="shared" si="37"/>
        <v>13.535428202298318</v>
      </c>
      <c r="BG31" s="20">
        <f t="shared" si="7"/>
        <v>103.4214001190029</v>
      </c>
      <c r="BH31" s="59">
        <f t="shared" si="8"/>
        <v>338.15286954098701</v>
      </c>
      <c r="BI31" s="59">
        <f ca="1">AVERAGE(OFFSET($BH$3,0,0,'Données projet'!$E$11+1,1))-AVERAGE(OFFSET($H$3,0,0,'Données projet'!$E$11+1,1))</f>
        <v>289.06522051625166</v>
      </c>
      <c r="BJ31" s="59">
        <f t="shared" si="38"/>
        <v>173.19148969173838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5.9</v>
      </c>
      <c r="BY31" s="12">
        <f>IF('Données projet'!$A$114&gt;35,BY30+BX31-CG30,IF(A31&lt;'Données projet'!$A$114,$BV$205^A31,IF(A31='Données projet'!$A$114,'Données projet'!$B$114,BY30+BX31-CG30)))</f>
        <v>101.20000000000005</v>
      </c>
      <c r="BZ31" s="13">
        <f>BY31*VLOOKUP('Données projet'!$B$12,Paramètres!$A$1:$I$89,3,0)*VLOOKUP('Données projet'!$B$12,Paramètres!$A$1:$I$89,5,0)</f>
        <v>82.093440000000044</v>
      </c>
      <c r="CA31" s="13">
        <f t="shared" si="39"/>
        <v>22.64826903293481</v>
      </c>
      <c r="CB31" s="20">
        <f t="shared" si="10"/>
        <v>182.42514323236151</v>
      </c>
      <c r="CC31" s="59">
        <f t="shared" si="11"/>
        <v>417.15661265434562</v>
      </c>
      <c r="CD31" s="59">
        <f ca="1">AVERAGE(OFFSET($CC$3,0,0,'Données projet'!$E$12+1,1))-AVERAGE(OFFSET($H$3,0,0,'Données projet'!$E$12+1,1))</f>
        <v>306.06916761900357</v>
      </c>
      <c r="CE31" s="59">
        <f t="shared" si="40"/>
        <v>258.90832875500337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0.35877610927869913</v>
      </c>
      <c r="CN31" s="22">
        <f t="shared" si="12"/>
        <v>0.35877610927869913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6.8</v>
      </c>
      <c r="CT31" s="12">
        <f>IF('Données projet'!$A$140&gt;35,CT30+CS31-DB30,IF(A31&lt;'Données projet'!$A$140,$CQ$205^A31,IF(A31='Données projet'!$A$140,'Données projet'!$B$140,CT30+CS31-DB30)))</f>
        <v>100.39999999999998</v>
      </c>
      <c r="CU31" s="17">
        <f>CT31*VLOOKUP('Données projet'!$B$13,Paramètres!$A$1:$I$89,3,0)*VLOOKUP('Données projet'!$B$13,Paramètres!$A$1:$I$89,5,0)</f>
        <v>67.348319999999987</v>
      </c>
      <c r="CV31" s="13">
        <f t="shared" si="41"/>
        <v>19.013479288782474</v>
      </c>
      <c r="CW31" s="20">
        <f t="shared" si="13"/>
        <v>150.41346709462945</v>
      </c>
      <c r="CX31" s="59">
        <f t="shared" si="14"/>
        <v>385.14493651661354</v>
      </c>
      <c r="CY31" s="59">
        <f ca="1">AVERAGE(OFFSET($CX$3,0,0,'Données projet'!$E$13+1,1))-AVERAGE(OFFSET($H$3,0,0,'Données projet'!$E$13+1,1))</f>
        <v>324.58754156328285</v>
      </c>
      <c r="CZ31" s="59">
        <f t="shared" si="42"/>
        <v>226.01037731977604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0.21756551242157002</v>
      </c>
      <c r="DI31" s="22">
        <f t="shared" si="15"/>
        <v>0.21756551242157002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7.2264102564102561</v>
      </c>
      <c r="DO31" s="12">
        <f>IF('Données projet'!$A$166&gt;35,DO30+DN31-DW30,IF(A31&lt;'Données projet'!$A$166,$DL$205^A31,IF(A31='Données projet'!$A$166,'Données projet'!$B$166,DO30+DN31-DW30)))</f>
        <v>151.46336824615491</v>
      </c>
      <c r="DP31" s="17">
        <f>DO31*VLOOKUP('Données projet'!$B$14,Paramètres!$A$1:$I$89,3,0)*VLOOKUP('Données projet'!$B$14,Paramètres!$A$1:$I$89,5,0)</f>
        <v>70.884856339200496</v>
      </c>
      <c r="DQ31" s="13">
        <f t="shared" si="43"/>
        <v>19.893037679751526</v>
      </c>
      <c r="DR31" s="20">
        <f t="shared" si="16"/>
        <v>158.10483208300809</v>
      </c>
      <c r="DS31" s="59">
        <f t="shared" si="17"/>
        <v>392.83630150499221</v>
      </c>
      <c r="DT31" s="59">
        <f ca="1">AVERAGE(OFFSET($DS$3,0,0,'Données projet'!$E$14+1,1))-AVERAGE(OFFSET($H$3,0,0,'Données projet'!$E$14+1,1))</f>
        <v>325.93182817189722</v>
      </c>
      <c r="DU31" s="59">
        <f t="shared" si="44"/>
        <v>280.04509991782709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12.2</v>
      </c>
      <c r="EJ31" s="12">
        <f>IF('Données projet'!$A$192&gt;35,EJ30+EI31-ER30,IF(A31&lt;'Données projet'!$A$192,$EG$205^A31,IF(A31='Données projet'!$A$192,'Données projet'!$B$192,EJ30+EI31-ER30)))</f>
        <v>149.6</v>
      </c>
      <c r="EK31" s="17">
        <f>EJ31*VLOOKUP('Données projet'!$B$15,Paramètres!$A$1:$I$89,3,0)*VLOOKUP('Données projet'!$B$15,Paramètres!$A$1:$I$89,5,0)</f>
        <v>119.02175999999999</v>
      </c>
      <c r="EL31" s="13">
        <f t="shared" si="45"/>
        <v>31.446732299897718</v>
      </c>
      <c r="EM31" s="20">
        <f t="shared" si="19"/>
        <v>262.06595742232184</v>
      </c>
      <c r="EN31" s="59">
        <f t="shared" si="20"/>
        <v>496.79742684430596</v>
      </c>
      <c r="EO31" s="59">
        <f ca="1">AVERAGE(OFFSET($EN$3,0,0,'Données projet'!$E$15+1,1))-AVERAGE(OFFSET($H$3,0,0,'Données projet'!$E$15+1,1))</f>
        <v>333.52903437536651</v>
      </c>
      <c r="EP31" s="59">
        <f t="shared" si="46"/>
        <v>359.47288701414777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3.9983725933150778</v>
      </c>
      <c r="EX31" s="21">
        <f>EXP(-LN(2)/2)*EX30+(1-EXP(-LN(2)/2))/(LN(2)/2)*ER31*EU31*VLOOKUP('Données projet'!$B$15,Paramètres!$A$1:$I$89,3,0)*0.475*44/12</f>
        <v>0.50435641515909413</v>
      </c>
      <c r="EY31" s="22">
        <f t="shared" si="21"/>
        <v>4.502729008474172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12.97179487179487</v>
      </c>
      <c r="FE31" s="12">
        <f>IF('Données projet'!$A$218&gt;35,FE30+FD31-FM30,IF(A31&lt;'Données projet'!$A$218,$FB$205^A31,IF(A31='Données projet'!$A$218,'Données projet'!$B$218,FE30+FD31-FM30)))</f>
        <v>119.04102564102564</v>
      </c>
      <c r="FF31" s="17">
        <f>FE31*VLOOKUP('Données projet'!$B$16,Paramètres!$A$1:$I$89,3,0)*VLOOKUP('Données projet'!$B$16,Paramètres!$A$1:$I$89,5,0)</f>
        <v>71.18653333333333</v>
      </c>
      <c r="FG31" s="13">
        <f t="shared" si="47"/>
        <v>19.967826748678</v>
      </c>
      <c r="FH31" s="20">
        <f t="shared" si="22"/>
        <v>158.76051047616974</v>
      </c>
      <c r="FI31" s="59">
        <f t="shared" si="23"/>
        <v>393.49197989815383</v>
      </c>
      <c r="FJ31" s="59">
        <f ca="1">AVERAGE(OFFSET($FI$3,0,0,'Données projet'!$E$16+1,1))-AVERAGE(OFFSET($H$3,0,0,'Données projet'!$E$16+1,1))</f>
        <v>313.26988717307376</v>
      </c>
      <c r="FK31" s="59">
        <f t="shared" si="48"/>
        <v>248.17359813993201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2.4250808512211175</v>
      </c>
      <c r="FR31" s="21">
        <f>EXP(-LN(2)/25)*FR30+(1-EXP(-LN(2)/25))/(LN(2)/25)*Calculateur!FM31*Calculateur!FO31*VLOOKUP('Données projet'!$B$16,Paramètres!$A$1:$I$89,3,0)*0.475*44/12</f>
        <v>7.9691051907733819</v>
      </c>
      <c r="FS31" s="21">
        <f>EXP(-LN(2)/2)*FS30+(1-EXP(-LN(2)/2))/(LN(2)/2)*FM31*FP31*VLOOKUP('Données projet'!$B$16,Paramètres!$A$1:$I$89,3,0)*0.475*44/12</f>
        <v>8.4205910035926834</v>
      </c>
      <c r="FT31" s="22">
        <f t="shared" si="24"/>
        <v>18.814777045587185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3.3</v>
      </c>
      <c r="FZ31" s="12">
        <f>IF('Données projet'!$A$244&gt;35,FZ30+FY31-GH30,IF(A31&lt;'Données projet'!$A$244,$FW$205^A31,IF(A31='Données projet'!$A$244,'Données projet'!$B$244,FZ30+FY31-GH30)))</f>
        <v>47.399999999999991</v>
      </c>
      <c r="GA31" s="17">
        <f>FZ31*VLOOKUP('Données projet'!$B$17,Paramètres!$A$1:$I$89,3,0)*VLOOKUP('Données projet'!$B$17,Paramètres!$A$1:$I$89,5,0)</f>
        <v>51.021359999999987</v>
      </c>
      <c r="GB31" s="13">
        <f t="shared" si="49"/>
        <v>14.877219108504411</v>
      </c>
      <c r="GC31" s="20">
        <f t="shared" si="25"/>
        <v>114.77335861397849</v>
      </c>
      <c r="GD31" s="59">
        <f t="shared" si="26"/>
        <v>349.50482803596259</v>
      </c>
      <c r="GE31" s="59">
        <f ca="1">AVERAGE(OFFSET($GD$3,0,0,'Données projet'!$E$17+1,1))-AVERAGE(OFFSET($H$3,0,0,'Données projet'!$E$17+1,1))</f>
        <v>313.51355235711543</v>
      </c>
      <c r="GF31" s="59">
        <f t="shared" si="50"/>
        <v>186.0840067781198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6.8</v>
      </c>
      <c r="N32" s="13">
        <f>IF('Données projet'!$A$36&gt;35,N31+M32-V31,IF(A32&lt;'Données projet'!$A$36,$K$205^A32,IF(A32='Données projet'!$A$36,'Données projet'!$B$36,N31+M32-V31)))</f>
        <v>107.19999999999997</v>
      </c>
      <c r="O32" s="13">
        <f>N32*VLOOKUP('Données projet'!$B$9,Paramètres!$A$1:$I$89,3,0)*VLOOKUP('Données projet'!$B$9,Paramètres!$A$1:$I$89,5,0)</f>
        <v>108.70079999999999</v>
      </c>
      <c r="P32" s="13">
        <f t="shared" si="33"/>
        <v>29.024671575819966</v>
      </c>
      <c r="Q32" s="20">
        <f t="shared" si="2"/>
        <v>239.87186299455308</v>
      </c>
      <c r="R32" s="59">
        <f t="shared" si="0"/>
        <v>476.79976031732895</v>
      </c>
      <c r="S32" s="59">
        <f ca="1">AVERAGE(OFFSET($R$3,0,0,'Données projet'!$E$9+1,1))-AVERAGE(OFFSET($H$3,0,0,'Données projet'!$E$9+1,1))</f>
        <v>452.67426184967104</v>
      </c>
      <c r="T32" s="59">
        <f t="shared" si="34"/>
        <v>310.47823616327639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6.666666666666667</v>
      </c>
      <c r="AI32" s="13">
        <f>IF('Données projet'!$A$62&gt;35,AI31+AH32-AQ31,IF(A32&lt;'Données projet'!$A$62,$AF$205^A32,IF(A32='Données projet'!$A$62,'Données projet'!$B$62,AI31+AH32-AQ31)))</f>
        <v>108.71794871794873</v>
      </c>
      <c r="AJ32" s="13">
        <f>AI32*VLOOKUP('Données projet'!$B$10,Paramètres!$A$1:$I$89,3,0)*VLOOKUP('Données projet'!$B$10,Paramètres!$A$1:$I$89,5,0)</f>
        <v>113.63200000000002</v>
      </c>
      <c r="AK32" s="13">
        <f t="shared" si="35"/>
        <v>30.185087544636399</v>
      </c>
      <c r="AL32" s="20">
        <f t="shared" si="4"/>
        <v>250.48142747357508</v>
      </c>
      <c r="AM32" s="59">
        <f t="shared" si="5"/>
        <v>487.40932479635092</v>
      </c>
      <c r="AN32" s="59">
        <f ca="1">AVERAGE(OFFSET($AM$3,0,0,'Données projet'!$E$10+1,1))-AVERAGE(OFFSET($H$3,0,0,'Données projet'!$E$10+1,1))</f>
        <v>528.45201982036087</v>
      </c>
      <c r="AO32" s="59">
        <f t="shared" si="36"/>
        <v>321.23004033257985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0.13968961478067463</v>
      </c>
      <c r="AX32" s="21">
        <f t="shared" si="6"/>
        <v>0.13968961478067463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3.3</v>
      </c>
      <c r="BD32" s="12">
        <f>IF('Données projet'!$A$88&gt;35,BD31+BC32-BL31,IF(A32&lt;'Données projet'!$A$88,$BA$205^A32,IF(A32='Données projet'!$A$88,'Données projet'!$B$88,BD31+BC32-BL31)))</f>
        <v>50.699999999999989</v>
      </c>
      <c r="BE32" s="13">
        <f>BD32*VLOOKUP('Données projet'!$B$11,Paramètres!$A$1:$I$89,3,0)*VLOOKUP('Données projet'!$B$11,Paramètres!$A$1:$I$89,5,0)</f>
        <v>49.03703999999999</v>
      </c>
      <c r="BF32" s="13">
        <f t="shared" si="37"/>
        <v>14.364790274337482</v>
      </c>
      <c r="BG32" s="20">
        <f t="shared" si="7"/>
        <v>110.42485439447108</v>
      </c>
      <c r="BH32" s="59">
        <f t="shared" si="8"/>
        <v>347.35275171724692</v>
      </c>
      <c r="BI32" s="59">
        <f ca="1">AVERAGE(OFFSET($BH$3,0,0,'Données projet'!$E$11+1,1))-AVERAGE(OFFSET($H$3,0,0,'Données projet'!$E$11+1,1))</f>
        <v>289.06522051625166</v>
      </c>
      <c r="BJ32" s="59">
        <f t="shared" si="38"/>
        <v>173.19148969173838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5.9</v>
      </c>
      <c r="BY32" s="12">
        <f>IF('Données projet'!$A$114&gt;35,BY31+BX32-CG31,IF(A32&lt;'Données projet'!$A$114,$BV$205^A32,IF(A32='Données projet'!$A$114,'Données projet'!$B$114,BY31+BX32-CG31)))</f>
        <v>107.10000000000005</v>
      </c>
      <c r="BZ32" s="13">
        <f>BY32*VLOOKUP('Données projet'!$B$12,Paramètres!$A$1:$I$89,3,0)*VLOOKUP('Données projet'!$B$12,Paramètres!$A$1:$I$89,5,0)</f>
        <v>86.879520000000042</v>
      </c>
      <c r="CA32" s="13">
        <f t="shared" si="39"/>
        <v>23.811101748604674</v>
      </c>
      <c r="CB32" s="20">
        <f t="shared" si="10"/>
        <v>192.78616621215318</v>
      </c>
      <c r="CC32" s="59">
        <f t="shared" si="11"/>
        <v>429.71406353492898</v>
      </c>
      <c r="CD32" s="59">
        <f ca="1">AVERAGE(OFFSET($CC$3,0,0,'Données projet'!$E$12+1,1))-AVERAGE(OFFSET($H$3,0,0,'Données projet'!$E$12+1,1))</f>
        <v>306.06916761900357</v>
      </c>
      <c r="CE32" s="59">
        <f t="shared" si="40"/>
        <v>258.90832875500337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0.25369301979869396</v>
      </c>
      <c r="CN32" s="22">
        <f t="shared" si="12"/>
        <v>0.25369301979869396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6.8</v>
      </c>
      <c r="CT32" s="12">
        <f>IF('Données projet'!$A$140&gt;35,CT31+CS32-DB31,IF(A32&lt;'Données projet'!$A$140,$CQ$205^A32,IF(A32='Données projet'!$A$140,'Données projet'!$B$140,CT31+CS32-DB31)))</f>
        <v>107.19999999999997</v>
      </c>
      <c r="CU32" s="17">
        <f>CT32*VLOOKUP('Données projet'!$B$13,Paramètres!$A$1:$I$89,3,0)*VLOOKUP('Données projet'!$B$13,Paramètres!$A$1:$I$89,5,0)</f>
        <v>71.909759999999991</v>
      </c>
      <c r="CV32" s="13">
        <f t="shared" si="41"/>
        <v>20.146972779728745</v>
      </c>
      <c r="CW32" s="20">
        <f t="shared" si="13"/>
        <v>160.33214292469418</v>
      </c>
      <c r="CX32" s="59">
        <f t="shared" si="14"/>
        <v>397.26004024746999</v>
      </c>
      <c r="CY32" s="59">
        <f ca="1">AVERAGE(OFFSET($CX$3,0,0,'Données projet'!$E$13+1,1))-AVERAGE(OFFSET($H$3,0,0,'Données projet'!$E$13+1,1))</f>
        <v>324.58754156328285</v>
      </c>
      <c r="CZ32" s="59">
        <f t="shared" si="42"/>
        <v>226.01037731977604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0.1538420491856182</v>
      </c>
      <c r="DI32" s="22">
        <f t="shared" si="15"/>
        <v>0.1538420491856182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7.2264102564102561</v>
      </c>
      <c r="DO32" s="12">
        <f>IF('Données projet'!$A$166&gt;35,DO31+DN32-DW31,IF(A32&lt;'Données projet'!$A$166,$DL$205^A32,IF(A32='Données projet'!$A$166,'Données projet'!$B$166,DO31+DN32-DW31)))</f>
        <v>181.20732085910257</v>
      </c>
      <c r="DP32" s="17">
        <f>DO32*VLOOKUP('Données projet'!$B$14,Paramètres!$A$1:$I$89,3,0)*VLOOKUP('Données projet'!$B$14,Paramètres!$A$1:$I$89,5,0)</f>
        <v>84.805026162060003</v>
      </c>
      <c r="DQ32" s="13">
        <f t="shared" si="43"/>
        <v>23.308020101846395</v>
      </c>
      <c r="DR32" s="20">
        <f t="shared" si="16"/>
        <v>188.29688890963698</v>
      </c>
      <c r="DS32" s="59">
        <f t="shared" si="17"/>
        <v>425.22478623241284</v>
      </c>
      <c r="DT32" s="59">
        <f ca="1">AVERAGE(OFFSET($DS$3,0,0,'Données projet'!$E$14+1,1))-AVERAGE(OFFSET($H$3,0,0,'Données projet'!$E$14+1,1))</f>
        <v>325.93182817189722</v>
      </c>
      <c r="DU32" s="59">
        <f t="shared" si="44"/>
        <v>280.04509991782709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12.2</v>
      </c>
      <c r="EJ32" s="12">
        <f>IF('Données projet'!$A$192&gt;35,EJ31+EI32-ER31,IF(A32&lt;'Données projet'!$A$192,$EG$205^A32,IF(A32='Données projet'!$A$192,'Données projet'!$B$192,EJ31+EI32-ER31)))</f>
        <v>161.79999999999998</v>
      </c>
      <c r="EK32" s="17">
        <f>EJ32*VLOOKUP('Données projet'!$B$15,Paramètres!$A$1:$I$89,3,0)*VLOOKUP('Données projet'!$B$15,Paramètres!$A$1:$I$89,5,0)</f>
        <v>128.72807999999998</v>
      </c>
      <c r="EL32" s="13">
        <f t="shared" si="45"/>
        <v>33.702287995285367</v>
      </c>
      <c r="EM32" s="20">
        <f t="shared" si="19"/>
        <v>282.89955759178861</v>
      </c>
      <c r="EN32" s="59">
        <f t="shared" si="20"/>
        <v>519.82745491456444</v>
      </c>
      <c r="EO32" s="59">
        <f ca="1">AVERAGE(OFFSET($EN$3,0,0,'Données projet'!$E$15+1,1))-AVERAGE(OFFSET($H$3,0,0,'Données projet'!$E$15+1,1))</f>
        <v>333.52903437536651</v>
      </c>
      <c r="EP32" s="59">
        <f t="shared" si="46"/>
        <v>359.47288701414777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3.8890368844856007</v>
      </c>
      <c r="EX32" s="21">
        <f>EXP(-LN(2)/2)*EX31+(1-EXP(-LN(2)/2))/(LN(2)/2)*ER32*EU32*VLOOKUP('Données projet'!$B$15,Paramètres!$A$1:$I$89,3,0)*0.475*44/12</f>
        <v>0.35663384129393311</v>
      </c>
      <c r="EY32" s="22">
        <f t="shared" si="21"/>
        <v>4.2456707257795339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12.97179487179487</v>
      </c>
      <c r="FE32" s="12">
        <f>IF('Données projet'!$A$218&gt;35,FE31+FD32-FM31,IF(A32&lt;'Données projet'!$A$218,$FB$205^A32,IF(A32='Données projet'!$A$218,'Données projet'!$B$218,FE31+FD32-FM31)))</f>
        <v>132.0128205128205</v>
      </c>
      <c r="FF32" s="17">
        <f>FE32*VLOOKUP('Données projet'!$B$16,Paramètres!$A$1:$I$89,3,0)*VLOOKUP('Données projet'!$B$16,Paramètres!$A$1:$I$89,5,0)</f>
        <v>78.943666666666658</v>
      </c>
      <c r="FG32" s="13">
        <f t="shared" si="47"/>
        <v>21.878705672057272</v>
      </c>
      <c r="FH32" s="20">
        <f t="shared" si="22"/>
        <v>175.59896515661083</v>
      </c>
      <c r="FI32" s="59">
        <f t="shared" si="23"/>
        <v>412.52686247938664</v>
      </c>
      <c r="FJ32" s="59">
        <f ca="1">AVERAGE(OFFSET($FI$3,0,0,'Données projet'!$E$16+1,1))-AVERAGE(OFFSET($H$3,0,0,'Données projet'!$E$16+1,1))</f>
        <v>313.26988717307376</v>
      </c>
      <c r="FK32" s="59">
        <f t="shared" si="48"/>
        <v>248.17359813993201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2.3775264948819363</v>
      </c>
      <c r="FR32" s="21">
        <f>EXP(-LN(2)/25)*FR31+(1-EXP(-LN(2)/25))/(LN(2)/25)*Calculateur!FM32*Calculateur!FO32*VLOOKUP('Données projet'!$B$16,Paramètres!$A$1:$I$89,3,0)*0.475*44/12</f>
        <v>7.751189590254655</v>
      </c>
      <c r="FS32" s="21">
        <f>EXP(-LN(2)/2)*FS31+(1-EXP(-LN(2)/2))/(LN(2)/2)*FM32*FP32*VLOOKUP('Données projet'!$B$16,Paramètres!$A$1:$I$89,3,0)*0.475*44/12</f>
        <v>5.9542570002388224</v>
      </c>
      <c r="FT32" s="22">
        <f t="shared" si="24"/>
        <v>16.082973085375414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3.3</v>
      </c>
      <c r="FZ32" s="12">
        <f>IF('Données projet'!$A$244&gt;35,FZ31+FY32-GH31,IF(A32&lt;'Données projet'!$A$244,$FW$205^A32,IF(A32='Données projet'!$A$244,'Données projet'!$B$244,FZ31+FY32-GH31)))</f>
        <v>50.699999999999989</v>
      </c>
      <c r="GA32" s="17">
        <f>FZ32*VLOOKUP('Données projet'!$B$17,Paramètres!$A$1:$I$89,3,0)*VLOOKUP('Données projet'!$B$17,Paramètres!$A$1:$I$89,5,0)</f>
        <v>54.573479999999989</v>
      </c>
      <c r="GB32" s="13">
        <f t="shared" si="49"/>
        <v>15.788797307701307</v>
      </c>
      <c r="GC32" s="20">
        <f t="shared" si="25"/>
        <v>122.54763297757977</v>
      </c>
      <c r="GD32" s="59">
        <f t="shared" si="26"/>
        <v>359.47553030035562</v>
      </c>
      <c r="GE32" s="59">
        <f ca="1">AVERAGE(OFFSET($GD$3,0,0,'Données projet'!$E$17+1,1))-AVERAGE(OFFSET($H$3,0,0,'Données projet'!$E$17+1,1))</f>
        <v>313.51355235711543</v>
      </c>
      <c r="GF32" s="59">
        <f t="shared" si="50"/>
        <v>186.0840067781198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114</v>
      </c>
      <c r="L33" s="12">
        <f>VLOOKUP(A33,'Données projet'!$A$35:$I$55,9,0)</f>
        <v>6.8</v>
      </c>
      <c r="M33" s="12">
        <f t="array" ref="M33">INDEX(L:L,MIN(IF(ISNUMBER(L33:L229),ROW(L33:L229),"")))</f>
        <v>6.8</v>
      </c>
      <c r="N33" s="13">
        <f>IF('Données projet'!$A$36&gt;35,N32+M33-V32,IF(A33&lt;'Données projet'!$A$36,$K$205^A33,IF(A33='Données projet'!$A$36,'Données projet'!$B$36,N32+M33-V32)))</f>
        <v>113.99999999999997</v>
      </c>
      <c r="O33" s="13">
        <f>N33*VLOOKUP('Données projet'!$B$9,Paramètres!$A$1:$I$89,3,0)*VLOOKUP('Données projet'!$B$9,Paramètres!$A$1:$I$89,5,0)</f>
        <v>115.59599999999998</v>
      </c>
      <c r="P33" s="13">
        <f t="shared" si="33"/>
        <v>30.645614103483879</v>
      </c>
      <c r="Q33" s="20">
        <f t="shared" si="2"/>
        <v>254.70414456356775</v>
      </c>
      <c r="R33" s="59">
        <f t="shared" si="0"/>
        <v>493.81156949660976</v>
      </c>
      <c r="S33" s="59">
        <f ca="1">AVERAGE(OFFSET($R$3,0,0,'Données projet'!$E$9+1,1))-AVERAGE(OFFSET($H$3,0,0,'Données projet'!$E$9+1,1))</f>
        <v>452.67426184967104</v>
      </c>
      <c r="T33" s="59">
        <f t="shared" si="34"/>
        <v>310.47823616327639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32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115.38461538461539</v>
      </c>
      <c r="AG33" s="12">
        <f>VLOOKUP(A33,'Données projet'!$A$61:$I$81,9,0)</f>
        <v>6.666666666666667</v>
      </c>
      <c r="AH33" s="12">
        <f t="array" ref="AH33">INDEX(AG:AG,MIN(IF(ISNUMBER(AG33:AG229),ROW(AG33:AG229),"")))</f>
        <v>6.666666666666667</v>
      </c>
      <c r="AI33" s="13">
        <f>IF('Données projet'!$A$62&gt;35,AI32+AH33-AQ32,IF(A33&lt;'Données projet'!$A$62,$AF$205^A33,IF(A33='Données projet'!$A$62,'Données projet'!$B$62,AI32+AH33-AQ32)))</f>
        <v>115.3846153846154</v>
      </c>
      <c r="AJ33" s="13">
        <f>AI33*VLOOKUP('Données projet'!$B$10,Paramètres!$A$1:$I$89,3,0)*VLOOKUP('Données projet'!$B$10,Paramètres!$A$1:$I$89,5,0)</f>
        <v>120.60000000000002</v>
      </c>
      <c r="AK33" s="13">
        <f t="shared" si="35"/>
        <v>31.814898793993059</v>
      </c>
      <c r="AL33" s="20">
        <f t="shared" si="4"/>
        <v>265.45594873287126</v>
      </c>
      <c r="AM33" s="59">
        <f t="shared" si="5"/>
        <v>504.56337366591322</v>
      </c>
      <c r="AN33" s="59">
        <f ca="1">AVERAGE(OFFSET($AM$3,0,0,'Données projet'!$E$10+1,1))-AVERAGE(OFFSET($H$3,0,0,'Données projet'!$E$10+1,1))</f>
        <v>528.45201982036087</v>
      </c>
      <c r="AO33" s="59">
        <f t="shared" si="36"/>
        <v>321.23004033257985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17.948717948717949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9.877547387275161E-2</v>
      </c>
      <c r="AX33" s="21">
        <f t="shared" si="6"/>
        <v>9.877547387275161E-2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54</v>
      </c>
      <c r="BB33" s="12">
        <f>VLOOKUP(A33,'Données projet'!$A$87:$I$107,9,0)</f>
        <v>3.3</v>
      </c>
      <c r="BC33" s="12">
        <f t="array" ref="BC33">INDEX(BB:BB,MIN(IF(ISNUMBER(BB33:BB229),ROW(BB33:BB229),"")))</f>
        <v>3.3</v>
      </c>
      <c r="BD33" s="12">
        <f>IF('Données projet'!$A$88&gt;35,BD32+BC33-BL32,IF(A33&lt;'Données projet'!$A$88,$BA$205^A33,IF(A33='Données projet'!$A$88,'Données projet'!$B$88,BD32+BC33-BL32)))</f>
        <v>53.999999999999986</v>
      </c>
      <c r="BE33" s="13">
        <f>BD33*VLOOKUP('Données projet'!$B$11,Paramètres!$A$1:$I$89,3,0)*VLOOKUP('Données projet'!$B$11,Paramètres!$A$1:$I$89,5,0)</f>
        <v>52.228799999999985</v>
      </c>
      <c r="BF33" s="13">
        <f t="shared" si="37"/>
        <v>15.187887899730002</v>
      </c>
      <c r="BG33" s="20">
        <f t="shared" si="7"/>
        <v>117.41739809202973</v>
      </c>
      <c r="BH33" s="59">
        <f t="shared" si="8"/>
        <v>356.52482302507173</v>
      </c>
      <c r="BI33" s="59">
        <f ca="1">AVERAGE(OFFSET($BH$3,0,0,'Données projet'!$E$11+1,1))-AVERAGE(OFFSET($H$3,0,0,'Données projet'!$E$11+1,1))</f>
        <v>289.06522051625166</v>
      </c>
      <c r="BJ33" s="59">
        <f t="shared" si="38"/>
        <v>173.19148969173838</v>
      </c>
      <c r="BK33" s="15">
        <f>IF(ISNA(VLOOKUP(A33,'Données projet'!$A$87:$I$107,3,0)),0,VLOOKUP(A33,'Données projet'!$A$87:$I$107,3,0))</f>
        <v>1</v>
      </c>
      <c r="BL33" s="15">
        <f>IF(ISNA(VLOOKUP(A33,'Données projet'!$A$87:$I$107,4,0)),0,VLOOKUP(A33,'Données projet'!$A$87:$I$107,4,0))</f>
        <v>9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113</v>
      </c>
      <c r="BW33" s="12">
        <f>VLOOKUP(A33,'Données projet'!$A$113:$I$133,9,0)</f>
        <v>5.9</v>
      </c>
      <c r="BX33" s="12">
        <f t="array" ref="BX33">INDEX(BW:BW,MIN(IF(ISNUMBER(BW33:BW229),ROW(BW33:BW229),"")))</f>
        <v>5.9</v>
      </c>
      <c r="BY33" s="12">
        <f>IF('Données projet'!$A$114&gt;35,BY32+BX33-CG32,IF(A33&lt;'Données projet'!$A$114,$BV$205^A33,IF(A33='Données projet'!$A$114,'Données projet'!$B$114,BY32+BX33-CG32)))</f>
        <v>113.00000000000006</v>
      </c>
      <c r="BZ33" s="13">
        <f>BY33*VLOOKUP('Données projet'!$B$12,Paramètres!$A$1:$I$89,3,0)*VLOOKUP('Données projet'!$B$12,Paramètres!$A$1:$I$89,5,0)</f>
        <v>91.665600000000055</v>
      </c>
      <c r="CA33" s="13">
        <f t="shared" si="39"/>
        <v>24.96649788820746</v>
      </c>
      <c r="CB33" s="20">
        <f t="shared" si="10"/>
        <v>203.13423715529476</v>
      </c>
      <c r="CC33" s="59">
        <f t="shared" si="11"/>
        <v>442.24166208833674</v>
      </c>
      <c r="CD33" s="59">
        <f ca="1">AVERAGE(OFFSET($CC$3,0,0,'Données projet'!$E$12+1,1))-AVERAGE(OFFSET($H$3,0,0,'Données projet'!$E$12+1,1))</f>
        <v>306.06916761900357</v>
      </c>
      <c r="CE33" s="59">
        <f t="shared" si="40"/>
        <v>258.90832875500337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21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0.17938805463934956</v>
      </c>
      <c r="CN33" s="22">
        <f t="shared" si="12"/>
        <v>0.17938805463934956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114</v>
      </c>
      <c r="CR33" s="12">
        <f>VLOOKUP(A33,'Données projet'!$A$139:$I$159,9,0)</f>
        <v>6.8</v>
      </c>
      <c r="CS33" s="12">
        <f t="array" ref="CS33">INDEX(CR:CR,MIN(IF(ISNUMBER(CR33:CR229),ROW(CR33:CR229),"")))</f>
        <v>6.8</v>
      </c>
      <c r="CT33" s="12">
        <f>IF('Données projet'!$A$140&gt;35,CT32+CS33-DB32,IF(A33&lt;'Données projet'!$A$140,$CQ$205^A33,IF(A33='Données projet'!$A$140,'Données projet'!$B$140,CT32+CS33-DB32)))</f>
        <v>113.99999999999997</v>
      </c>
      <c r="CU33" s="17">
        <f>CT33*VLOOKUP('Données projet'!$B$13,Paramètres!$A$1:$I$89,3,0)*VLOOKUP('Données projet'!$B$13,Paramètres!$A$1:$I$89,5,0)</f>
        <v>76.471199999999982</v>
      </c>
      <c r="CV33" s="13">
        <f t="shared" si="41"/>
        <v>21.272121944536345</v>
      </c>
      <c r="CW33" s="20">
        <f t="shared" si="13"/>
        <v>170.2362857200674</v>
      </c>
      <c r="CX33" s="59">
        <f t="shared" si="14"/>
        <v>409.34371065310938</v>
      </c>
      <c r="CY33" s="59">
        <f ca="1">AVERAGE(OFFSET($CX$3,0,0,'Données projet'!$E$13+1,1))-AVERAGE(OFFSET($H$3,0,0,'Données projet'!$E$13+1,1))</f>
        <v>324.58754156328285</v>
      </c>
      <c r="CZ33" s="59">
        <f t="shared" si="42"/>
        <v>226.01037731977604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32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0.10878275621078501</v>
      </c>
      <c r="DI33" s="22">
        <f t="shared" si="15"/>
        <v>0.10878275621078501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216.79230769230767</v>
      </c>
      <c r="DM33" s="12">
        <f>VLOOKUP(A33,'Données projet'!$A$165:$I$185,9,0)</f>
        <v>7.2264102564102561</v>
      </c>
      <c r="DN33" s="12">
        <f t="array" ref="DN33">INDEX(DM:DM,MIN(IF(ISNUMBER(DM33:DM229),ROW(DM33:DM229),"")))</f>
        <v>7.2264102564102561</v>
      </c>
      <c r="DO33" s="12">
        <f>IF('Données projet'!$A$166&gt;35,DO32+DN33-DW32,IF(A33&lt;'Données projet'!$A$166,$DL$205^A33,IF(A33='Données projet'!$A$166,'Données projet'!$B$166,DO32+DN33-DW32)))</f>
        <v>216.79230769230767</v>
      </c>
      <c r="DP33" s="17">
        <f>DO33*VLOOKUP('Données projet'!$B$14,Paramètres!$A$1:$I$89,3,0)*VLOOKUP('Données projet'!$B$14,Paramètres!$A$1:$I$89,5,0)</f>
        <v>101.45879999999998</v>
      </c>
      <c r="DQ33" s="13">
        <f t="shared" si="43"/>
        <v>27.309243053465156</v>
      </c>
      <c r="DR33" s="20">
        <f t="shared" si="16"/>
        <v>224.27100831811845</v>
      </c>
      <c r="DS33" s="59">
        <f t="shared" si="17"/>
        <v>463.37843325116046</v>
      </c>
      <c r="DT33" s="59">
        <f ca="1">AVERAGE(OFFSET($DS$3,0,0,'Données projet'!$E$14+1,1))-AVERAGE(OFFSET($H$3,0,0,'Données projet'!$E$14+1,1))</f>
        <v>325.93182817189722</v>
      </c>
      <c r="DU33" s="59">
        <f t="shared" si="44"/>
        <v>280.04509991782709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174</v>
      </c>
      <c r="EH33" s="12">
        <f>VLOOKUP(A33,'Données projet'!$A$191:$I$211,9,0)</f>
        <v>12.2</v>
      </c>
      <c r="EI33" s="12">
        <f t="array" ref="EI33">INDEX(EH:EH,MIN(IF(ISNUMBER(EH33:EH229),ROW(EH33:EH229),"")))</f>
        <v>12.2</v>
      </c>
      <c r="EJ33" s="12">
        <f>IF('Données projet'!$A$192&gt;35,EJ32+EI33-ER32,IF(A33&lt;'Données projet'!$A$192,$EG$205^A33,IF(A33='Données projet'!$A$192,'Données projet'!$B$192,EJ32+EI33-ER32)))</f>
        <v>173.99999999999997</v>
      </c>
      <c r="EK33" s="17">
        <f>EJ33*VLOOKUP('Données projet'!$B$15,Paramètres!$A$1:$I$89,3,0)*VLOOKUP('Données projet'!$B$15,Paramètres!$A$1:$I$89,5,0)</f>
        <v>138.43439999999998</v>
      </c>
      <c r="EL33" s="13">
        <f t="shared" si="45"/>
        <v>35.938114113553581</v>
      </c>
      <c r="EM33" s="20">
        <f t="shared" si="19"/>
        <v>303.69879541443913</v>
      </c>
      <c r="EN33" s="59">
        <f t="shared" si="20"/>
        <v>542.80622034748114</v>
      </c>
      <c r="EO33" s="59">
        <f ca="1">AVERAGE(OFFSET($EN$3,0,0,'Données projet'!$E$15+1,1))-AVERAGE(OFFSET($H$3,0,0,'Données projet'!$E$15+1,1))</f>
        <v>333.52903437536651</v>
      </c>
      <c r="EP33" s="59">
        <f t="shared" si="46"/>
        <v>359.47288701414777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56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3.7826909663637807</v>
      </c>
      <c r="EX33" s="21">
        <f>EXP(-LN(2)/2)*EX32+(1-EXP(-LN(2)/2))/(LN(2)/2)*ER33*EU33*VLOOKUP('Données projet'!$B$15,Paramètres!$A$1:$I$89,3,0)*0.475*44/12</f>
        <v>0.25217820757954706</v>
      </c>
      <c r="EY33" s="22">
        <f t="shared" si="21"/>
        <v>4.0348691739433278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12.97179487179487</v>
      </c>
      <c r="FE33" s="12">
        <f>IF('Données projet'!$A$218&gt;35,FE32+FD33-FM32,IF(A33&lt;'Données projet'!$A$218,$FB$205^A33,IF(A33='Données projet'!$A$218,'Données projet'!$B$218,FE32+FD33-FM32)))</f>
        <v>144.98461538461538</v>
      </c>
      <c r="FF33" s="17">
        <f>FE33*VLOOKUP('Données projet'!$B$16,Paramètres!$A$1:$I$89,3,0)*VLOOKUP('Données projet'!$B$16,Paramètres!$A$1:$I$89,5,0)</f>
        <v>86.700800000000001</v>
      </c>
      <c r="FG33" s="13">
        <f t="shared" si="47"/>
        <v>23.767816195343574</v>
      </c>
      <c r="FH33" s="20">
        <f t="shared" si="22"/>
        <v>192.39950654022337</v>
      </c>
      <c r="FI33" s="59">
        <f t="shared" si="23"/>
        <v>431.50693147326535</v>
      </c>
      <c r="FJ33" s="59">
        <f ca="1">AVERAGE(OFFSET($FI$3,0,0,'Données projet'!$E$16+1,1))-AVERAGE(OFFSET($H$3,0,0,'Données projet'!$E$16+1,1))</f>
        <v>313.26988717307376</v>
      </c>
      <c r="FK33" s="59">
        <f t="shared" si="48"/>
        <v>248.17359813993201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2.3309046504652731</v>
      </c>
      <c r="FR33" s="21">
        <f>EXP(-LN(2)/25)*FR32+(1-EXP(-LN(2)/25))/(LN(2)/25)*Calculateur!FM33*Calculateur!FO33*VLOOKUP('Données projet'!$B$16,Paramètres!$A$1:$I$89,3,0)*0.475*44/12</f>
        <v>7.5392329032917962</v>
      </c>
      <c r="FS33" s="21">
        <f>EXP(-LN(2)/2)*FS32+(1-EXP(-LN(2)/2))/(LN(2)/2)*FM33*FP33*VLOOKUP('Données projet'!$B$16,Paramètres!$A$1:$I$89,3,0)*0.475*44/12</f>
        <v>4.2102955017963417</v>
      </c>
      <c r="FT33" s="22">
        <f t="shared" si="24"/>
        <v>14.08043305555341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54</v>
      </c>
      <c r="FX33" s="12">
        <f>VLOOKUP(A33,'Données projet'!$A$243:$I$263,9,0)</f>
        <v>3.3</v>
      </c>
      <c r="FY33" s="12">
        <f t="array" ref="FY33">INDEX(FX:FX,MIN(IF(ISNUMBER(FX33:FX229),ROW(FX33:FX229),"")))</f>
        <v>3.3</v>
      </c>
      <c r="FZ33" s="12">
        <f>IF('Données projet'!$A$244&gt;35,FZ32+FY33-GH32,IF(A33&lt;'Données projet'!$A$244,$FW$205^A33,IF(A33='Données projet'!$A$244,'Données projet'!$B$244,FZ32+FY33-GH32)))</f>
        <v>53.999999999999986</v>
      </c>
      <c r="GA33" s="17">
        <f>FZ33*VLOOKUP('Données projet'!$B$17,Paramètres!$A$1:$I$89,3,0)*VLOOKUP('Données projet'!$B$17,Paramètres!$A$1:$I$89,5,0)</f>
        <v>58.125599999999977</v>
      </c>
      <c r="GB33" s="13">
        <f t="shared" si="49"/>
        <v>16.693490054590161</v>
      </c>
      <c r="GC33" s="20">
        <f t="shared" si="25"/>
        <v>130.30991517841116</v>
      </c>
      <c r="GD33" s="59">
        <f t="shared" si="26"/>
        <v>369.41734011145314</v>
      </c>
      <c r="GE33" s="59">
        <f ca="1">AVERAGE(OFFSET($GD$3,0,0,'Données projet'!$E$17+1,1))-AVERAGE(OFFSET($H$3,0,0,'Données projet'!$E$17+1,1))</f>
        <v>313.51355235711543</v>
      </c>
      <c r="GF33" s="59">
        <f t="shared" si="50"/>
        <v>186.0840067781198</v>
      </c>
      <c r="GG33" s="15">
        <f>IF(ISNA(VLOOKUP(A33,'Données projet'!$A$243:$I$263,3,0)),0,VLOOKUP(A33,'Données projet'!$A$243:$I$263,3,0))</f>
        <v>1</v>
      </c>
      <c r="GH33" s="15">
        <f>IF(ISNA(VLOOKUP(A33,'Données projet'!$A$243:$I$263,4,0)),0,VLOOKUP(A33,'Données projet'!$A$243:$I$263,4,0))</f>
        <v>9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7.4</v>
      </c>
      <c r="N34" s="13">
        <f>IF('Données projet'!$A$36&gt;35,N33+M34-V33,IF(A34&lt;'Données projet'!$A$36,$K$205^A34,IF(A34='Données projet'!$A$36,'Données projet'!$B$36,N33+M34-V33)))</f>
        <v>89.399999999999977</v>
      </c>
      <c r="O34" s="13">
        <f>N34*VLOOKUP('Données projet'!$B$9,Paramètres!$A$1:$I$89,3,0)*VLOOKUP('Données projet'!$B$9,Paramètres!$A$1:$I$89,5,0)</f>
        <v>90.651599999999974</v>
      </c>
      <c r="P34" s="13">
        <f t="shared" si="33"/>
        <v>24.722309183064368</v>
      </c>
      <c r="Q34" s="20">
        <f t="shared" si="2"/>
        <v>200.94289182717037</v>
      </c>
      <c r="R34" s="59">
        <f t="shared" si="0"/>
        <v>440.99101503998793</v>
      </c>
      <c r="S34" s="59">
        <f ca="1">AVERAGE(OFFSET($R$3,0,0,'Données projet'!$E$9+1,1))-AVERAGE(OFFSET($H$3,0,0,'Données projet'!$E$9+1,1))</f>
        <v>452.67426184967104</v>
      </c>
      <c r="T34" s="59">
        <f t="shared" si="34"/>
        <v>310.47823616327639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6.6666666666666661</v>
      </c>
      <c r="AI34" s="13">
        <f>IF('Données projet'!$A$62&gt;35,AI33+AH34-AQ33,IF(A34&lt;'Données projet'!$A$62,$AF$205^A34,IF(A34='Données projet'!$A$62,'Données projet'!$B$62,AI33+AH34-AQ33)))</f>
        <v>104.10256410256412</v>
      </c>
      <c r="AJ34" s="13">
        <f>AI34*VLOOKUP('Données projet'!$B$10,Paramètres!$A$1:$I$89,3,0)*VLOOKUP('Données projet'!$B$10,Paramètres!$A$1:$I$89,5,0)</f>
        <v>108.80800000000004</v>
      </c>
      <c r="AK34" s="13">
        <f t="shared" si="35"/>
        <v>29.049962234935869</v>
      </c>
      <c r="AL34" s="20">
        <f t="shared" si="4"/>
        <v>240.10261755918</v>
      </c>
      <c r="AM34" s="59">
        <f t="shared" si="5"/>
        <v>480.15074077199756</v>
      </c>
      <c r="AN34" s="59">
        <f ca="1">AVERAGE(OFFSET($AM$3,0,0,'Données projet'!$E$10+1,1))-AVERAGE(OFFSET($H$3,0,0,'Données projet'!$E$10+1,1))</f>
        <v>528.45201982036087</v>
      </c>
      <c r="AO34" s="59">
        <f t="shared" si="36"/>
        <v>321.23004033257985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6.9844807390337313E-2</v>
      </c>
      <c r="AX34" s="21">
        <f t="shared" si="6"/>
        <v>6.9844807390337313E-2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3.8</v>
      </c>
      <c r="BD34" s="12">
        <f>IF('Données projet'!$A$88&gt;35,BD33+BC34-BL33,IF(A34&lt;'Données projet'!$A$88,$BA$205^A34,IF(A34='Données projet'!$A$88,'Données projet'!$B$88,BD33+BC34-BL33)))</f>
        <v>48.799999999999983</v>
      </c>
      <c r="BE34" s="13">
        <f>BD34*VLOOKUP('Données projet'!$B$11,Paramètres!$A$1:$I$89,3,0)*VLOOKUP('Données projet'!$B$11,Paramètres!$A$1:$I$89,5,0)</f>
        <v>47.199359999999984</v>
      </c>
      <c r="BF34" s="13">
        <f t="shared" si="37"/>
        <v>13.888073668781496</v>
      </c>
      <c r="BG34" s="20">
        <f t="shared" si="7"/>
        <v>106.39394697312774</v>
      </c>
      <c r="BH34" s="59">
        <f t="shared" si="8"/>
        <v>346.44207018594528</v>
      </c>
      <c r="BI34" s="59">
        <f ca="1">AVERAGE(OFFSET($BH$3,0,0,'Données projet'!$E$11+1,1))-AVERAGE(OFFSET($H$3,0,0,'Données projet'!$E$11+1,1))</f>
        <v>289.06522051625166</v>
      </c>
      <c r="BJ34" s="59">
        <f t="shared" si="38"/>
        <v>173.19148969173838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5.9</v>
      </c>
      <c r="BY34" s="12">
        <f>IF('Données projet'!$A$114&gt;35,BY33+BX34-CG33,IF(A34&lt;'Données projet'!$A$114,$BV$205^A34,IF(A34='Données projet'!$A$114,'Données projet'!$B$114,BY33+BX34-CG33)))</f>
        <v>97.900000000000063</v>
      </c>
      <c r="BZ34" s="13">
        <f>BY34*VLOOKUP('Données projet'!$B$12,Paramètres!$A$1:$I$89,3,0)*VLOOKUP('Données projet'!$B$12,Paramètres!$A$1:$I$89,5,0)</f>
        <v>79.416480000000064</v>
      </c>
      <c r="CA34" s="13">
        <f t="shared" si="39"/>
        <v>21.994449723564511</v>
      </c>
      <c r="CB34" s="20">
        <f t="shared" si="10"/>
        <v>176.6240359352083</v>
      </c>
      <c r="CC34" s="59">
        <f t="shared" si="11"/>
        <v>416.67215914802586</v>
      </c>
      <c r="CD34" s="59">
        <f ca="1">AVERAGE(OFFSET($CC$3,0,0,'Données projet'!$E$12+1,1))-AVERAGE(OFFSET($H$3,0,0,'Données projet'!$E$12+1,1))</f>
        <v>306.06916761900357</v>
      </c>
      <c r="CE34" s="59">
        <f t="shared" si="40"/>
        <v>258.90832875500337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0.12684650989934698</v>
      </c>
      <c r="CN34" s="22">
        <f t="shared" si="12"/>
        <v>0.12684650989934698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7.4</v>
      </c>
      <c r="CT34" s="12">
        <f>IF('Données projet'!$A$140&gt;35,CT33+CS34-DB33,IF(A34&lt;'Données projet'!$A$140,$CQ$205^A34,IF(A34='Données projet'!$A$140,'Données projet'!$B$140,CT33+CS34-DB33)))</f>
        <v>89.399999999999977</v>
      </c>
      <c r="CU34" s="17">
        <f>CT34*VLOOKUP('Données projet'!$B$13,Paramètres!$A$1:$I$89,3,0)*VLOOKUP('Données projet'!$B$13,Paramètres!$A$1:$I$89,5,0)</f>
        <v>59.969519999999989</v>
      </c>
      <c r="CV34" s="13">
        <f t="shared" si="41"/>
        <v>17.160562484303114</v>
      </c>
      <c r="CW34" s="20">
        <f t="shared" si="13"/>
        <v>134.33489366016121</v>
      </c>
      <c r="CX34" s="59">
        <f t="shared" si="14"/>
        <v>374.38301687297877</v>
      </c>
      <c r="CY34" s="59">
        <f ca="1">AVERAGE(OFFSET($CX$3,0,0,'Données projet'!$E$13+1,1))-AVERAGE(OFFSET($H$3,0,0,'Données projet'!$E$13+1,1))</f>
        <v>324.58754156328285</v>
      </c>
      <c r="CZ34" s="59">
        <f t="shared" si="42"/>
        <v>226.01037731977604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7.6921024592809098E-2</v>
      </c>
      <c r="DI34" s="22">
        <f t="shared" si="15"/>
        <v>7.6921024592809098E-2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16.131410256410259</v>
      </c>
      <c r="DO34" s="12">
        <f>IF('Données projet'!$A$166&gt;35,DO33+DN34-DW33,IF(A34&lt;'Données projet'!$A$166,$DL$205^A34,IF(A34='Données projet'!$A$166,'Données projet'!$B$166,DO33+DN34-DW33)))</f>
        <v>232.92371794871792</v>
      </c>
      <c r="DP34" s="17">
        <f>DO34*VLOOKUP('Données projet'!$B$14,Paramètres!$A$1:$I$89,3,0)*VLOOKUP('Données projet'!$B$14,Paramètres!$A$1:$I$89,5,0)</f>
        <v>109.00829999999998</v>
      </c>
      <c r="DQ34" s="13">
        <f t="shared" si="43"/>
        <v>29.097209307093255</v>
      </c>
      <c r="DR34" s="20">
        <f t="shared" si="16"/>
        <v>240.53376204318738</v>
      </c>
      <c r="DS34" s="59">
        <f t="shared" si="17"/>
        <v>480.58188525600497</v>
      </c>
      <c r="DT34" s="59">
        <f ca="1">AVERAGE(OFFSET($DS$3,0,0,'Données projet'!$E$14+1,1))-AVERAGE(OFFSET($H$3,0,0,'Données projet'!$E$14+1,1))</f>
        <v>325.93182817189722</v>
      </c>
      <c r="DU34" s="59">
        <f t="shared" si="44"/>
        <v>280.04509991782709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10.199999999999999</v>
      </c>
      <c r="EJ34" s="12">
        <f>IF('Données projet'!$A$192&gt;35,EJ33+EI34-ER33,IF(A34&lt;'Données projet'!$A$192,$EG$205^A34,IF(A34='Données projet'!$A$192,'Données projet'!$B$192,EJ33+EI34-ER33)))</f>
        <v>128.19999999999996</v>
      </c>
      <c r="EK34" s="17">
        <f>EJ34*VLOOKUP('Données projet'!$B$15,Paramètres!$A$1:$I$89,3,0)*VLOOKUP('Données projet'!$B$15,Paramètres!$A$1:$I$89,5,0)</f>
        <v>101.99591999999997</v>
      </c>
      <c r="EL34" s="13">
        <f t="shared" si="45"/>
        <v>27.436949671708501</v>
      </c>
      <c r="EM34" s="20">
        <f t="shared" si="19"/>
        <v>225.42891467822554</v>
      </c>
      <c r="EN34" s="59">
        <f t="shared" si="20"/>
        <v>465.4770378910431</v>
      </c>
      <c r="EO34" s="59">
        <f ca="1">AVERAGE(OFFSET($EN$3,0,0,'Données projet'!$E$15+1,1))-AVERAGE(OFFSET($H$3,0,0,'Données projet'!$E$15+1,1))</f>
        <v>333.52903437536651</v>
      </c>
      <c r="EP34" s="59">
        <f t="shared" si="46"/>
        <v>359.47288701414777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3.6792530829654906</v>
      </c>
      <c r="EX34" s="21">
        <f>EXP(-LN(2)/2)*EX33+(1-EXP(-LN(2)/2))/(LN(2)/2)*ER34*EU34*VLOOKUP('Données projet'!$B$15,Paramètres!$A$1:$I$89,3,0)*0.475*44/12</f>
        <v>0.17831692064696655</v>
      </c>
      <c r="EY34" s="22">
        <f t="shared" si="21"/>
        <v>3.8575700036124569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12.97179487179487</v>
      </c>
      <c r="FE34" s="12">
        <f>IF('Données projet'!$A$218&gt;35,FE33+FD34-FM33,IF(A34&lt;'Données projet'!$A$218,$FB$205^A34,IF(A34='Données projet'!$A$218,'Données projet'!$B$218,FE33+FD34-FM33)))</f>
        <v>157.95641025641027</v>
      </c>
      <c r="FF34" s="17">
        <f>FE34*VLOOKUP('Données projet'!$B$16,Paramètres!$A$1:$I$89,3,0)*VLOOKUP('Données projet'!$B$16,Paramètres!$A$1:$I$89,5,0)</f>
        <v>94.457933333333344</v>
      </c>
      <c r="FG34" s="13">
        <f t="shared" si="47"/>
        <v>25.637327417415943</v>
      </c>
      <c r="FH34" s="20">
        <f t="shared" si="22"/>
        <v>209.16591247422164</v>
      </c>
      <c r="FI34" s="59">
        <f t="shared" si="23"/>
        <v>449.2140356870392</v>
      </c>
      <c r="FJ34" s="59">
        <f ca="1">AVERAGE(OFFSET($FI$3,0,0,'Données projet'!$E$16+1,1))-AVERAGE(OFFSET($H$3,0,0,'Données projet'!$E$16+1,1))</f>
        <v>313.26988717307376</v>
      </c>
      <c r="FK34" s="59">
        <f t="shared" si="48"/>
        <v>248.17359813993201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2.2851970319811037</v>
      </c>
      <c r="FR34" s="21">
        <f>EXP(-LN(2)/25)*FR33+(1-EXP(-LN(2)/25))/(LN(2)/25)*Calculateur!FM34*Calculateur!FO34*VLOOKUP('Données projet'!$B$16,Paramètres!$A$1:$I$89,3,0)*0.475*44/12</f>
        <v>7.3330721830802545</v>
      </c>
      <c r="FS34" s="21">
        <f>EXP(-LN(2)/2)*FS33+(1-EXP(-LN(2)/2))/(LN(2)/2)*FM34*FP34*VLOOKUP('Données projet'!$B$16,Paramètres!$A$1:$I$89,3,0)*0.475*44/12</f>
        <v>2.9771285001194112</v>
      </c>
      <c r="FT34" s="22">
        <f t="shared" si="24"/>
        <v>12.59539771518077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3.8</v>
      </c>
      <c r="FZ34" s="12">
        <f>IF('Données projet'!$A$244&gt;35,FZ33+FY34-GH33,IF(A34&lt;'Données projet'!$A$244,$FW$205^A34,IF(A34='Données projet'!$A$244,'Données projet'!$B$244,FZ33+FY34-GH33)))</f>
        <v>48.799999999999983</v>
      </c>
      <c r="GA34" s="17">
        <f>FZ34*VLOOKUP('Données projet'!$B$17,Paramètres!$A$1:$I$89,3,0)*VLOOKUP('Données projet'!$B$17,Paramètres!$A$1:$I$89,5,0)</f>
        <v>52.528319999999972</v>
      </c>
      <c r="GB34" s="13">
        <f t="shared" si="49"/>
        <v>15.264822942980825</v>
      </c>
      <c r="GC34" s="20">
        <f t="shared" si="25"/>
        <v>118.07305729235821</v>
      </c>
      <c r="GD34" s="59">
        <f t="shared" si="26"/>
        <v>358.12118050517574</v>
      </c>
      <c r="GE34" s="59">
        <f ca="1">AVERAGE(OFFSET($GD$3,0,0,'Données projet'!$E$17+1,1))-AVERAGE(OFFSET($H$3,0,0,'Données projet'!$E$17+1,1))</f>
        <v>313.51355235711543</v>
      </c>
      <c r="GF34" s="59">
        <f t="shared" si="50"/>
        <v>186.0840067781198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7.4</v>
      </c>
      <c r="N35" s="13">
        <f>IF('Données projet'!$A$36&gt;35,N34+M35-V34,IF(A35&lt;'Données projet'!$A$36,$K$205^A35,IF(A35='Données projet'!$A$36,'Données projet'!$B$36,N34+M35-V34)))</f>
        <v>96.799999999999983</v>
      </c>
      <c r="O35" s="13">
        <f>N35*VLOOKUP('Données projet'!$B$9,Paramètres!$A$1:$I$89,3,0)*VLOOKUP('Données projet'!$B$9,Paramètres!$A$1:$I$89,5,0)</f>
        <v>98.155199999999994</v>
      </c>
      <c r="P35" s="13">
        <f t="shared" si="33"/>
        <v>26.522024238465775</v>
      </c>
      <c r="Q35" s="20">
        <f t="shared" ref="Q35:Q66" si="53">(O35+P35)*0.475*44/12</f>
        <v>217.1461655486612</v>
      </c>
      <c r="R35" s="59">
        <f t="shared" si="0"/>
        <v>458.11866802918655</v>
      </c>
      <c r="S35" s="59">
        <f ca="1">AVERAGE(OFFSET($R$3,0,0,'Données projet'!$E$9+1,1))-AVERAGE(OFFSET($H$3,0,0,'Données projet'!$E$9+1,1))</f>
        <v>452.67426184967104</v>
      </c>
      <c r="T35" s="59">
        <f t="shared" si="34"/>
        <v>310.47823616327639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6.6666666666666661</v>
      </c>
      <c r="AI35" s="13">
        <f>IF('Données projet'!$A$62&gt;35,AI34+AH35-AQ34,IF(A35&lt;'Données projet'!$A$62,$AF$205^A35,IF(A35='Données projet'!$A$62,'Données projet'!$B$62,AI34+AH35-AQ34)))</f>
        <v>110.76923076923079</v>
      </c>
      <c r="AJ35" s="13">
        <f>AI35*VLOOKUP('Données projet'!$B$10,Paramètres!$A$1:$I$89,3,0)*VLOOKUP('Données projet'!$B$10,Paramètres!$A$1:$I$89,5,0)</f>
        <v>115.77600000000004</v>
      </c>
      <c r="AK35" s="13">
        <f t="shared" si="35"/>
        <v>30.687775442678031</v>
      </c>
      <c r="AL35" s="20">
        <f t="shared" si="4"/>
        <v>255.09107556266432</v>
      </c>
      <c r="AM35" s="59">
        <f t="shared" si="5"/>
        <v>496.06357804318964</v>
      </c>
      <c r="AN35" s="59">
        <f ca="1">AVERAGE(OFFSET($AM$3,0,0,'Données projet'!$E$10+1,1))-AVERAGE(OFFSET($H$3,0,0,'Données projet'!$E$10+1,1))</f>
        <v>528.45201982036087</v>
      </c>
      <c r="AO35" s="59">
        <f t="shared" si="36"/>
        <v>321.23004033257985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4.9387736936375805E-2</v>
      </c>
      <c r="AX35" s="21">
        <f t="shared" si="6"/>
        <v>4.9387736936375805E-2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3.8</v>
      </c>
      <c r="BD35" s="12">
        <f>IF('Données projet'!$A$88&gt;35,BD34+BC35-BL34,IF(A35&lt;'Données projet'!$A$88,$BA$205^A35,IF(A35='Données projet'!$A$88,'Données projet'!$B$88,BD34+BC35-BL34)))</f>
        <v>52.59999999999998</v>
      </c>
      <c r="BE35" s="13">
        <f>BD35*VLOOKUP('Données projet'!$B$11,Paramètres!$A$1:$I$89,3,0)*VLOOKUP('Données projet'!$B$11,Paramètres!$A$1:$I$89,5,0)</f>
        <v>50.874719999999982</v>
      </c>
      <c r="BF35" s="13">
        <f t="shared" si="37"/>
        <v>14.839431395809038</v>
      </c>
      <c r="BG35" s="20">
        <f t="shared" si="7"/>
        <v>114.45214701436738</v>
      </c>
      <c r="BH35" s="59">
        <f t="shared" si="8"/>
        <v>355.42464949489272</v>
      </c>
      <c r="BI35" s="59">
        <f ca="1">AVERAGE(OFFSET($BH$3,0,0,'Données projet'!$E$11+1,1))-AVERAGE(OFFSET($H$3,0,0,'Données projet'!$E$11+1,1))</f>
        <v>289.06522051625166</v>
      </c>
      <c r="BJ35" s="59">
        <f t="shared" si="38"/>
        <v>173.19148969173838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5.9</v>
      </c>
      <c r="BY35" s="12">
        <f>IF('Données projet'!$A$114&gt;35,BY34+BX35-CG34,IF(A35&lt;'Données projet'!$A$114,$BV$205^A35,IF(A35='Données projet'!$A$114,'Données projet'!$B$114,BY34+BX35-CG34)))</f>
        <v>103.80000000000007</v>
      </c>
      <c r="BZ35" s="13">
        <f>BY35*VLOOKUP('Données projet'!$B$12,Paramètres!$A$1:$I$89,3,0)*VLOOKUP('Données projet'!$B$12,Paramètres!$A$1:$I$89,5,0)</f>
        <v>84.202560000000062</v>
      </c>
      <c r="CA35" s="13">
        <f t="shared" si="39"/>
        <v>23.16165007213192</v>
      </c>
      <c r="CB35" s="20">
        <f t="shared" si="10"/>
        <v>186.99266587562985</v>
      </c>
      <c r="CC35" s="59">
        <f t="shared" si="11"/>
        <v>427.96516835615517</v>
      </c>
      <c r="CD35" s="59">
        <f ca="1">AVERAGE(OFFSET($CC$3,0,0,'Données projet'!$E$12+1,1))-AVERAGE(OFFSET($H$3,0,0,'Données projet'!$E$12+1,1))</f>
        <v>306.06916761900357</v>
      </c>
      <c r="CE35" s="59">
        <f t="shared" si="40"/>
        <v>258.90832875500337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8.9694027319674782E-2</v>
      </c>
      <c r="CN35" s="22">
        <f t="shared" si="12"/>
        <v>8.9694027319674782E-2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7.4</v>
      </c>
      <c r="CT35" s="12">
        <f>IF('Données projet'!$A$140&gt;35,CT34+CS35-DB34,IF(A35&lt;'Données projet'!$A$140,$CQ$205^A35,IF(A35='Données projet'!$A$140,'Données projet'!$B$140,CT34+CS35-DB34)))</f>
        <v>96.799999999999983</v>
      </c>
      <c r="CU35" s="17">
        <f>CT35*VLOOKUP('Données projet'!$B$13,Paramètres!$A$1:$I$89,3,0)*VLOOKUP('Données projet'!$B$13,Paramètres!$A$1:$I$89,5,0)</f>
        <v>64.93343999999999</v>
      </c>
      <c r="CV35" s="13">
        <f t="shared" si="41"/>
        <v>18.409803501129879</v>
      </c>
      <c r="CW35" s="20">
        <f t="shared" si="13"/>
        <v>145.15614909780118</v>
      </c>
      <c r="CX35" s="59">
        <f t="shared" si="14"/>
        <v>386.12865157832653</v>
      </c>
      <c r="CY35" s="59">
        <f ca="1">AVERAGE(OFFSET($CX$3,0,0,'Données projet'!$E$13+1,1))-AVERAGE(OFFSET($H$3,0,0,'Données projet'!$E$13+1,1))</f>
        <v>324.58754156328285</v>
      </c>
      <c r="CZ35" s="59">
        <f t="shared" si="42"/>
        <v>226.01037731977604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5.4391378105392504E-2</v>
      </c>
      <c r="DI35" s="22">
        <f t="shared" si="15"/>
        <v>5.4391378105392504E-2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16.131410256410259</v>
      </c>
      <c r="DO35" s="12">
        <f>IF('Données projet'!$A$166&gt;35,DO34+DN35-DW34,IF(A35&lt;'Données projet'!$A$166,$DL$205^A35,IF(A35='Données projet'!$A$166,'Données projet'!$B$166,DO34+DN35-DW34)))</f>
        <v>249.05512820512817</v>
      </c>
      <c r="DP35" s="17">
        <f>DO35*VLOOKUP('Données projet'!$B$14,Paramètres!$A$1:$I$89,3,0)*VLOOKUP('Données projet'!$B$14,Paramètres!$A$1:$I$89,5,0)</f>
        <v>116.55779999999997</v>
      </c>
      <c r="DQ35" s="13">
        <f t="shared" si="43"/>
        <v>30.870807833785406</v>
      </c>
      <c r="DR35" s="20">
        <f t="shared" si="16"/>
        <v>256.7714919771762</v>
      </c>
      <c r="DS35" s="59">
        <f t="shared" si="17"/>
        <v>497.74399445770155</v>
      </c>
      <c r="DT35" s="59">
        <f ca="1">AVERAGE(OFFSET($DS$3,0,0,'Données projet'!$E$14+1,1))-AVERAGE(OFFSET($H$3,0,0,'Données projet'!$E$14+1,1))</f>
        <v>325.93182817189722</v>
      </c>
      <c r="DU35" s="59">
        <f t="shared" si="44"/>
        <v>280.04509991782709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10.199999999999999</v>
      </c>
      <c r="EJ35" s="12">
        <f>IF('Données projet'!$A$192&gt;35,EJ34+EI35-ER34,IF(A35&lt;'Données projet'!$A$192,$EG$205^A35,IF(A35='Données projet'!$A$192,'Données projet'!$B$192,EJ34+EI35-ER34)))</f>
        <v>138.39999999999995</v>
      </c>
      <c r="EK35" s="17">
        <f>EJ35*VLOOKUP('Données projet'!$B$15,Paramètres!$A$1:$I$89,3,0)*VLOOKUP('Données projet'!$B$15,Paramètres!$A$1:$I$89,5,0)</f>
        <v>110.11103999999996</v>
      </c>
      <c r="EL35" s="13">
        <f t="shared" si="45"/>
        <v>29.357144926198423</v>
      </c>
      <c r="EM35" s="20">
        <f t="shared" si="19"/>
        <v>242.90708874646216</v>
      </c>
      <c r="EN35" s="59">
        <f t="shared" si="20"/>
        <v>483.87959122698749</v>
      </c>
      <c r="EO35" s="59">
        <f ca="1">AVERAGE(OFFSET($EN$3,0,0,'Données projet'!$E$15+1,1))-AVERAGE(OFFSET($H$3,0,0,'Données projet'!$E$15+1,1))</f>
        <v>333.52903437536651</v>
      </c>
      <c r="EP35" s="59">
        <f t="shared" si="46"/>
        <v>359.47288701414777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3.5786437139282885</v>
      </c>
      <c r="EX35" s="21">
        <f>EXP(-LN(2)/2)*EX34+(1-EXP(-LN(2)/2))/(LN(2)/2)*ER35*EU35*VLOOKUP('Données projet'!$B$15,Paramètres!$A$1:$I$89,3,0)*0.475*44/12</f>
        <v>0.12608910378977353</v>
      </c>
      <c r="EY35" s="22">
        <f t="shared" si="21"/>
        <v>3.7047328177180621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12.97179487179487</v>
      </c>
      <c r="FE35" s="12">
        <f>IF('Données projet'!$A$218&gt;35,FE34+FD35-FM34,IF(A35&lt;'Données projet'!$A$218,$FB$205^A35,IF(A35='Données projet'!$A$218,'Données projet'!$B$218,FE34+FD35-FM34)))</f>
        <v>170.92820512820515</v>
      </c>
      <c r="FF35" s="17">
        <f>FE35*VLOOKUP('Données projet'!$B$16,Paramètres!$A$1:$I$89,3,0)*VLOOKUP('Données projet'!$B$16,Paramètres!$A$1:$I$89,5,0)</f>
        <v>102.21506666666667</v>
      </c>
      <c r="FG35" s="13">
        <f t="shared" si="47"/>
        <v>27.489031873505194</v>
      </c>
      <c r="FH35" s="20">
        <f t="shared" si="22"/>
        <v>225.90130495746598</v>
      </c>
      <c r="FI35" s="59">
        <f t="shared" si="23"/>
        <v>466.87380743799133</v>
      </c>
      <c r="FJ35" s="59">
        <f ca="1">AVERAGE(OFFSET($FI$3,0,0,'Données projet'!$E$16+1,1))-AVERAGE(OFFSET($H$3,0,0,'Données projet'!$E$16+1,1))</f>
        <v>313.26988717307376</v>
      </c>
      <c r="FK35" s="59">
        <f t="shared" si="48"/>
        <v>248.17359813993201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2.240385712016514</v>
      </c>
      <c r="FR35" s="21">
        <f>EXP(-LN(2)/25)*FR34+(1-EXP(-LN(2)/25))/(LN(2)/25)*Calculateur!FM35*Calculateur!FO35*VLOOKUP('Données projet'!$B$16,Paramètres!$A$1:$I$89,3,0)*0.475*44/12</f>
        <v>7.132548938604419</v>
      </c>
      <c r="FS35" s="21">
        <f>EXP(-LN(2)/2)*FS34+(1-EXP(-LN(2)/2))/(LN(2)/2)*FM35*FP35*VLOOKUP('Données projet'!$B$16,Paramètres!$A$1:$I$89,3,0)*0.475*44/12</f>
        <v>2.1051477508981709</v>
      </c>
      <c r="FT35" s="22">
        <f t="shared" si="24"/>
        <v>11.478082401519105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3.8</v>
      </c>
      <c r="FZ35" s="12">
        <f>IF('Données projet'!$A$244&gt;35,FZ34+FY35-GH34,IF(A35&lt;'Données projet'!$A$244,$FW$205^A35,IF(A35='Données projet'!$A$244,'Données projet'!$B$244,FZ34+FY35-GH34)))</f>
        <v>52.59999999999998</v>
      </c>
      <c r="GA35" s="17">
        <f>FZ35*VLOOKUP('Données projet'!$B$17,Paramètres!$A$1:$I$89,3,0)*VLOOKUP('Données projet'!$B$17,Paramètres!$A$1:$I$89,5,0)</f>
        <v>56.618639999999978</v>
      </c>
      <c r="GB35" s="13">
        <f t="shared" si="49"/>
        <v>16.310490441934</v>
      </c>
      <c r="GC35" s="20">
        <f t="shared" si="25"/>
        <v>127.01823551970169</v>
      </c>
      <c r="GD35" s="59">
        <f t="shared" si="26"/>
        <v>367.990738000227</v>
      </c>
      <c r="GE35" s="59">
        <f ca="1">AVERAGE(OFFSET($GD$3,0,0,'Données projet'!$E$17+1,1))-AVERAGE(OFFSET($H$3,0,0,'Données projet'!$E$17+1,1))</f>
        <v>313.51355235711543</v>
      </c>
      <c r="GF35" s="59">
        <f t="shared" si="50"/>
        <v>186.0840067781198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7.4</v>
      </c>
      <c r="N36" s="13">
        <f>IF('Données projet'!$A$36&gt;35,N35+M36-V35,IF(A36&lt;'Données projet'!$A$36,$K$205^A36,IF(A36='Données projet'!$A$36,'Données projet'!$B$36,N35+M36-V35)))</f>
        <v>104.19999999999999</v>
      </c>
      <c r="O36" s="13">
        <f>N36*VLOOKUP('Données projet'!$B$9,Paramètres!$A$1:$I$89,3,0)*VLOOKUP('Données projet'!$B$9,Paramètres!$A$1:$I$89,5,0)</f>
        <v>105.65879999999999</v>
      </c>
      <c r="P36" s="13">
        <f t="shared" si="33"/>
        <v>28.305779445097851</v>
      </c>
      <c r="Q36" s="20">
        <f t="shared" si="53"/>
        <v>233.32164253354537</v>
      </c>
      <c r="R36" s="59">
        <f t="shared" si="0"/>
        <v>475.20248836808611</v>
      </c>
      <c r="S36" s="59">
        <f ca="1">AVERAGE(OFFSET($R$3,0,0,'Données projet'!$E$9+1,1))-AVERAGE(OFFSET($H$3,0,0,'Données projet'!$E$9+1,1))</f>
        <v>452.67426184967104</v>
      </c>
      <c r="T36" s="59">
        <f t="shared" si="34"/>
        <v>310.47823616327639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6.6666666666666661</v>
      </c>
      <c r="AI36" s="13">
        <f>IF('Données projet'!$A$62&gt;35,AI35+AH36-AQ35,IF(A36&lt;'Données projet'!$A$62,$AF$205^A36,IF(A36='Données projet'!$A$62,'Données projet'!$B$62,AI35+AH36-AQ35)))</f>
        <v>117.43589743589746</v>
      </c>
      <c r="AJ36" s="13">
        <f>AI36*VLOOKUP('Données projet'!$B$10,Paramètres!$A$1:$I$89,3,0)*VLOOKUP('Données projet'!$B$10,Paramètres!$A$1:$I$89,5,0)</f>
        <v>122.74400000000004</v>
      </c>
      <c r="AK36" s="13">
        <f t="shared" si="35"/>
        <v>32.314147665604843</v>
      </c>
      <c r="AL36" s="20">
        <f t="shared" si="4"/>
        <v>270.05960718426184</v>
      </c>
      <c r="AM36" s="59">
        <f t="shared" si="5"/>
        <v>511.9404530188026</v>
      </c>
      <c r="AN36" s="59">
        <f ca="1">AVERAGE(OFFSET($AM$3,0,0,'Données projet'!$E$10+1,1))-AVERAGE(OFFSET($H$3,0,0,'Données projet'!$E$10+1,1))</f>
        <v>528.45201982036087</v>
      </c>
      <c r="AO36" s="59">
        <f t="shared" si="36"/>
        <v>321.23004033257985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3.4922403695168656E-2</v>
      </c>
      <c r="AX36" s="21">
        <f t="shared" si="6"/>
        <v>3.4922403695168656E-2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3.8</v>
      </c>
      <c r="BD36" s="12">
        <f>IF('Données projet'!$A$88&gt;35,BD35+BC36-BL35,IF(A36&lt;'Données projet'!$A$88,$BA$205^A36,IF(A36='Données projet'!$A$88,'Données projet'!$B$88,BD35+BC36-BL35)))</f>
        <v>56.399999999999977</v>
      </c>
      <c r="BE36" s="13">
        <f>BD36*VLOOKUP('Données projet'!$B$11,Paramètres!$A$1:$I$89,3,0)*VLOOKUP('Données projet'!$B$11,Paramètres!$A$1:$I$89,5,0)</f>
        <v>54.550079999999973</v>
      </c>
      <c r="BF36" s="13">
        <f t="shared" si="37"/>
        <v>15.78281526092011</v>
      </c>
      <c r="BG36" s="20">
        <f t="shared" si="7"/>
        <v>122.49645924610248</v>
      </c>
      <c r="BH36" s="59">
        <f t="shared" si="8"/>
        <v>364.37730508064323</v>
      </c>
      <c r="BI36" s="59">
        <f ca="1">AVERAGE(OFFSET($BH$3,0,0,'Données projet'!$E$11+1,1))-AVERAGE(OFFSET($H$3,0,0,'Données projet'!$E$11+1,1))</f>
        <v>289.06522051625166</v>
      </c>
      <c r="BJ36" s="59">
        <f t="shared" si="38"/>
        <v>173.19148969173838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5.9</v>
      </c>
      <c r="BY36" s="12">
        <f>IF('Données projet'!$A$114&gt;35,BY35+BX36-CG35,IF(A36&lt;'Données projet'!$A$114,$BV$205^A36,IF(A36='Données projet'!$A$114,'Données projet'!$B$114,BY35+BX36-CG35)))</f>
        <v>109.70000000000007</v>
      </c>
      <c r="BZ36" s="13">
        <f>BY36*VLOOKUP('Données projet'!$B$12,Paramètres!$A$1:$I$89,3,0)*VLOOKUP('Données projet'!$B$12,Paramètres!$A$1:$I$89,5,0)</f>
        <v>88.988640000000061</v>
      </c>
      <c r="CA36" s="13">
        <f t="shared" si="39"/>
        <v>24.321149120341001</v>
      </c>
      <c r="CB36" s="20">
        <f t="shared" si="10"/>
        <v>197.34788271792738</v>
      </c>
      <c r="CC36" s="59">
        <f t="shared" si="11"/>
        <v>439.22872855246811</v>
      </c>
      <c r="CD36" s="59">
        <f ca="1">AVERAGE(OFFSET($CC$3,0,0,'Données projet'!$E$12+1,1))-AVERAGE(OFFSET($H$3,0,0,'Données projet'!$E$12+1,1))</f>
        <v>306.06916761900357</v>
      </c>
      <c r="CE36" s="59">
        <f t="shared" si="40"/>
        <v>258.90832875500337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6.3423254949673491E-2</v>
      </c>
      <c r="CN36" s="22">
        <f t="shared" si="12"/>
        <v>6.3423254949673491E-2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7.4</v>
      </c>
      <c r="CT36" s="12">
        <f>IF('Données projet'!$A$140&gt;35,CT35+CS36-DB35,IF(A36&lt;'Données projet'!$A$140,$CQ$205^A36,IF(A36='Données projet'!$A$140,'Données projet'!$B$140,CT35+CS36-DB35)))</f>
        <v>104.19999999999999</v>
      </c>
      <c r="CU36" s="17">
        <f>CT36*VLOOKUP('Données projet'!$B$13,Paramètres!$A$1:$I$89,3,0)*VLOOKUP('Données projet'!$B$13,Paramètres!$A$1:$I$89,5,0)</f>
        <v>69.897359999999992</v>
      </c>
      <c r="CV36" s="13">
        <f t="shared" si="41"/>
        <v>19.647966265515983</v>
      </c>
      <c r="CW36" s="20">
        <f t="shared" si="13"/>
        <v>155.95810991244028</v>
      </c>
      <c r="CX36" s="59">
        <f t="shared" si="14"/>
        <v>397.83895574698101</v>
      </c>
      <c r="CY36" s="59">
        <f ca="1">AVERAGE(OFFSET($CX$3,0,0,'Données projet'!$E$13+1,1))-AVERAGE(OFFSET($H$3,0,0,'Données projet'!$E$13+1,1))</f>
        <v>324.58754156328285</v>
      </c>
      <c r="CZ36" s="59">
        <f t="shared" si="42"/>
        <v>226.01037731977604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3.8460512296404549E-2</v>
      </c>
      <c r="DI36" s="22">
        <f t="shared" si="15"/>
        <v>3.8460512296404549E-2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16.131410256410259</v>
      </c>
      <c r="DO36" s="12">
        <f>IF('Données projet'!$A$166&gt;35,DO35+DN36-DW35,IF(A36&lt;'Données projet'!$A$166,$DL$205^A36,IF(A36='Données projet'!$A$166,'Données projet'!$B$166,DO35+DN36-DW35)))</f>
        <v>265.18653846153842</v>
      </c>
      <c r="DP36" s="17">
        <f>DO36*VLOOKUP('Données projet'!$B$14,Paramètres!$A$1:$I$89,3,0)*VLOOKUP('Données projet'!$B$14,Paramètres!$A$1:$I$89,5,0)</f>
        <v>124.10729999999997</v>
      </c>
      <c r="DQ36" s="13">
        <f t="shared" si="43"/>
        <v>32.631075149258578</v>
      </c>
      <c r="DR36" s="20">
        <f t="shared" si="16"/>
        <v>272.98600338495862</v>
      </c>
      <c r="DS36" s="59">
        <f t="shared" si="17"/>
        <v>514.86684921949939</v>
      </c>
      <c r="DT36" s="59">
        <f ca="1">AVERAGE(OFFSET($DS$3,0,0,'Données projet'!$E$14+1,1))-AVERAGE(OFFSET($H$3,0,0,'Données projet'!$E$14+1,1))</f>
        <v>325.93182817189722</v>
      </c>
      <c r="DU36" s="59">
        <f t="shared" si="44"/>
        <v>280.04509991782709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10.199999999999999</v>
      </c>
      <c r="EJ36" s="12">
        <f>IF('Données projet'!$A$192&gt;35,EJ35+EI36-ER35,IF(A36&lt;'Données projet'!$A$192,$EG$205^A36,IF(A36='Données projet'!$A$192,'Données projet'!$B$192,EJ35+EI36-ER35)))</f>
        <v>148.59999999999994</v>
      </c>
      <c r="EK36" s="17">
        <f>EJ36*VLOOKUP('Données projet'!$B$15,Paramètres!$A$1:$I$89,3,0)*VLOOKUP('Données projet'!$B$15,Paramètres!$A$1:$I$89,5,0)</f>
        <v>118.22615999999996</v>
      </c>
      <c r="EL36" s="13">
        <f t="shared" si="45"/>
        <v>31.260922342884676</v>
      </c>
      <c r="EM36" s="20">
        <f t="shared" si="19"/>
        <v>260.35666841385739</v>
      </c>
      <c r="EN36" s="59">
        <f t="shared" si="20"/>
        <v>502.23751424839816</v>
      </c>
      <c r="EO36" s="59">
        <f ca="1">AVERAGE(OFFSET($EN$3,0,0,'Données projet'!$E$15+1,1))-AVERAGE(OFFSET($H$3,0,0,'Données projet'!$E$15+1,1))</f>
        <v>333.52903437536651</v>
      </c>
      <c r="EP36" s="59">
        <f t="shared" si="46"/>
        <v>359.47288701414777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3.4807855133782257</v>
      </c>
      <c r="EX36" s="21">
        <f>EXP(-LN(2)/2)*EX35+(1-EXP(-LN(2)/2))/(LN(2)/2)*ER36*EU36*VLOOKUP('Données projet'!$B$15,Paramètres!$A$1:$I$89,3,0)*0.475*44/12</f>
        <v>8.9158460323483277E-2</v>
      </c>
      <c r="EY36" s="22">
        <f t="shared" si="21"/>
        <v>3.5699439737017089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>
        <f>VLOOKUP(A36,'Données projet'!$A$217:$I$237,2,0)</f>
        <v>183.89999999999998</v>
      </c>
      <c r="FC36" s="12">
        <f>VLOOKUP(A36,'Données projet'!$A$217:$I$237,9,0)</f>
        <v>12.97179487179487</v>
      </c>
      <c r="FD36" s="12">
        <f t="array" ref="FD36">INDEX(FC:FC,MIN(IF(ISNUMBER(FC36:FC232),ROW(FC36:FC232),"")))</f>
        <v>12.97179487179487</v>
      </c>
      <c r="FE36" s="12">
        <f>IF('Données projet'!$A$218&gt;35,FE35+FD36-FM35,IF(A36&lt;'Données projet'!$A$218,$FB$205^A36,IF(A36='Données projet'!$A$218,'Données projet'!$B$218,FE35+FD36-FM35)))</f>
        <v>183.90000000000003</v>
      </c>
      <c r="FF36" s="17">
        <f>FE36*VLOOKUP('Données projet'!$B$16,Paramètres!$A$1:$I$89,3,0)*VLOOKUP('Données projet'!$B$16,Paramètres!$A$1:$I$89,5,0)</f>
        <v>109.97220000000003</v>
      </c>
      <c r="FG36" s="13">
        <f t="shared" si="47"/>
        <v>29.324434579377328</v>
      </c>
      <c r="FH36" s="20">
        <f t="shared" si="22"/>
        <v>242.60830522574886</v>
      </c>
      <c r="FI36" s="59">
        <f t="shared" si="23"/>
        <v>484.4891510602896</v>
      </c>
      <c r="FJ36" s="59">
        <f ca="1">AVERAGE(OFFSET($FI$3,0,0,'Données projet'!$E$16+1,1))-AVERAGE(OFFSET($H$3,0,0,'Données projet'!$E$16+1,1))</f>
        <v>313.26988717307376</v>
      </c>
      <c r="FK36" s="59">
        <f t="shared" si="48"/>
        <v>248.17359813993201</v>
      </c>
      <c r="FL36" s="15">
        <f>IF(ISNA(VLOOKUP(A36,'Données projet'!$A$217:$I$237,3,0)),0,VLOOKUP(A36,'Données projet'!$A$217:$I$237,3,0))</f>
        <v>3</v>
      </c>
      <c r="FM36" s="15">
        <f>IF(ISNA(VLOOKUP(A36,'Données projet'!$A$217:$I$237,4,0)),0,VLOOKUP(A36,'Données projet'!$A$217:$I$237,4,0))</f>
        <v>43.007692307692302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2.1964531147042239</v>
      </c>
      <c r="FR36" s="21">
        <f>EXP(-LN(2)/25)*FR35+(1-EXP(-LN(2)/25))/(LN(2)/25)*Calculateur!FM36*Calculateur!FO36*VLOOKUP('Données projet'!$B$16,Paramètres!$A$1:$I$89,3,0)*0.475*44/12</f>
        <v>6.9375090127938339</v>
      </c>
      <c r="FS36" s="21">
        <f>EXP(-LN(2)/2)*FS35+(1-EXP(-LN(2)/2))/(LN(2)/2)*FM36*FP36*VLOOKUP('Données projet'!$B$16,Paramètres!$A$1:$I$89,3,0)*0.475*44/12</f>
        <v>1.4885642500597056</v>
      </c>
      <c r="FT36" s="22">
        <f t="shared" si="24"/>
        <v>10.622526377557765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3.8</v>
      </c>
      <c r="FZ36" s="12">
        <f>IF('Données projet'!$A$244&gt;35,FZ35+FY36-GH35,IF(A36&lt;'Données projet'!$A$244,$FW$205^A36,IF(A36='Données projet'!$A$244,'Données projet'!$B$244,FZ35+FY36-GH35)))</f>
        <v>56.399999999999977</v>
      </c>
      <c r="GA36" s="17">
        <f>FZ36*VLOOKUP('Données projet'!$B$17,Paramètres!$A$1:$I$89,3,0)*VLOOKUP('Données projet'!$B$17,Paramètres!$A$1:$I$89,5,0)</f>
        <v>60.708959999999976</v>
      </c>
      <c r="GB36" s="13">
        <f t="shared" si="49"/>
        <v>17.347393615954164</v>
      </c>
      <c r="GC36" s="20">
        <f t="shared" si="25"/>
        <v>135.94814921445345</v>
      </c>
      <c r="GD36" s="59">
        <f t="shared" si="26"/>
        <v>377.82899504899422</v>
      </c>
      <c r="GE36" s="59">
        <f ca="1">AVERAGE(OFFSET($GD$3,0,0,'Données projet'!$E$17+1,1))-AVERAGE(OFFSET($H$3,0,0,'Données projet'!$E$17+1,1))</f>
        <v>313.51355235711543</v>
      </c>
      <c r="GF36" s="59">
        <f t="shared" si="50"/>
        <v>186.0840067781198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7.4</v>
      </c>
      <c r="N37" s="13">
        <f>IF('Données projet'!$A$36&gt;35,N36+M37-V36,IF(A37&lt;'Données projet'!$A$36,$K$205^A37,IF(A37='Données projet'!$A$36,'Données projet'!$B$36,N36+M37-V36)))</f>
        <v>111.6</v>
      </c>
      <c r="O37" s="13">
        <f>N37*VLOOKUP('Données projet'!$B$9,Paramètres!$A$1:$I$89,3,0)*VLOOKUP('Données projet'!$B$9,Paramètres!$A$1:$I$89,5,0)</f>
        <v>113.16239999999999</v>
      </c>
      <c r="P37" s="13">
        <f t="shared" si="33"/>
        <v>30.07483714070494</v>
      </c>
      <c r="Q37" s="20">
        <f t="shared" si="53"/>
        <v>249.47152135339442</v>
      </c>
      <c r="R37" s="59">
        <f t="shared" si="0"/>
        <v>492.24495281551003</v>
      </c>
      <c r="S37" s="59">
        <f ca="1">AVERAGE(OFFSET($R$3,0,0,'Données projet'!$E$9+1,1))-AVERAGE(OFFSET($H$3,0,0,'Données projet'!$E$9+1,1))</f>
        <v>452.67426184967104</v>
      </c>
      <c r="T37" s="59">
        <f t="shared" si="34"/>
        <v>310.47823616327639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6.6666666666666661</v>
      </c>
      <c r="AI37" s="13">
        <f>IF('Données projet'!$A$62&gt;35,AI36+AH37-AQ36,IF(A37&lt;'Données projet'!$A$62,$AF$205^A37,IF(A37='Données projet'!$A$62,'Données projet'!$B$62,AI36+AH37-AQ36)))</f>
        <v>124.10256410256413</v>
      </c>
      <c r="AJ37" s="13">
        <f>AI37*VLOOKUP('Données projet'!$B$10,Paramètres!$A$1:$I$89,3,0)*VLOOKUP('Données projet'!$B$10,Paramètres!$A$1:$I$89,5,0)</f>
        <v>129.71200000000005</v>
      </c>
      <c r="AK37" s="13">
        <f t="shared" si="35"/>
        <v>33.929802400719375</v>
      </c>
      <c r="AL37" s="20">
        <f t="shared" si="4"/>
        <v>285.00947251458632</v>
      </c>
      <c r="AM37" s="59">
        <f t="shared" si="5"/>
        <v>527.78290397670185</v>
      </c>
      <c r="AN37" s="59">
        <f ca="1">AVERAGE(OFFSET($AM$3,0,0,'Données projet'!$E$10+1,1))-AVERAGE(OFFSET($H$3,0,0,'Données projet'!$E$10+1,1))</f>
        <v>528.45201982036087</v>
      </c>
      <c r="AO37" s="59">
        <f t="shared" si="36"/>
        <v>321.23004033257985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2.4693868468187902E-2</v>
      </c>
      <c r="AX37" s="21">
        <f t="shared" si="6"/>
        <v>2.4693868468187902E-2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3.8</v>
      </c>
      <c r="BD37" s="12">
        <f>IF('Données projet'!$A$88&gt;35,BD36+BC37-BL36,IF(A37&lt;'Données projet'!$A$88,$BA$205^A37,IF(A37='Données projet'!$A$88,'Données projet'!$B$88,BD36+BC37-BL36)))</f>
        <v>60.199999999999974</v>
      </c>
      <c r="BE37" s="13">
        <f>BD37*VLOOKUP('Données projet'!$B$11,Paramètres!$A$1:$I$89,3,0)*VLOOKUP('Données projet'!$B$11,Paramètres!$A$1:$I$89,5,0)</f>
        <v>58.225439999999978</v>
      </c>
      <c r="BF37" s="13">
        <f t="shared" si="37"/>
        <v>16.718823635596603</v>
      </c>
      <c r="BG37" s="20">
        <f t="shared" si="7"/>
        <v>130.52792583199741</v>
      </c>
      <c r="BH37" s="59">
        <f t="shared" si="8"/>
        <v>373.30135729411302</v>
      </c>
      <c r="BI37" s="59">
        <f ca="1">AVERAGE(OFFSET($BH$3,0,0,'Données projet'!$E$11+1,1))-AVERAGE(OFFSET($H$3,0,0,'Données projet'!$E$11+1,1))</f>
        <v>289.06522051625166</v>
      </c>
      <c r="BJ37" s="59">
        <f t="shared" si="38"/>
        <v>173.19148969173838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5.9</v>
      </c>
      <c r="BY37" s="12">
        <f>IF('Données projet'!$A$114&gt;35,BY36+BX37-CG36,IF(A37&lt;'Données projet'!$A$114,$BV$205^A37,IF(A37='Données projet'!$A$114,'Données projet'!$B$114,BY36+BX37-CG36)))</f>
        <v>115.60000000000008</v>
      </c>
      <c r="BZ37" s="13">
        <f>BY37*VLOOKUP('Données projet'!$B$12,Paramètres!$A$1:$I$89,3,0)*VLOOKUP('Données projet'!$B$12,Paramètres!$A$1:$I$89,5,0)</f>
        <v>93.774720000000073</v>
      </c>
      <c r="CA37" s="13">
        <f t="shared" si="39"/>
        <v>25.473408292486386</v>
      </c>
      <c r="CB37" s="20">
        <f t="shared" si="10"/>
        <v>207.6904901094139</v>
      </c>
      <c r="CC37" s="59">
        <f t="shared" si="11"/>
        <v>450.46392157152945</v>
      </c>
      <c r="CD37" s="59">
        <f ca="1">AVERAGE(OFFSET($CC$3,0,0,'Données projet'!$E$12+1,1))-AVERAGE(OFFSET($H$3,0,0,'Données projet'!$E$12+1,1))</f>
        <v>306.06916761900357</v>
      </c>
      <c r="CE37" s="59">
        <f t="shared" si="40"/>
        <v>258.90832875500337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4.4847013659837391E-2</v>
      </c>
      <c r="CN37" s="22">
        <f t="shared" si="12"/>
        <v>4.4847013659837391E-2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7.4</v>
      </c>
      <c r="CT37" s="12">
        <f>IF('Données projet'!$A$140&gt;35,CT36+CS37-DB36,IF(A37&lt;'Données projet'!$A$140,$CQ$205^A37,IF(A37='Données projet'!$A$140,'Données projet'!$B$140,CT36+CS37-DB36)))</f>
        <v>111.6</v>
      </c>
      <c r="CU37" s="17">
        <f>CT37*VLOOKUP('Données projet'!$B$13,Paramètres!$A$1:$I$89,3,0)*VLOOKUP('Données projet'!$B$13,Paramètres!$A$1:$I$89,5,0)</f>
        <v>74.861280000000008</v>
      </c>
      <c r="CV37" s="13">
        <f t="shared" si="41"/>
        <v>20.875927007330482</v>
      </c>
      <c r="CW37" s="20">
        <f t="shared" si="13"/>
        <v>166.74230220443391</v>
      </c>
      <c r="CX37" s="59">
        <f t="shared" si="14"/>
        <v>409.51573366654952</v>
      </c>
      <c r="CY37" s="59">
        <f ca="1">AVERAGE(OFFSET($CX$3,0,0,'Données projet'!$E$13+1,1))-AVERAGE(OFFSET($H$3,0,0,'Données projet'!$E$13+1,1))</f>
        <v>324.58754156328285</v>
      </c>
      <c r="CZ37" s="59">
        <f t="shared" si="42"/>
        <v>226.01037731977604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2.7195689052696252E-2</v>
      </c>
      <c r="DI37" s="22">
        <f t="shared" si="15"/>
        <v>2.7195689052696252E-2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16.131410256410259</v>
      </c>
      <c r="DO37" s="12">
        <f>IF('Données projet'!$A$166&gt;35,DO36+DN37-DW36,IF(A37&lt;'Données projet'!$A$166,$DL$205^A37,IF(A37='Données projet'!$A$166,'Données projet'!$B$166,DO36+DN37-DW36)))</f>
        <v>281.3179487179487</v>
      </c>
      <c r="DP37" s="17">
        <f>DO37*VLOOKUP('Données projet'!$B$14,Paramètres!$A$1:$I$89,3,0)*VLOOKUP('Données projet'!$B$14,Paramètres!$A$1:$I$89,5,0)</f>
        <v>131.65679999999998</v>
      </c>
      <c r="DQ37" s="13">
        <f t="shared" si="43"/>
        <v>34.378914540413547</v>
      </c>
      <c r="DR37" s="20">
        <f t="shared" si="16"/>
        <v>289.17886949122021</v>
      </c>
      <c r="DS37" s="59">
        <f t="shared" si="17"/>
        <v>531.95230095333579</v>
      </c>
      <c r="DT37" s="59">
        <f ca="1">AVERAGE(OFFSET($DS$3,0,0,'Données projet'!$E$14+1,1))-AVERAGE(OFFSET($H$3,0,0,'Données projet'!$E$14+1,1))</f>
        <v>325.93182817189722</v>
      </c>
      <c r="DU37" s="59">
        <f t="shared" si="44"/>
        <v>280.04509991782709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10.199999999999999</v>
      </c>
      <c r="EJ37" s="12">
        <f>IF('Données projet'!$A$192&gt;35,EJ36+EI37-ER36,IF(A37&lt;'Données projet'!$A$192,$EG$205^A37,IF(A37='Données projet'!$A$192,'Données projet'!$B$192,EJ36+EI37-ER36)))</f>
        <v>158.79999999999993</v>
      </c>
      <c r="EK37" s="17">
        <f>EJ37*VLOOKUP('Données projet'!$B$15,Paramètres!$A$1:$I$89,3,0)*VLOOKUP('Données projet'!$B$15,Paramètres!$A$1:$I$89,5,0)</f>
        <v>126.34127999999994</v>
      </c>
      <c r="EL37" s="13">
        <f t="shared" si="45"/>
        <v>33.14953705360643</v>
      </c>
      <c r="EM37" s="20">
        <f t="shared" si="19"/>
        <v>277.77983970169777</v>
      </c>
      <c r="EN37" s="59">
        <f t="shared" si="20"/>
        <v>520.55327116381341</v>
      </c>
      <c r="EO37" s="59">
        <f ca="1">AVERAGE(OFFSET($EN$3,0,0,'Données projet'!$E$15+1,1))-AVERAGE(OFFSET($H$3,0,0,'Données projet'!$E$15+1,1))</f>
        <v>333.52903437536651</v>
      </c>
      <c r="EP37" s="59">
        <f t="shared" si="46"/>
        <v>359.47288701414777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3.3856032504683435</v>
      </c>
      <c r="EX37" s="21">
        <f>EXP(-LN(2)/2)*EX36+(1-EXP(-LN(2)/2))/(LN(2)/2)*ER37*EU37*VLOOKUP('Données projet'!$B$15,Paramètres!$A$1:$I$89,3,0)*0.475*44/12</f>
        <v>6.3044551894886766E-2</v>
      </c>
      <c r="EY37" s="22">
        <f t="shared" si="21"/>
        <v>3.4486478023632303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12.74038461538462</v>
      </c>
      <c r="FE37" s="12">
        <f>IF('Données projet'!$A$218&gt;35,FE36+FD37-FM36,IF(A37&lt;'Données projet'!$A$218,$FB$205^A37,IF(A37='Données projet'!$A$218,'Données projet'!$B$218,FE36+FD37-FM36)))</f>
        <v>153.63269230769234</v>
      </c>
      <c r="FF37" s="17">
        <f>FE37*VLOOKUP('Données projet'!$B$16,Paramètres!$A$1:$I$89,3,0)*VLOOKUP('Données projet'!$B$16,Paramètres!$A$1:$I$89,5,0)</f>
        <v>91.872350000000012</v>
      </c>
      <c r="FG37" s="13">
        <f t="shared" si="47"/>
        <v>25.016248165039102</v>
      </c>
      <c r="FH37" s="20">
        <f t="shared" si="22"/>
        <v>203.58097513744312</v>
      </c>
      <c r="FI37" s="59">
        <f t="shared" si="23"/>
        <v>446.35440659955873</v>
      </c>
      <c r="FJ37" s="59">
        <f ca="1">AVERAGE(OFFSET($FI$3,0,0,'Données projet'!$E$16+1,1))-AVERAGE(OFFSET($H$3,0,0,'Données projet'!$E$16+1,1))</f>
        <v>313.26988717307376</v>
      </c>
      <c r="FK37" s="59">
        <f t="shared" si="48"/>
        <v>248.17359813993201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2.1533820088289892</v>
      </c>
      <c r="FR37" s="21">
        <f>EXP(-LN(2)/25)*FR36+(1-EXP(-LN(2)/25))/(LN(2)/25)*Calculateur!FM37*Calculateur!FO37*VLOOKUP('Données projet'!$B$16,Paramètres!$A$1:$I$89,3,0)*0.475*44/12</f>
        <v>6.7478024640112437</v>
      </c>
      <c r="FS37" s="21">
        <f>EXP(-LN(2)/2)*FS36+(1-EXP(-LN(2)/2))/(LN(2)/2)*FM37*FP37*VLOOKUP('Données projet'!$B$16,Paramètres!$A$1:$I$89,3,0)*0.475*44/12</f>
        <v>1.0525738754490854</v>
      </c>
      <c r="FT37" s="22">
        <f t="shared" si="24"/>
        <v>9.9537583482893197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3.8</v>
      </c>
      <c r="FZ37" s="12">
        <f>IF('Données projet'!$A$244&gt;35,FZ36+FY37-GH36,IF(A37&lt;'Données projet'!$A$244,$FW$205^A37,IF(A37='Données projet'!$A$244,'Données projet'!$B$244,FZ36+FY37-GH36)))</f>
        <v>60.199999999999974</v>
      </c>
      <c r="GA37" s="17">
        <f>FZ37*VLOOKUP('Données projet'!$B$17,Paramètres!$A$1:$I$89,3,0)*VLOOKUP('Données projet'!$B$17,Paramètres!$A$1:$I$89,5,0)</f>
        <v>64.799279999999982</v>
      </c>
      <c r="GB37" s="13">
        <f t="shared" si="49"/>
        <v>18.376190154145164</v>
      </c>
      <c r="GC37" s="20">
        <f t="shared" si="25"/>
        <v>144.86394385180279</v>
      </c>
      <c r="GD37" s="59">
        <f t="shared" si="26"/>
        <v>387.63737531391837</v>
      </c>
      <c r="GE37" s="59">
        <f ca="1">AVERAGE(OFFSET($GD$3,0,0,'Données projet'!$E$17+1,1))-AVERAGE(OFFSET($H$3,0,0,'Données projet'!$E$17+1,1))</f>
        <v>313.51355235711543</v>
      </c>
      <c r="GF37" s="59">
        <f t="shared" si="50"/>
        <v>186.0840067781198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7.4</v>
      </c>
      <c r="N38" s="13">
        <f>IF('Données projet'!$A$36&gt;35,N37+M38-V37,IF(A38&lt;'Données projet'!$A$36,$K$205^A38,IF(A38='Données projet'!$A$36,'Données projet'!$B$36,N37+M38-V37)))</f>
        <v>119</v>
      </c>
      <c r="O38" s="13">
        <f>N38*VLOOKUP('Données projet'!$B$9,Paramètres!$A$1:$I$89,3,0)*VLOOKUP('Données projet'!$B$9,Paramètres!$A$1:$I$89,5,0)</f>
        <v>120.66600000000001</v>
      </c>
      <c r="P38" s="13">
        <f t="shared" si="33"/>
        <v>31.830282786190971</v>
      </c>
      <c r="Q38" s="20">
        <f t="shared" si="53"/>
        <v>265.59769251928259</v>
      </c>
      <c r="R38" s="59">
        <f t="shared" si="0"/>
        <v>509.24822524385706</v>
      </c>
      <c r="S38" s="59">
        <f ca="1">AVERAGE(OFFSET($R$3,0,0,'Données projet'!$E$9+1,1))-AVERAGE(OFFSET($H$3,0,0,'Données projet'!$E$9+1,1))</f>
        <v>452.67426184967104</v>
      </c>
      <c r="T38" s="59">
        <f t="shared" si="34"/>
        <v>310.47823616327639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6.6666666666666661</v>
      </c>
      <c r="AI38" s="13">
        <f>IF('Données projet'!$A$62&gt;35,AI37+AH38-AQ37,IF(A38&lt;'Données projet'!$A$62,$AF$205^A38,IF(A38='Données projet'!$A$62,'Données projet'!$B$62,AI37+AH38-AQ37)))</f>
        <v>130.7692307692308</v>
      </c>
      <c r="AJ38" s="13">
        <f>AI38*VLOOKUP('Données projet'!$B$10,Paramètres!$A$1:$I$89,3,0)*VLOOKUP('Données projet'!$B$10,Paramètres!$A$1:$I$89,5,0)</f>
        <v>136.68000000000004</v>
      </c>
      <c r="AK38" s="13">
        <f t="shared" si="35"/>
        <v>35.535381023829878</v>
      </c>
      <c r="AL38" s="20">
        <f t="shared" si="4"/>
        <v>299.94178861650374</v>
      </c>
      <c r="AM38" s="59">
        <f t="shared" si="5"/>
        <v>543.59232134107822</v>
      </c>
      <c r="AN38" s="59">
        <f ca="1">AVERAGE(OFFSET($AM$3,0,0,'Données projet'!$E$10+1,1))-AVERAGE(OFFSET($H$3,0,0,'Données projet'!$E$10+1,1))</f>
        <v>528.45201982036087</v>
      </c>
      <c r="AO38" s="59">
        <f t="shared" si="36"/>
        <v>321.23004033257985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1.7461201847584328E-2</v>
      </c>
      <c r="AX38" s="21">
        <f t="shared" si="6"/>
        <v>1.7461201847584328E-2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3.8</v>
      </c>
      <c r="BD38" s="12">
        <f>IF('Données projet'!$A$88&gt;35,BD37+BC38-BL37,IF(A38&lt;'Données projet'!$A$88,$BA$205^A38,IF(A38='Données projet'!$A$88,'Données projet'!$B$88,BD37+BC38-BL37)))</f>
        <v>63.999999999999972</v>
      </c>
      <c r="BE38" s="13">
        <f>BD38*VLOOKUP('Données projet'!$B$11,Paramètres!$A$1:$I$89,3,0)*VLOOKUP('Données projet'!$B$11,Paramètres!$A$1:$I$89,5,0)</f>
        <v>61.900799999999983</v>
      </c>
      <c r="BF38" s="13">
        <f t="shared" si="37"/>
        <v>17.647975079256284</v>
      </c>
      <c r="BG38" s="20">
        <f t="shared" si="7"/>
        <v>138.54744992970467</v>
      </c>
      <c r="BH38" s="59">
        <f t="shared" si="8"/>
        <v>382.19798265427914</v>
      </c>
      <c r="BI38" s="59">
        <f ca="1">AVERAGE(OFFSET($BH$3,0,0,'Données projet'!$E$11+1,1))-AVERAGE(OFFSET($H$3,0,0,'Données projet'!$E$11+1,1))</f>
        <v>289.06522051625166</v>
      </c>
      <c r="BJ38" s="59">
        <f t="shared" si="38"/>
        <v>173.19148969173838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5.9</v>
      </c>
      <c r="BY38" s="12">
        <f>IF('Données projet'!$A$114&gt;35,BY37+BX38-CG37,IF(A38&lt;'Données projet'!$A$114,$BV$205^A38,IF(A38='Données projet'!$A$114,'Données projet'!$B$114,BY37+BX38-CG37)))</f>
        <v>121.50000000000009</v>
      </c>
      <c r="BZ38" s="13">
        <f>BY38*VLOOKUP('Données projet'!$B$12,Paramètres!$A$1:$I$89,3,0)*VLOOKUP('Données projet'!$B$12,Paramètres!$A$1:$I$89,5,0)</f>
        <v>98.560800000000086</v>
      </c>
      <c r="CA38" s="13">
        <f t="shared" si="39"/>
        <v>26.618839252010243</v>
      </c>
      <c r="CB38" s="20">
        <f t="shared" si="10"/>
        <v>218.02120503058464</v>
      </c>
      <c r="CC38" s="59">
        <f t="shared" si="11"/>
        <v>461.67173775515914</v>
      </c>
      <c r="CD38" s="59">
        <f ca="1">AVERAGE(OFFSET($CC$3,0,0,'Données projet'!$E$12+1,1))-AVERAGE(OFFSET($H$3,0,0,'Données projet'!$E$12+1,1))</f>
        <v>306.06916761900357</v>
      </c>
      <c r="CE38" s="59">
        <f t="shared" si="40"/>
        <v>258.90832875500337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3.1711627474836745E-2</v>
      </c>
      <c r="CN38" s="22">
        <f t="shared" si="12"/>
        <v>3.1711627474836745E-2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7.4</v>
      </c>
      <c r="CT38" s="12">
        <f>IF('Données projet'!$A$140&gt;35,CT37+CS38-DB37,IF(A38&lt;'Données projet'!$A$140,$CQ$205^A38,IF(A38='Données projet'!$A$140,'Données projet'!$B$140,CT37+CS38-DB37)))</f>
        <v>119</v>
      </c>
      <c r="CU38" s="17">
        <f>CT38*VLOOKUP('Données projet'!$B$13,Paramètres!$A$1:$I$89,3,0)*VLOOKUP('Données projet'!$B$13,Paramètres!$A$1:$I$89,5,0)</f>
        <v>79.825200000000009</v>
      </c>
      <c r="CV38" s="13">
        <f t="shared" si="41"/>
        <v>22.094439180448873</v>
      </c>
      <c r="CW38" s="20">
        <f t="shared" si="13"/>
        <v>177.51003823928178</v>
      </c>
      <c r="CX38" s="59">
        <f t="shared" si="14"/>
        <v>421.16057096385629</v>
      </c>
      <c r="CY38" s="59">
        <f ca="1">AVERAGE(OFFSET($CX$3,0,0,'Données projet'!$E$13+1,1))-AVERAGE(OFFSET($H$3,0,0,'Données projet'!$E$13+1,1))</f>
        <v>324.58754156328285</v>
      </c>
      <c r="CZ38" s="59">
        <f t="shared" si="42"/>
        <v>226.01037731977604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1.9230256148202274E-2</v>
      </c>
      <c r="DI38" s="22">
        <f t="shared" si="15"/>
        <v>1.9230256148202274E-2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16.131410256410259</v>
      </c>
      <c r="DO38" s="12">
        <f>IF('Données projet'!$A$166&gt;35,DO37+DN38-DW37,IF(A38&lt;'Données projet'!$A$166,$DL$205^A38,IF(A38='Données projet'!$A$166,'Données projet'!$B$166,DO37+DN38-DW37)))</f>
        <v>297.44935897435897</v>
      </c>
      <c r="DP38" s="17">
        <f>DO38*VLOOKUP('Données projet'!$B$14,Paramètres!$A$1:$I$89,3,0)*VLOOKUP('Données projet'!$B$14,Paramètres!$A$1:$I$89,5,0)</f>
        <v>139.2063</v>
      </c>
      <c r="DQ38" s="13">
        <f t="shared" si="43"/>
        <v>36.115119849784641</v>
      </c>
      <c r="DR38" s="20">
        <f t="shared" si="16"/>
        <v>305.35147290504159</v>
      </c>
      <c r="DS38" s="59">
        <f t="shared" si="17"/>
        <v>549.00200562961606</v>
      </c>
      <c r="DT38" s="59">
        <f ca="1">AVERAGE(OFFSET($DS$3,0,0,'Données projet'!$E$14+1,1))-AVERAGE(OFFSET($H$3,0,0,'Données projet'!$E$14+1,1))</f>
        <v>325.93182817189722</v>
      </c>
      <c r="DU38" s="59">
        <f t="shared" si="44"/>
        <v>280.04509991782709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10.199999999999999</v>
      </c>
      <c r="EJ38" s="12">
        <f>IF('Données projet'!$A$192&gt;35,EJ37+EI38-ER37,IF(A38&lt;'Données projet'!$A$192,$EG$205^A38,IF(A38='Données projet'!$A$192,'Données projet'!$B$192,EJ37+EI38-ER37)))</f>
        <v>168.99999999999991</v>
      </c>
      <c r="EK38" s="17">
        <f>EJ38*VLOOKUP('Données projet'!$B$15,Paramètres!$A$1:$I$89,3,0)*VLOOKUP('Données projet'!$B$15,Paramètres!$A$1:$I$89,5,0)</f>
        <v>134.45639999999995</v>
      </c>
      <c r="EL38" s="13">
        <f t="shared" si="45"/>
        <v>35.024073835162383</v>
      </c>
      <c r="EM38" s="20">
        <f t="shared" si="19"/>
        <v>295.17849192957436</v>
      </c>
      <c r="EN38" s="59">
        <f t="shared" si="20"/>
        <v>538.82902465414884</v>
      </c>
      <c r="EO38" s="59">
        <f ca="1">AVERAGE(OFFSET($EN$3,0,0,'Données projet'!$E$15+1,1))-AVERAGE(OFFSET($H$3,0,0,'Données projet'!$E$15+1,1))</f>
        <v>333.52903437536651</v>
      </c>
      <c r="EP38" s="59">
        <f t="shared" si="46"/>
        <v>359.47288701414777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3.2930237515431497</v>
      </c>
      <c r="EX38" s="21">
        <f>EXP(-LN(2)/2)*EX37+(1-EXP(-LN(2)/2))/(LN(2)/2)*ER38*EU38*VLOOKUP('Données projet'!$B$15,Paramètres!$A$1:$I$89,3,0)*0.475*44/12</f>
        <v>4.4579230161741638E-2</v>
      </c>
      <c r="EY38" s="22">
        <f t="shared" si="21"/>
        <v>3.3376029817048916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12.74038461538462</v>
      </c>
      <c r="FE38" s="12">
        <f>IF('Données projet'!$A$218&gt;35,FE37+FD38-FM37,IF(A38&lt;'Données projet'!$A$218,$FB$205^A38,IF(A38='Données projet'!$A$218,'Données projet'!$B$218,FE37+FD38-FM37)))</f>
        <v>166.37307692307695</v>
      </c>
      <c r="FF38" s="17">
        <f>FE38*VLOOKUP('Données projet'!$B$16,Paramètres!$A$1:$I$89,3,0)*VLOOKUP('Données projet'!$B$16,Paramètres!$A$1:$I$89,5,0)</f>
        <v>99.491100000000031</v>
      </c>
      <c r="FG38" s="13">
        <f t="shared" si="47"/>
        <v>26.84072316435665</v>
      </c>
      <c r="FH38" s="20">
        <f t="shared" si="22"/>
        <v>220.02792534458789</v>
      </c>
      <c r="FI38" s="59">
        <f t="shared" si="23"/>
        <v>463.67845806916239</v>
      </c>
      <c r="FJ38" s="59">
        <f ca="1">AVERAGE(OFFSET($FI$3,0,0,'Données projet'!$E$16+1,1))-AVERAGE(OFFSET($H$3,0,0,'Données projet'!$E$16+1,1))</f>
        <v>313.26988717307376</v>
      </c>
      <c r="FK38" s="59">
        <f t="shared" si="48"/>
        <v>248.17359813993201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2.1111555010691871</v>
      </c>
      <c r="FR38" s="21">
        <f>EXP(-LN(2)/25)*FR37+(1-EXP(-LN(2)/25))/(LN(2)/25)*Calculateur!FM38*Calculateur!FO38*VLOOKUP('Données projet'!$B$16,Paramètres!$A$1:$I$89,3,0)*0.475*44/12</f>
        <v>6.5632834507813467</v>
      </c>
      <c r="FS38" s="21">
        <f>EXP(-LN(2)/2)*FS37+(1-EXP(-LN(2)/2))/(LN(2)/2)*FM38*FP38*VLOOKUP('Données projet'!$B$16,Paramètres!$A$1:$I$89,3,0)*0.475*44/12</f>
        <v>0.7442821250298528</v>
      </c>
      <c r="FT38" s="22">
        <f t="shared" si="24"/>
        <v>9.4187210768803862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3.8</v>
      </c>
      <c r="FZ38" s="12">
        <f>IF('Données projet'!$A$244&gt;35,FZ37+FY38-GH37,IF(A38&lt;'Données projet'!$A$244,$FW$205^A38,IF(A38='Données projet'!$A$244,'Données projet'!$B$244,FZ37+FY38-GH37)))</f>
        <v>63.999999999999972</v>
      </c>
      <c r="GA38" s="17">
        <f>FZ38*VLOOKUP('Données projet'!$B$17,Paramètres!$A$1:$I$89,3,0)*VLOOKUP('Données projet'!$B$17,Paramètres!$A$1:$I$89,5,0)</f>
        <v>68.889599999999959</v>
      </c>
      <c r="GB38" s="13">
        <f t="shared" si="49"/>
        <v>19.397450021635798</v>
      </c>
      <c r="GC38" s="20">
        <f t="shared" si="25"/>
        <v>153.76661212101561</v>
      </c>
      <c r="GD38" s="59">
        <f t="shared" si="26"/>
        <v>397.41714484559009</v>
      </c>
      <c r="GE38" s="59">
        <f ca="1">AVERAGE(OFFSET($GD$3,0,0,'Données projet'!$E$17+1,1))-AVERAGE(OFFSET($H$3,0,0,'Données projet'!$E$17+1,1))</f>
        <v>313.51355235711543</v>
      </c>
      <c r="GF38" s="59">
        <f t="shared" si="50"/>
        <v>186.0840067781198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0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7.4</v>
      </c>
      <c r="N39" s="13">
        <f>IF('Données projet'!$A$36&gt;35,N38+M39-V38,IF(A39&lt;'Données projet'!$A$36,$K$205^A39,IF(A39='Données projet'!$A$36,'Données projet'!$B$36,N38+M39-V38)))</f>
        <v>126.4</v>
      </c>
      <c r="O39" s="13">
        <f>N39*VLOOKUP('Données projet'!$B$9,Paramètres!$A$1:$I$89,3,0)*VLOOKUP('Données projet'!$B$9,Paramètres!$A$1:$I$89,5,0)</f>
        <v>128.16960000000003</v>
      </c>
      <c r="P39" s="13">
        <f t="shared" si="33"/>
        <v>33.573059214253476</v>
      </c>
      <c r="Q39" s="20">
        <f t="shared" si="53"/>
        <v>281.7017981314915</v>
      </c>
      <c r="R39" s="59">
        <f t="shared" si="0"/>
        <v>526.21421637252593</v>
      </c>
      <c r="S39" s="59">
        <f ca="1">AVERAGE(OFFSET($R$3,0,0,'Données projet'!$E$9+1,1))-AVERAGE(OFFSET($H$3,0,0,'Données projet'!$E$9+1,1))</f>
        <v>452.67426184967104</v>
      </c>
      <c r="T39" s="59">
        <f t="shared" si="34"/>
        <v>310.47823616327639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6.6666666666666661</v>
      </c>
      <c r="AI39" s="13">
        <f>IF('Données projet'!$A$62&gt;35,AI38+AH39-AQ38,IF(A39&lt;'Données projet'!$A$62,$AF$205^A39,IF(A39='Données projet'!$A$62,'Données projet'!$B$62,AI38+AH39-AQ38)))</f>
        <v>137.43589743589746</v>
      </c>
      <c r="AJ39" s="13">
        <f>AI39*VLOOKUP('Données projet'!$B$10,Paramètres!$A$1:$I$89,3,0)*VLOOKUP('Données projet'!$B$10,Paramètres!$A$1:$I$89,5,0)</f>
        <v>143.64800000000005</v>
      </c>
      <c r="AK39" s="13">
        <f t="shared" si="35"/>
        <v>37.131455821726362</v>
      </c>
      <c r="AL39" s="20">
        <f t="shared" si="4"/>
        <v>314.85755222284013</v>
      </c>
      <c r="AM39" s="59">
        <f t="shared" si="5"/>
        <v>559.36997046387455</v>
      </c>
      <c r="AN39" s="59">
        <f ca="1">AVERAGE(OFFSET($AM$3,0,0,'Données projet'!$E$10+1,1))-AVERAGE(OFFSET($H$3,0,0,'Données projet'!$E$10+1,1))</f>
        <v>528.45201982036087</v>
      </c>
      <c r="AO39" s="59">
        <f t="shared" si="36"/>
        <v>321.23004033257985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1.2346934234093951E-2</v>
      </c>
      <c r="AX39" s="21">
        <f t="shared" si="6"/>
        <v>1.2346934234093951E-2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3.8</v>
      </c>
      <c r="BD39" s="12">
        <f>IF('Données projet'!$A$88&gt;35,BD38+BC39-BL38,IF(A39&lt;'Données projet'!$A$88,$BA$205^A39,IF(A39='Données projet'!$A$88,'Données projet'!$B$88,BD38+BC39-BL38)))</f>
        <v>67.799999999999969</v>
      </c>
      <c r="BE39" s="13">
        <f>BD39*VLOOKUP('Données projet'!$B$11,Paramètres!$A$1:$I$89,3,0)*VLOOKUP('Données projet'!$B$11,Paramètres!$A$1:$I$89,5,0)</f>
        <v>65.576159999999973</v>
      </c>
      <c r="BF39" s="13">
        <f t="shared" si="37"/>
        <v>18.570723093543009</v>
      </c>
      <c r="BG39" s="20">
        <f t="shared" si="7"/>
        <v>146.55582138792067</v>
      </c>
      <c r="BH39" s="59">
        <f t="shared" si="8"/>
        <v>391.0682396289551</v>
      </c>
      <c r="BI39" s="59">
        <f ca="1">AVERAGE(OFFSET($BH$3,0,0,'Données projet'!$E$11+1,1))-AVERAGE(OFFSET($H$3,0,0,'Données projet'!$E$11+1,1))</f>
        <v>289.06522051625166</v>
      </c>
      <c r="BJ39" s="59">
        <f t="shared" si="38"/>
        <v>173.19148969173838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5.9</v>
      </c>
      <c r="BY39" s="12">
        <f>IF('Données projet'!$A$114&gt;35,BY38+BX39-CG38,IF(A39&lt;'Données projet'!$A$114,$BV$205^A39,IF(A39='Données projet'!$A$114,'Données projet'!$B$114,BY38+BX39-CG38)))</f>
        <v>127.40000000000009</v>
      </c>
      <c r="BZ39" s="13">
        <f>BY39*VLOOKUP('Données projet'!$B$12,Paramètres!$A$1:$I$89,3,0)*VLOOKUP('Données projet'!$B$12,Paramètres!$A$1:$I$89,5,0)</f>
        <v>103.34688000000008</v>
      </c>
      <c r="CA39" s="13">
        <f t="shared" si="39"/>
        <v>27.757811423037641</v>
      </c>
      <c r="CB39" s="20">
        <f t="shared" si="10"/>
        <v>228.34067089512405</v>
      </c>
      <c r="CC39" s="59">
        <f t="shared" si="11"/>
        <v>472.85308913615847</v>
      </c>
      <c r="CD39" s="59">
        <f ca="1">AVERAGE(OFFSET($CC$3,0,0,'Données projet'!$E$12+1,1))-AVERAGE(OFFSET($H$3,0,0,'Données projet'!$E$12+1,1))</f>
        <v>306.06916761900357</v>
      </c>
      <c r="CE39" s="59">
        <f t="shared" si="40"/>
        <v>258.90832875500337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2.2423506829918696E-2</v>
      </c>
      <c r="CN39" s="22">
        <f t="shared" si="12"/>
        <v>2.2423506829918696E-2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7.4</v>
      </c>
      <c r="CT39" s="12">
        <f>IF('Données projet'!$A$140&gt;35,CT38+CS39-DB38,IF(A39&lt;'Données projet'!$A$140,$CQ$205^A39,IF(A39='Données projet'!$A$140,'Données projet'!$B$140,CT38+CS39-DB38)))</f>
        <v>126.4</v>
      </c>
      <c r="CU39" s="17">
        <f>CT39*VLOOKUP('Données projet'!$B$13,Paramètres!$A$1:$I$89,3,0)*VLOOKUP('Données projet'!$B$13,Paramètres!$A$1:$I$89,5,0)</f>
        <v>84.789120000000011</v>
      </c>
      <c r="CV39" s="13">
        <f t="shared" si="41"/>
        <v>23.30415723584899</v>
      </c>
      <c r="CW39" s="20">
        <f t="shared" si="13"/>
        <v>188.262457852437</v>
      </c>
      <c r="CX39" s="59">
        <f t="shared" si="14"/>
        <v>432.77487609347145</v>
      </c>
      <c r="CY39" s="59">
        <f ca="1">AVERAGE(OFFSET($CX$3,0,0,'Données projet'!$E$13+1,1))-AVERAGE(OFFSET($H$3,0,0,'Données projet'!$E$13+1,1))</f>
        <v>324.58754156328285</v>
      </c>
      <c r="CZ39" s="59">
        <f t="shared" si="42"/>
        <v>226.01037731977604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1.3597844526348126E-2</v>
      </c>
      <c r="DI39" s="22">
        <f t="shared" si="15"/>
        <v>1.3597844526348126E-2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16.131410256410259</v>
      </c>
      <c r="DO39" s="12">
        <f>IF('Données projet'!$A$166&gt;35,DO38+DN39-DW38,IF(A39&lt;'Données projet'!$A$166,$DL$205^A39,IF(A39='Données projet'!$A$166,'Données projet'!$B$166,DO38+DN39-DW38)))</f>
        <v>313.58076923076925</v>
      </c>
      <c r="DP39" s="17">
        <f>DO39*VLOOKUP('Données projet'!$B$14,Paramètres!$A$1:$I$89,3,0)*VLOOKUP('Données projet'!$B$14,Paramètres!$A$1:$I$89,5,0)</f>
        <v>146.75580000000002</v>
      </c>
      <c r="DQ39" s="13">
        <f t="shared" si="43"/>
        <v>37.840393952855997</v>
      </c>
      <c r="DR39" s="20">
        <f t="shared" si="16"/>
        <v>321.5050378012242</v>
      </c>
      <c r="DS39" s="59">
        <f t="shared" si="17"/>
        <v>566.01745604225857</v>
      </c>
      <c r="DT39" s="59">
        <f ca="1">AVERAGE(OFFSET($DS$3,0,0,'Données projet'!$E$14+1,1))-AVERAGE(OFFSET($H$3,0,0,'Données projet'!$E$14+1,1))</f>
        <v>325.93182817189722</v>
      </c>
      <c r="DU39" s="59">
        <f t="shared" si="44"/>
        <v>280.04509991782709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10.199999999999999</v>
      </c>
      <c r="EJ39" s="12">
        <f>IF('Données projet'!$A$192&gt;35,EJ38+EI39-ER38,IF(A39&lt;'Données projet'!$A$192,$EG$205^A39,IF(A39='Données projet'!$A$192,'Données projet'!$B$192,EJ38+EI39-ER38)))</f>
        <v>179.1999999999999</v>
      </c>
      <c r="EK39" s="17">
        <f>EJ39*VLOOKUP('Données projet'!$B$15,Paramètres!$A$1:$I$89,3,0)*VLOOKUP('Données projet'!$B$15,Paramètres!$A$1:$I$89,5,0)</f>
        <v>142.57151999999994</v>
      </c>
      <c r="EL39" s="13">
        <f t="shared" si="45"/>
        <v>36.88547912245555</v>
      </c>
      <c r="EM39" s="20">
        <f t="shared" si="19"/>
        <v>312.55427347160997</v>
      </c>
      <c r="EN39" s="59">
        <f t="shared" si="20"/>
        <v>557.06669171264434</v>
      </c>
      <c r="EO39" s="59">
        <f ca="1">AVERAGE(OFFSET($EN$3,0,0,'Données projet'!$E$15+1,1))-AVERAGE(OFFSET($H$3,0,0,'Données projet'!$E$15+1,1))</f>
        <v>333.52903437536651</v>
      </c>
      <c r="EP39" s="59">
        <f t="shared" si="46"/>
        <v>359.47288701414777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3.2029758438846097</v>
      </c>
      <c r="EX39" s="21">
        <f>EXP(-LN(2)/2)*EX38+(1-EXP(-LN(2)/2))/(LN(2)/2)*ER39*EU39*VLOOKUP('Données projet'!$B$15,Paramètres!$A$1:$I$89,3,0)*0.475*44/12</f>
        <v>3.1522275947443383E-2</v>
      </c>
      <c r="EY39" s="22">
        <f t="shared" si="21"/>
        <v>3.234498119832053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12.74038461538462</v>
      </c>
      <c r="FE39" s="12">
        <f>IF('Données projet'!$A$218&gt;35,FE38+FD39-FM38,IF(A39&lt;'Données projet'!$A$218,$FB$205^A39,IF(A39='Données projet'!$A$218,'Données projet'!$B$218,FE38+FD39-FM38)))</f>
        <v>179.11346153846156</v>
      </c>
      <c r="FF39" s="17">
        <f>FE39*VLOOKUP('Données projet'!$B$16,Paramètres!$A$1:$I$89,3,0)*VLOOKUP('Données projet'!$B$16,Paramètres!$A$1:$I$89,5,0)</f>
        <v>107.10985000000002</v>
      </c>
      <c r="FG39" s="13">
        <f t="shared" si="47"/>
        <v>28.64899110170736</v>
      </c>
      <c r="FH39" s="20">
        <f t="shared" si="22"/>
        <v>236.44664825214033</v>
      </c>
      <c r="FI39" s="59">
        <f t="shared" si="23"/>
        <v>480.95906649317476</v>
      </c>
      <c r="FJ39" s="59">
        <f ca="1">AVERAGE(OFFSET($FI$3,0,0,'Données projet'!$E$16+1,1))-AVERAGE(OFFSET($H$3,0,0,'Données projet'!$E$16+1,1))</f>
        <v>313.26988717307376</v>
      </c>
      <c r="FK39" s="59">
        <f t="shared" si="48"/>
        <v>248.17359813993201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2.0697570293709284</v>
      </c>
      <c r="FR39" s="21">
        <f>EXP(-LN(2)/25)*FR38+(1-EXP(-LN(2)/25))/(LN(2)/25)*Calculateur!FM39*Calculateur!FO39*VLOOKUP('Données projet'!$B$16,Paramètres!$A$1:$I$89,3,0)*0.475*44/12</f>
        <v>6.3838101196716543</v>
      </c>
      <c r="FS39" s="21">
        <f>EXP(-LN(2)/2)*FS38+(1-EXP(-LN(2)/2))/(LN(2)/2)*FM39*FP39*VLOOKUP('Données projet'!$B$16,Paramètres!$A$1:$I$89,3,0)*0.475*44/12</f>
        <v>0.52628693772454271</v>
      </c>
      <c r="FT39" s="22">
        <f t="shared" si="24"/>
        <v>8.9798540867671246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3.8</v>
      </c>
      <c r="FZ39" s="12">
        <f>IF('Données projet'!$A$244&gt;35,FZ38+FY39-GH38,IF(A39&lt;'Données projet'!$A$244,$FW$205^A39,IF(A39='Données projet'!$A$244,'Données projet'!$B$244,FZ38+FY39-GH38)))</f>
        <v>67.799999999999969</v>
      </c>
      <c r="GA39" s="17">
        <f>FZ39*VLOOKUP('Données projet'!$B$17,Paramètres!$A$1:$I$89,3,0)*VLOOKUP('Données projet'!$B$17,Paramètres!$A$1:$I$89,5,0)</f>
        <v>72.979919999999964</v>
      </c>
      <c r="GB39" s="13">
        <f t="shared" si="49"/>
        <v>20.41167167648895</v>
      </c>
      <c r="GC39" s="20">
        <f t="shared" si="25"/>
        <v>162.65702216988487</v>
      </c>
      <c r="GD39" s="59">
        <f t="shared" si="26"/>
        <v>407.16944041091926</v>
      </c>
      <c r="GE39" s="59">
        <f ca="1">AVERAGE(OFFSET($GD$3,0,0,'Données projet'!$E$17+1,1))-AVERAGE(OFFSET($H$3,0,0,'Données projet'!$E$17+1,1))</f>
        <v>313.51355235711543</v>
      </c>
      <c r="GF39" s="59">
        <f t="shared" si="50"/>
        <v>186.0840067781198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0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7.4</v>
      </c>
      <c r="N40" s="13">
        <f>IF('Données projet'!$A$36&gt;35,N39+M40-V39,IF(A40&lt;'Données projet'!$A$36,$K$205^A40,IF(A40='Données projet'!$A$36,'Données projet'!$B$36,N39+M40-V39)))</f>
        <v>133.80000000000001</v>
      </c>
      <c r="O40" s="13">
        <f>N40*VLOOKUP('Données projet'!$B$9,Paramètres!$A$1:$I$89,3,0)*VLOOKUP('Données projet'!$B$9,Paramètres!$A$1:$I$89,5,0)</f>
        <v>135.67320000000004</v>
      </c>
      <c r="P40" s="13">
        <f t="shared" si="33"/>
        <v>35.303992626499358</v>
      </c>
      <c r="Q40" s="20">
        <f t="shared" si="53"/>
        <v>297.78527715781979</v>
      </c>
      <c r="R40" s="59">
        <f t="shared" si="0"/>
        <v>543.14462912849092</v>
      </c>
      <c r="S40" s="59">
        <f ca="1">AVERAGE(OFFSET($R$3,0,0,'Données projet'!$E$9+1,1))-AVERAGE(OFFSET($H$3,0,0,'Données projet'!$E$9+1,1))</f>
        <v>452.67426184967104</v>
      </c>
      <c r="T40" s="59">
        <f t="shared" si="34"/>
        <v>310.47823616327639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6.6666666666666661</v>
      </c>
      <c r="AI40" s="13">
        <f>IF('Données projet'!$A$62&gt;35,AI39+AH40-AQ39,IF(A40&lt;'Données projet'!$A$62,$AF$205^A40,IF(A40='Données projet'!$A$62,'Données projet'!$B$62,AI39+AH40-AQ39)))</f>
        <v>144.10256410256412</v>
      </c>
      <c r="AJ40" s="13">
        <f>AI40*VLOOKUP('Données projet'!$B$10,Paramètres!$A$1:$I$89,3,0)*VLOOKUP('Données projet'!$B$10,Paramètres!$A$1:$I$89,5,0)</f>
        <v>150.61600000000004</v>
      </c>
      <c r="AK40" s="13">
        <f t="shared" si="35"/>
        <v>38.718540424004757</v>
      </c>
      <c r="AL40" s="20">
        <f t="shared" si="4"/>
        <v>329.75765790514163</v>
      </c>
      <c r="AM40" s="59">
        <f t="shared" si="5"/>
        <v>575.11700987581276</v>
      </c>
      <c r="AN40" s="59">
        <f ca="1">AVERAGE(OFFSET($AM$3,0,0,'Données projet'!$E$10+1,1))-AVERAGE(OFFSET($H$3,0,0,'Données projet'!$E$10+1,1))</f>
        <v>528.45201982036087</v>
      </c>
      <c r="AO40" s="59">
        <f t="shared" si="36"/>
        <v>321.23004033257985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8.7306009237921641E-3</v>
      </c>
      <c r="AX40" s="21">
        <f t="shared" si="6"/>
        <v>8.7306009237921641E-3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3.8</v>
      </c>
      <c r="BD40" s="12">
        <f>IF('Données projet'!$A$88&gt;35,BD39+BC40-BL39,IF(A40&lt;'Données projet'!$A$88,$BA$205^A40,IF(A40='Données projet'!$A$88,'Données projet'!$B$88,BD39+BC40-BL39)))</f>
        <v>71.599999999999966</v>
      </c>
      <c r="BE40" s="13">
        <f>BD40*VLOOKUP('Données projet'!$B$11,Paramètres!$A$1:$I$89,3,0)*VLOOKUP('Données projet'!$B$11,Paramètres!$A$1:$I$89,5,0)</f>
        <v>69.251519999999971</v>
      </c>
      <c r="BF40" s="13">
        <f t="shared" si="37"/>
        <v>19.487467473954798</v>
      </c>
      <c r="BG40" s="20">
        <f t="shared" si="7"/>
        <v>154.55373651713788</v>
      </c>
      <c r="BH40" s="59">
        <f t="shared" si="8"/>
        <v>399.91308848780898</v>
      </c>
      <c r="BI40" s="59">
        <f ca="1">AVERAGE(OFFSET($BH$3,0,0,'Données projet'!$E$11+1,1))-AVERAGE(OFFSET($H$3,0,0,'Données projet'!$E$11+1,1))</f>
        <v>289.06522051625166</v>
      </c>
      <c r="BJ40" s="59">
        <f t="shared" si="38"/>
        <v>173.19148969173838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5.9</v>
      </c>
      <c r="BY40" s="12">
        <f>IF('Données projet'!$A$114&gt;35,BY39+BX40-CG39,IF(A40&lt;'Données projet'!$A$114,$BV$205^A40,IF(A40='Données projet'!$A$114,'Données projet'!$B$114,BY39+BX40-CG39)))</f>
        <v>133.3000000000001</v>
      </c>
      <c r="BZ40" s="13">
        <f>BY40*VLOOKUP('Données projet'!$B$12,Paramètres!$A$1:$I$89,3,0)*VLOOKUP('Données projet'!$B$12,Paramètres!$A$1:$I$89,5,0)</f>
        <v>108.1329600000001</v>
      </c>
      <c r="CA40" s="13">
        <f t="shared" si="39"/>
        <v>28.890658079177882</v>
      </c>
      <c r="CB40" s="20">
        <f t="shared" si="10"/>
        <v>238.64946815456832</v>
      </c>
      <c r="CC40" s="59">
        <f t="shared" si="11"/>
        <v>484.00882012523942</v>
      </c>
      <c r="CD40" s="59">
        <f ca="1">AVERAGE(OFFSET($CC$3,0,0,'Données projet'!$E$12+1,1))-AVERAGE(OFFSET($H$3,0,0,'Données projet'!$E$12+1,1))</f>
        <v>306.06916761900357</v>
      </c>
      <c r="CE40" s="59">
        <f t="shared" si="40"/>
        <v>258.90832875500337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1.5855813737418373E-2</v>
      </c>
      <c r="CN40" s="22">
        <f t="shared" si="12"/>
        <v>1.5855813737418373E-2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7.4</v>
      </c>
      <c r="CT40" s="12">
        <f>IF('Données projet'!$A$140&gt;35,CT39+CS40-DB39,IF(A40&lt;'Données projet'!$A$140,$CQ$205^A40,IF(A40='Données projet'!$A$140,'Données projet'!$B$140,CT39+CS40-DB39)))</f>
        <v>133.80000000000001</v>
      </c>
      <c r="CU40" s="17">
        <f>CT40*VLOOKUP('Données projet'!$B$13,Paramètres!$A$1:$I$89,3,0)*VLOOKUP('Données projet'!$B$13,Paramètres!$A$1:$I$89,5,0)</f>
        <v>89.753040000000013</v>
      </c>
      <c r="CV40" s="13">
        <f t="shared" si="41"/>
        <v>24.505654667058266</v>
      </c>
      <c r="CW40" s="20">
        <f t="shared" si="13"/>
        <v>199.00055987845982</v>
      </c>
      <c r="CX40" s="59">
        <f t="shared" si="14"/>
        <v>444.35991184913092</v>
      </c>
      <c r="CY40" s="59">
        <f ca="1">AVERAGE(OFFSET($CX$3,0,0,'Données projet'!$E$13+1,1))-AVERAGE(OFFSET($H$3,0,0,'Données projet'!$E$13+1,1))</f>
        <v>324.58754156328285</v>
      </c>
      <c r="CZ40" s="59">
        <f t="shared" si="42"/>
        <v>226.01037731977604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9.6151280741011372E-3</v>
      </c>
      <c r="DI40" s="22">
        <f t="shared" si="15"/>
        <v>9.6151280741011372E-3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16.131410256410259</v>
      </c>
      <c r="DO40" s="12">
        <f>IF('Données projet'!$A$166&gt;35,DO39+DN40-DW39,IF(A40&lt;'Données projet'!$A$166,$DL$205^A40,IF(A40='Données projet'!$A$166,'Données projet'!$B$166,DO39+DN40-DW39)))</f>
        <v>329.71217948717953</v>
      </c>
      <c r="DP40" s="17">
        <f>DO40*VLOOKUP('Données projet'!$B$14,Paramètres!$A$1:$I$89,3,0)*VLOOKUP('Données projet'!$B$14,Paramètres!$A$1:$I$89,5,0)</f>
        <v>154.30530000000002</v>
      </c>
      <c r="DQ40" s="13">
        <f t="shared" si="43"/>
        <v>39.555363325024224</v>
      </c>
      <c r="DR40" s="20">
        <f t="shared" si="16"/>
        <v>337.64065529108387</v>
      </c>
      <c r="DS40" s="59">
        <f t="shared" si="17"/>
        <v>583.00000726175494</v>
      </c>
      <c r="DT40" s="59">
        <f ca="1">AVERAGE(OFFSET($DS$3,0,0,'Données projet'!$E$14+1,1))-AVERAGE(OFFSET($H$3,0,0,'Données projet'!$E$14+1,1))</f>
        <v>325.93182817189722</v>
      </c>
      <c r="DU40" s="59">
        <f t="shared" si="44"/>
        <v>280.04509991782709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10.199999999999999</v>
      </c>
      <c r="EJ40" s="12">
        <f>IF('Données projet'!$A$192&gt;35,EJ39+EI40-ER39,IF(A40&lt;'Données projet'!$A$192,$EG$205^A40,IF(A40='Données projet'!$A$192,'Données projet'!$B$192,EJ39+EI40-ER39)))</f>
        <v>189.39999999999989</v>
      </c>
      <c r="EK40" s="17">
        <f>EJ40*VLOOKUP('Données projet'!$B$15,Paramètres!$A$1:$I$89,3,0)*VLOOKUP('Données projet'!$B$15,Paramètres!$A$1:$I$89,5,0)</f>
        <v>150.68663999999993</v>
      </c>
      <c r="EL40" s="13">
        <f t="shared" si="45"/>
        <v>38.734585523437175</v>
      </c>
      <c r="EM40" s="20">
        <f t="shared" si="19"/>
        <v>329.90863445331962</v>
      </c>
      <c r="EN40" s="59">
        <f t="shared" si="20"/>
        <v>575.26798642399069</v>
      </c>
      <c r="EO40" s="59">
        <f ca="1">AVERAGE(OFFSET($EN$3,0,0,'Données projet'!$E$15+1,1))-AVERAGE(OFFSET($H$3,0,0,'Données projet'!$E$15+1,1))</f>
        <v>333.52903437536651</v>
      </c>
      <c r="EP40" s="59">
        <f t="shared" si="46"/>
        <v>359.47288701414777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3.1153903009964057</v>
      </c>
      <c r="EX40" s="21">
        <f>EXP(-LN(2)/2)*EX39+(1-EXP(-LN(2)/2))/(LN(2)/2)*ER40*EU40*VLOOKUP('Données projet'!$B$15,Paramètres!$A$1:$I$89,3,0)*0.475*44/12</f>
        <v>2.2289615080870819E-2</v>
      </c>
      <c r="EY40" s="22">
        <f t="shared" si="21"/>
        <v>3.1376799160772766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12.74038461538462</v>
      </c>
      <c r="FE40" s="12">
        <f>IF('Données projet'!$A$218&gt;35,FE39+FD40-FM39,IF(A40&lt;'Données projet'!$A$218,$FB$205^A40,IF(A40='Données projet'!$A$218,'Données projet'!$B$218,FE39+FD40-FM39)))</f>
        <v>191.85384615384618</v>
      </c>
      <c r="FF40" s="17">
        <f>FE40*VLOOKUP('Données projet'!$B$16,Paramètres!$A$1:$I$89,3,0)*VLOOKUP('Données projet'!$B$16,Paramètres!$A$1:$I$89,5,0)</f>
        <v>114.72860000000003</v>
      </c>
      <c r="FG40" s="13">
        <f t="shared" si="47"/>
        <v>30.442335906087649</v>
      </c>
      <c r="FH40" s="20">
        <f t="shared" si="22"/>
        <v>252.83938003643598</v>
      </c>
      <c r="FI40" s="59">
        <f t="shared" si="23"/>
        <v>498.19873200710708</v>
      </c>
      <c r="FJ40" s="59">
        <f ca="1">AVERAGE(OFFSET($FI$3,0,0,'Données projet'!$E$16+1,1))-AVERAGE(OFFSET($H$3,0,0,'Données projet'!$E$16+1,1))</f>
        <v>313.26988717307376</v>
      </c>
      <c r="FK40" s="59">
        <f t="shared" si="48"/>
        <v>248.17359813993201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2.0291703564520982</v>
      </c>
      <c r="FR40" s="21">
        <f>EXP(-LN(2)/25)*FR39+(1-EXP(-LN(2)/25))/(LN(2)/25)*Calculateur!FM40*Calculateur!FO40*VLOOKUP('Données projet'!$B$16,Paramètres!$A$1:$I$89,3,0)*0.475*44/12</f>
        <v>6.2092444962392488</v>
      </c>
      <c r="FS40" s="21">
        <f>EXP(-LN(2)/2)*FS39+(1-EXP(-LN(2)/2))/(LN(2)/2)*FM40*FP40*VLOOKUP('Données projet'!$B$16,Paramètres!$A$1:$I$89,3,0)*0.475*44/12</f>
        <v>0.3721410625149264</v>
      </c>
      <c r="FT40" s="22">
        <f t="shared" si="24"/>
        <v>8.6105559152062732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3.8</v>
      </c>
      <c r="FZ40" s="12">
        <f>IF('Données projet'!$A$244&gt;35,FZ39+FY40-GH39,IF(A40&lt;'Données projet'!$A$244,$FW$205^A40,IF(A40='Données projet'!$A$244,'Données projet'!$B$244,FZ39+FY40-GH39)))</f>
        <v>71.599999999999966</v>
      </c>
      <c r="GA40" s="17">
        <f>FZ40*VLOOKUP('Données projet'!$B$17,Paramètres!$A$1:$I$89,3,0)*VLOOKUP('Données projet'!$B$17,Paramètres!$A$1:$I$89,5,0)</f>
        <v>77.07023999999997</v>
      </c>
      <c r="GB40" s="13">
        <f t="shared" si="49"/>
        <v>21.419294546636529</v>
      </c>
      <c r="GC40" s="20">
        <f t="shared" si="25"/>
        <v>171.53593933539187</v>
      </c>
      <c r="GD40" s="59">
        <f t="shared" si="26"/>
        <v>416.89529130606297</v>
      </c>
      <c r="GE40" s="59">
        <f ca="1">AVERAGE(OFFSET($GD$3,0,0,'Données projet'!$E$17+1,1))-AVERAGE(OFFSET($H$3,0,0,'Données projet'!$E$17+1,1))</f>
        <v>313.51355235711543</v>
      </c>
      <c r="GF40" s="59">
        <f t="shared" si="50"/>
        <v>186.0840067781198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0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7.4</v>
      </c>
      <c r="N41" s="13">
        <f>IF('Données projet'!$A$36&gt;35,N40+M41-V40,IF(A41&lt;'Données projet'!$A$36,$K$205^A41,IF(A41='Données projet'!$A$36,'Données projet'!$B$36,N40+M41-V40)))</f>
        <v>141.20000000000002</v>
      </c>
      <c r="O41" s="13">
        <f>N41*VLOOKUP('Données projet'!$B$9,Paramètres!$A$1:$I$89,3,0)*VLOOKUP('Données projet'!$B$9,Paramètres!$A$1:$I$89,5,0)</f>
        <v>143.17680000000004</v>
      </c>
      <c r="P41" s="13">
        <f t="shared" si="33"/>
        <v>37.023812674521515</v>
      </c>
      <c r="Q41" s="20">
        <f t="shared" si="53"/>
        <v>313.84940040812506</v>
      </c>
      <c r="R41" s="59">
        <f t="shared" si="0"/>
        <v>560.04099370168376</v>
      </c>
      <c r="S41" s="59">
        <f ca="1">AVERAGE(OFFSET($R$3,0,0,'Données projet'!$E$9+1,1))-AVERAGE(OFFSET($H$3,0,0,'Données projet'!$E$9+1,1))</f>
        <v>452.67426184967104</v>
      </c>
      <c r="T41" s="59">
        <f t="shared" si="34"/>
        <v>310.47823616327639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6.6666666666666661</v>
      </c>
      <c r="AI41" s="13">
        <f>IF('Données projet'!$A$62&gt;35,AI40+AH41-AQ40,IF(A41&lt;'Données projet'!$A$62,$AF$205^A41,IF(A41='Données projet'!$A$62,'Données projet'!$B$62,AI40+AH41-AQ40)))</f>
        <v>150.76923076923077</v>
      </c>
      <c r="AJ41" s="13">
        <f>AI41*VLOOKUP('Données projet'!$B$10,Paramètres!$A$1:$I$89,3,0)*VLOOKUP('Données projet'!$B$10,Paramètres!$A$1:$I$89,5,0)</f>
        <v>157.584</v>
      </c>
      <c r="AK41" s="13">
        <f t="shared" si="35"/>
        <v>40.297098249832494</v>
      </c>
      <c r="AL41" s="20">
        <f t="shared" si="4"/>
        <v>344.64291278512491</v>
      </c>
      <c r="AM41" s="59">
        <f t="shared" si="5"/>
        <v>590.8345060786836</v>
      </c>
      <c r="AN41" s="59">
        <f ca="1">AVERAGE(OFFSET($AM$3,0,0,'Données projet'!$E$10+1,1))-AVERAGE(OFFSET($H$3,0,0,'Données projet'!$E$10+1,1))</f>
        <v>528.45201982036087</v>
      </c>
      <c r="AO41" s="59">
        <f t="shared" si="36"/>
        <v>321.23004033257985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6.1734671170469756E-3</v>
      </c>
      <c r="AX41" s="21">
        <f t="shared" si="6"/>
        <v>6.1734671170469756E-3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3.8</v>
      </c>
      <c r="BD41" s="12">
        <f>IF('Données projet'!$A$88&gt;35,BD40+BC41-BL40,IF(A41&lt;'Données projet'!$A$88,$BA$205^A41,IF(A41='Données projet'!$A$88,'Données projet'!$B$88,BD40+BC41-BL40)))</f>
        <v>75.399999999999963</v>
      </c>
      <c r="BE41" s="13">
        <f>BD41*VLOOKUP('Données projet'!$B$11,Paramètres!$A$1:$I$89,3,0)*VLOOKUP('Données projet'!$B$11,Paramètres!$A$1:$I$89,5,0)</f>
        <v>72.926879999999969</v>
      </c>
      <c r="BF41" s="13">
        <f t="shared" si="37"/>
        <v>20.398563182833655</v>
      </c>
      <c r="BG41" s="20">
        <f t="shared" si="7"/>
        <v>162.54181354343521</v>
      </c>
      <c r="BH41" s="59">
        <f t="shared" si="8"/>
        <v>408.73340683699394</v>
      </c>
      <c r="BI41" s="59">
        <f ca="1">AVERAGE(OFFSET($BH$3,0,0,'Données projet'!$E$11+1,1))-AVERAGE(OFFSET($H$3,0,0,'Données projet'!$E$11+1,1))</f>
        <v>289.06522051625166</v>
      </c>
      <c r="BJ41" s="59">
        <f t="shared" si="38"/>
        <v>173.19148969173838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5.9</v>
      </c>
      <c r="BY41" s="12">
        <f>IF('Données projet'!$A$114&gt;35,BY40+BX41-CG40,IF(A41&lt;'Données projet'!$A$114,$BV$205^A41,IF(A41='Données projet'!$A$114,'Données projet'!$B$114,BY40+BX41-CG40)))</f>
        <v>139.2000000000001</v>
      </c>
      <c r="BZ41" s="13">
        <f>BY41*VLOOKUP('Données projet'!$B$12,Paramètres!$A$1:$I$89,3,0)*VLOOKUP('Données projet'!$B$12,Paramètres!$A$1:$I$89,5,0)</f>
        <v>112.91904000000009</v>
      </c>
      <c r="CA41" s="13">
        <f t="shared" si="39"/>
        <v>30.01768132390011</v>
      </c>
      <c r="CB41" s="20">
        <f t="shared" si="10"/>
        <v>248.94812297245949</v>
      </c>
      <c r="CC41" s="59">
        <f t="shared" si="11"/>
        <v>495.13971626601824</v>
      </c>
      <c r="CD41" s="59">
        <f ca="1">AVERAGE(OFFSET($CC$3,0,0,'Données projet'!$E$12+1,1))-AVERAGE(OFFSET($H$3,0,0,'Données projet'!$E$12+1,1))</f>
        <v>306.06916761900357</v>
      </c>
      <c r="CE41" s="59">
        <f t="shared" si="40"/>
        <v>258.90832875500337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1.1211753414959348E-2</v>
      </c>
      <c r="CN41" s="22">
        <f t="shared" si="12"/>
        <v>1.1211753414959348E-2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7.4</v>
      </c>
      <c r="CT41" s="12">
        <f>IF('Données projet'!$A$140&gt;35,CT40+CS41-DB40,IF(A41&lt;'Données projet'!$A$140,$CQ$205^A41,IF(A41='Données projet'!$A$140,'Données projet'!$B$140,CT40+CS41-DB40)))</f>
        <v>141.20000000000002</v>
      </c>
      <c r="CU41" s="17">
        <f>CT41*VLOOKUP('Données projet'!$B$13,Paramètres!$A$1:$I$89,3,0)*VLOOKUP('Données projet'!$B$13,Paramètres!$A$1:$I$89,5,0)</f>
        <v>94.716960000000014</v>
      </c>
      <c r="CV41" s="13">
        <f t="shared" si="41"/>
        <v>25.69943794908513</v>
      </c>
      <c r="CW41" s="20">
        <f t="shared" si="13"/>
        <v>209.72522642798995</v>
      </c>
      <c r="CX41" s="59">
        <f t="shared" si="14"/>
        <v>455.91681972154868</v>
      </c>
      <c r="CY41" s="59">
        <f ca="1">AVERAGE(OFFSET($CX$3,0,0,'Données projet'!$E$13+1,1))-AVERAGE(OFFSET($H$3,0,0,'Données projet'!$E$13+1,1))</f>
        <v>324.58754156328285</v>
      </c>
      <c r="CZ41" s="59">
        <f t="shared" si="42"/>
        <v>226.01037731977604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6.798922263174063E-3</v>
      </c>
      <c r="DI41" s="22">
        <f t="shared" si="15"/>
        <v>6.798922263174063E-3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16.131410256410259</v>
      </c>
      <c r="DO41" s="12">
        <f>IF('Données projet'!$A$166&gt;35,DO40+DN41-DW40,IF(A41&lt;'Données projet'!$A$166,$DL$205^A41,IF(A41='Données projet'!$A$166,'Données projet'!$B$166,DO40+DN41-DW40)))</f>
        <v>345.8435897435898</v>
      </c>
      <c r="DP41" s="17">
        <f>DO41*VLOOKUP('Données projet'!$B$14,Paramètres!$A$1:$I$89,3,0)*VLOOKUP('Données projet'!$B$14,Paramètres!$A$1:$I$89,5,0)</f>
        <v>161.85480000000001</v>
      </c>
      <c r="DQ41" s="13">
        <f t="shared" si="43"/>
        <v>41.260589676862445</v>
      </c>
      <c r="DR41" s="20">
        <f t="shared" si="16"/>
        <v>353.75930368720213</v>
      </c>
      <c r="DS41" s="59">
        <f t="shared" si="17"/>
        <v>599.95089698076083</v>
      </c>
      <c r="DT41" s="59">
        <f ca="1">AVERAGE(OFFSET($DS$3,0,0,'Données projet'!$E$14+1,1))-AVERAGE(OFFSET($H$3,0,0,'Données projet'!$E$14+1,1))</f>
        <v>325.93182817189722</v>
      </c>
      <c r="DU41" s="59">
        <f t="shared" si="44"/>
        <v>280.04509991782709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10.199999999999999</v>
      </c>
      <c r="EJ41" s="12">
        <f>IF('Données projet'!$A$192&gt;35,EJ40+EI41-ER40,IF(A41&lt;'Données projet'!$A$192,$EG$205^A41,IF(A41='Données projet'!$A$192,'Données projet'!$B$192,EJ40+EI41-ER40)))</f>
        <v>199.59999999999988</v>
      </c>
      <c r="EK41" s="17">
        <f>EJ41*VLOOKUP('Données projet'!$B$15,Paramètres!$A$1:$I$89,3,0)*VLOOKUP('Données projet'!$B$15,Paramètres!$A$1:$I$89,5,0)</f>
        <v>158.80175999999992</v>
      </c>
      <c r="EL41" s="13">
        <f t="shared" si="45"/>
        <v>40.572130902159856</v>
      </c>
      <c r="EM41" s="20">
        <f t="shared" si="19"/>
        <v>347.24285998792817</v>
      </c>
      <c r="EN41" s="59">
        <f t="shared" si="20"/>
        <v>593.43445328148687</v>
      </c>
      <c r="EO41" s="59">
        <f ca="1">AVERAGE(OFFSET($EN$3,0,0,'Données projet'!$E$15+1,1))-AVERAGE(OFFSET($H$3,0,0,'Données projet'!$E$15+1,1))</f>
        <v>333.52903437536651</v>
      </c>
      <c r="EP41" s="59">
        <f t="shared" si="46"/>
        <v>359.47288701414777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3.0301997893844033</v>
      </c>
      <c r="EX41" s="21">
        <f>EXP(-LN(2)/2)*EX40+(1-EXP(-LN(2)/2))/(LN(2)/2)*ER41*EU41*VLOOKUP('Données projet'!$B$15,Paramètres!$A$1:$I$89,3,0)*0.475*44/12</f>
        <v>1.5761137973721692E-2</v>
      </c>
      <c r="EY41" s="22">
        <f t="shared" si="21"/>
        <v>3.045960927358125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12.74038461538462</v>
      </c>
      <c r="FE41" s="12">
        <f>IF('Données projet'!$A$218&gt;35,FE40+FD41-FM40,IF(A41&lt;'Données projet'!$A$218,$FB$205^A41,IF(A41='Données projet'!$A$218,'Données projet'!$B$218,FE40+FD41-FM40)))</f>
        <v>204.59423076923079</v>
      </c>
      <c r="FF41" s="17">
        <f>FE41*VLOOKUP('Données projet'!$B$16,Paramètres!$A$1:$I$89,3,0)*VLOOKUP('Données projet'!$B$16,Paramètres!$A$1:$I$89,5,0)</f>
        <v>122.34735000000002</v>
      </c>
      <c r="FG41" s="13">
        <f t="shared" si="47"/>
        <v>32.221861336884544</v>
      </c>
      <c r="FH41" s="20">
        <f t="shared" si="22"/>
        <v>269.20804307840729</v>
      </c>
      <c r="FI41" s="59">
        <f t="shared" si="23"/>
        <v>515.39963637196604</v>
      </c>
      <c r="FJ41" s="59">
        <f ca="1">AVERAGE(OFFSET($FI$3,0,0,'Données projet'!$E$16+1,1))-AVERAGE(OFFSET($H$3,0,0,'Données projet'!$E$16+1,1))</f>
        <v>313.26988717307376</v>
      </c>
      <c r="FK41" s="59">
        <f t="shared" si="48"/>
        <v>248.17359813993201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1.9893795634337801</v>
      </c>
      <c r="FR41" s="21">
        <f>EXP(-LN(2)/25)*FR40+(1-EXP(-LN(2)/25))/(LN(2)/25)*Calculateur!FM41*Calculateur!FO41*VLOOKUP('Données projet'!$B$16,Paramètres!$A$1:$I$89,3,0)*0.475*44/12</f>
        <v>6.0394523789596102</v>
      </c>
      <c r="FS41" s="21">
        <f>EXP(-LN(2)/2)*FS40+(1-EXP(-LN(2)/2))/(LN(2)/2)*FM41*FP41*VLOOKUP('Données projet'!$B$16,Paramètres!$A$1:$I$89,3,0)*0.475*44/12</f>
        <v>0.26314346886227136</v>
      </c>
      <c r="FT41" s="22">
        <f t="shared" si="24"/>
        <v>8.2919754112556614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3.8</v>
      </c>
      <c r="FZ41" s="12">
        <f>IF('Données projet'!$A$244&gt;35,FZ40+FY41-GH40,IF(A41&lt;'Données projet'!$A$244,$FW$205^A41,IF(A41='Données projet'!$A$244,'Données projet'!$B$244,FZ40+FY41-GH40)))</f>
        <v>75.399999999999963</v>
      </c>
      <c r="GA41" s="17">
        <f>FZ41*VLOOKUP('Données projet'!$B$17,Paramètres!$A$1:$I$89,3,0)*VLOOKUP('Données projet'!$B$17,Paramètres!$A$1:$I$89,5,0)</f>
        <v>81.160559999999947</v>
      </c>
      <c r="GB41" s="13">
        <f t="shared" si="49"/>
        <v>22.420708782464498</v>
      </c>
      <c r="GC41" s="20">
        <f t="shared" si="25"/>
        <v>180.40404312945893</v>
      </c>
      <c r="GD41" s="59">
        <f t="shared" si="26"/>
        <v>426.59563642301765</v>
      </c>
      <c r="GE41" s="59">
        <f ca="1">AVERAGE(OFFSET($GD$3,0,0,'Données projet'!$E$17+1,1))-AVERAGE(OFFSET($H$3,0,0,'Données projet'!$E$17+1,1))</f>
        <v>313.51355235711543</v>
      </c>
      <c r="GF41" s="59">
        <f t="shared" si="50"/>
        <v>186.0840067781198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0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7.4</v>
      </c>
      <c r="N42" s="13">
        <f>IF('Données projet'!$A$36&gt;35,N41+M42-V41,IF(A42&lt;'Données projet'!$A$36,$K$205^A42,IF(A42='Données projet'!$A$36,'Données projet'!$B$36,N41+M42-V41)))</f>
        <v>148.60000000000002</v>
      </c>
      <c r="O42" s="13">
        <f>N42*VLOOKUP('Données projet'!$B$9,Paramètres!$A$1:$I$89,3,0)*VLOOKUP('Données projet'!$B$9,Paramètres!$A$1:$I$89,5,0)</f>
        <v>150.68040000000002</v>
      </c>
      <c r="P42" s="13">
        <f t="shared" si="33"/>
        <v>38.733168211295357</v>
      </c>
      <c r="Q42" s="20">
        <f t="shared" si="53"/>
        <v>329.8952979680061</v>
      </c>
      <c r="R42" s="59">
        <f t="shared" si="0"/>
        <v>576.90469505811325</v>
      </c>
      <c r="S42" s="59">
        <f ca="1">AVERAGE(OFFSET($R$3,0,0,'Données projet'!$E$9+1,1))-AVERAGE(OFFSET($H$3,0,0,'Données projet'!$E$9+1,1))</f>
        <v>452.67426184967104</v>
      </c>
      <c r="T42" s="59">
        <f t="shared" si="34"/>
        <v>310.47823616327639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6.6666666666666661</v>
      </c>
      <c r="AI42" s="13">
        <f>IF('Données projet'!$A$62&gt;35,AI41+AH42-AQ41,IF(A42&lt;'Données projet'!$A$62,$AF$205^A42,IF(A42='Données projet'!$A$62,'Données projet'!$B$62,AI41+AH42-AQ41)))</f>
        <v>157.43589743589743</v>
      </c>
      <c r="AJ42" s="13">
        <f>AI42*VLOOKUP('Données projet'!$B$10,Paramètres!$A$1:$I$89,3,0)*VLOOKUP('Données projet'!$B$10,Paramètres!$A$1:$I$89,5,0)</f>
        <v>164.55200000000002</v>
      </c>
      <c r="AK42" s="13">
        <f t="shared" si="35"/>
        <v>41.867549418546126</v>
      </c>
      <c r="AL42" s="20">
        <f t="shared" si="4"/>
        <v>359.51404857063454</v>
      </c>
      <c r="AM42" s="59">
        <f t="shared" si="5"/>
        <v>606.52344566074169</v>
      </c>
      <c r="AN42" s="59">
        <f ca="1">AVERAGE(OFFSET($AM$3,0,0,'Données projet'!$E$10+1,1))-AVERAGE(OFFSET($H$3,0,0,'Données projet'!$E$10+1,1))</f>
        <v>528.45201982036087</v>
      </c>
      <c r="AO42" s="59">
        <f t="shared" si="36"/>
        <v>321.23004033257985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4.3653004618960821E-3</v>
      </c>
      <c r="AX42" s="21">
        <f t="shared" si="6"/>
        <v>4.3653004618960821E-3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3.8</v>
      </c>
      <c r="BD42" s="12">
        <f>IF('Données projet'!$A$88&gt;35,BD41+BC42-BL41,IF(A42&lt;'Données projet'!$A$88,$BA$205^A42,IF(A42='Données projet'!$A$88,'Données projet'!$B$88,BD41+BC42-BL41)))</f>
        <v>79.19999999999996</v>
      </c>
      <c r="BE42" s="13">
        <f>BD42*VLOOKUP('Données projet'!$B$11,Paramètres!$A$1:$I$89,3,0)*VLOOKUP('Données projet'!$B$11,Paramètres!$A$1:$I$89,5,0)</f>
        <v>76.602239999999966</v>
      </c>
      <c r="BF42" s="13">
        <f t="shared" si="37"/>
        <v>21.304327382775732</v>
      </c>
      <c r="BG42" s="20">
        <f t="shared" si="7"/>
        <v>170.52060485833434</v>
      </c>
      <c r="BH42" s="59">
        <f t="shared" si="8"/>
        <v>417.53000194844145</v>
      </c>
      <c r="BI42" s="59">
        <f ca="1">AVERAGE(OFFSET($BH$3,0,0,'Données projet'!$E$11+1,1))-AVERAGE(OFFSET($H$3,0,0,'Données projet'!$E$11+1,1))</f>
        <v>289.06522051625166</v>
      </c>
      <c r="BJ42" s="59">
        <f t="shared" si="38"/>
        <v>173.19148969173838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5.9</v>
      </c>
      <c r="BY42" s="12">
        <f>IF('Données projet'!$A$114&gt;35,BY41+BX42-CG41,IF(A42&lt;'Données projet'!$A$114,$BV$205^A42,IF(A42='Données projet'!$A$114,'Données projet'!$B$114,BY41+BX42-CG41)))</f>
        <v>145.10000000000011</v>
      </c>
      <c r="BZ42" s="13">
        <f>BY42*VLOOKUP('Données projet'!$B$12,Paramètres!$A$1:$I$89,3,0)*VLOOKUP('Données projet'!$B$12,Paramètres!$A$1:$I$89,5,0)</f>
        <v>117.70512000000009</v>
      </c>
      <c r="CA42" s="13">
        <f t="shared" si="39"/>
        <v>31.139156202729879</v>
      </c>
      <c r="CB42" s="20">
        <f t="shared" si="10"/>
        <v>259.23711438642141</v>
      </c>
      <c r="CC42" s="59">
        <f t="shared" si="11"/>
        <v>506.24651147652855</v>
      </c>
      <c r="CD42" s="59">
        <f ca="1">AVERAGE(OFFSET($CC$3,0,0,'Données projet'!$E$12+1,1))-AVERAGE(OFFSET($H$3,0,0,'Données projet'!$E$12+1,1))</f>
        <v>306.06916761900357</v>
      </c>
      <c r="CE42" s="59">
        <f t="shared" si="40"/>
        <v>258.90832875500337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7.9279068687091864E-3</v>
      </c>
      <c r="CN42" s="22">
        <f t="shared" si="12"/>
        <v>7.9279068687091864E-3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7.4</v>
      </c>
      <c r="CT42" s="12">
        <f>IF('Données projet'!$A$140&gt;35,CT41+CS42-DB41,IF(A42&lt;'Données projet'!$A$140,$CQ$205^A42,IF(A42='Données projet'!$A$140,'Données projet'!$B$140,CT41+CS42-DB41)))</f>
        <v>148.60000000000002</v>
      </c>
      <c r="CU42" s="17">
        <f>CT42*VLOOKUP('Données projet'!$B$13,Paramètres!$A$1:$I$89,3,0)*VLOOKUP('Données projet'!$B$13,Paramètres!$A$1:$I$89,5,0)</f>
        <v>99.680880000000016</v>
      </c>
      <c r="CV42" s="13">
        <f t="shared" si="41"/>
        <v>26.885957471977893</v>
      </c>
      <c r="CW42" s="20">
        <f t="shared" si="13"/>
        <v>220.43724193036152</v>
      </c>
      <c r="CX42" s="59">
        <f t="shared" si="14"/>
        <v>467.44663902046864</v>
      </c>
      <c r="CY42" s="59">
        <f ca="1">AVERAGE(OFFSET($CX$3,0,0,'Données projet'!$E$13+1,1))-AVERAGE(OFFSET($H$3,0,0,'Données projet'!$E$13+1,1))</f>
        <v>324.58754156328285</v>
      </c>
      <c r="CZ42" s="59">
        <f t="shared" si="42"/>
        <v>226.01037731977604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4.8075640370505686E-3</v>
      </c>
      <c r="DI42" s="22">
        <f t="shared" si="15"/>
        <v>4.8075640370505686E-3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16.131410256410259</v>
      </c>
      <c r="DO42" s="12">
        <f>IF('Données projet'!$A$166&gt;35,DO41+DN42-DW41,IF(A42&lt;'Données projet'!$A$166,$DL$205^A42,IF(A42='Données projet'!$A$166,'Données projet'!$B$166,DO41+DN42-DW41)))</f>
        <v>361.97500000000008</v>
      </c>
      <c r="DP42" s="17">
        <f>DO42*VLOOKUP('Données projet'!$B$14,Paramètres!$A$1:$I$89,3,0)*VLOOKUP('Données projet'!$B$14,Paramètres!$A$1:$I$89,5,0)</f>
        <v>169.40430000000006</v>
      </c>
      <c r="DQ42" s="13">
        <f t="shared" si="43"/>
        <v>42.956579357099159</v>
      </c>
      <c r="DR42" s="20">
        <f t="shared" si="16"/>
        <v>369.86186488028119</v>
      </c>
      <c r="DS42" s="59">
        <f t="shared" si="17"/>
        <v>616.87126197038833</v>
      </c>
      <c r="DT42" s="59">
        <f ca="1">AVERAGE(OFFSET($DS$3,0,0,'Données projet'!$E$14+1,1))-AVERAGE(OFFSET($H$3,0,0,'Données projet'!$E$14+1,1))</f>
        <v>325.93182817189722</v>
      </c>
      <c r="DU42" s="59">
        <f t="shared" si="44"/>
        <v>280.04509991782709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10.199999999999999</v>
      </c>
      <c r="EJ42" s="12">
        <f>IF('Données projet'!$A$192&gt;35,EJ41+EI42-ER41,IF(A42&lt;'Données projet'!$A$192,$EG$205^A42,IF(A42='Données projet'!$A$192,'Données projet'!$B$192,EJ41+EI42-ER41)))</f>
        <v>209.79999999999987</v>
      </c>
      <c r="EK42" s="17">
        <f>EJ42*VLOOKUP('Données projet'!$B$15,Paramètres!$A$1:$I$89,3,0)*VLOOKUP('Données projet'!$B$15,Paramètres!$A$1:$I$89,5,0)</f>
        <v>166.91687999999991</v>
      </c>
      <c r="EL42" s="13">
        <f t="shared" si="45"/>
        <v>42.398773450063487</v>
      </c>
      <c r="EM42" s="20">
        <f t="shared" si="19"/>
        <v>364.55809642552708</v>
      </c>
      <c r="EN42" s="59">
        <f t="shared" si="20"/>
        <v>611.56749351563417</v>
      </c>
      <c r="EO42" s="59">
        <f ca="1">AVERAGE(OFFSET($EN$3,0,0,'Données projet'!$E$15+1,1))-AVERAGE(OFFSET($H$3,0,0,'Données projet'!$E$15+1,1))</f>
        <v>333.52903437536651</v>
      </c>
      <c r="EP42" s="59">
        <f t="shared" si="46"/>
        <v>359.47288701414777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2.9473388167924055</v>
      </c>
      <c r="EX42" s="21">
        <f>EXP(-LN(2)/2)*EX41+(1-EXP(-LN(2)/2))/(LN(2)/2)*ER42*EU42*VLOOKUP('Données projet'!$B$15,Paramètres!$A$1:$I$89,3,0)*0.475*44/12</f>
        <v>1.114480754043541E-2</v>
      </c>
      <c r="EY42" s="22">
        <f t="shared" si="21"/>
        <v>2.9584836243328407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12.74038461538462</v>
      </c>
      <c r="FE42" s="12">
        <f>IF('Données projet'!$A$218&gt;35,FE41+FD42-FM41,IF(A42&lt;'Données projet'!$A$218,$FB$205^A42,IF(A42='Données projet'!$A$218,'Données projet'!$B$218,FE41+FD42-FM41)))</f>
        <v>217.3346153846154</v>
      </c>
      <c r="FF42" s="17">
        <f>FE42*VLOOKUP('Données projet'!$B$16,Paramètres!$A$1:$I$89,3,0)*VLOOKUP('Données projet'!$B$16,Paramètres!$A$1:$I$89,5,0)</f>
        <v>129.96610000000001</v>
      </c>
      <c r="FG42" s="13">
        <f t="shared" si="47"/>
        <v>33.988525918782614</v>
      </c>
      <c r="FH42" s="20">
        <f t="shared" si="22"/>
        <v>285.55430680854636</v>
      </c>
      <c r="FI42" s="59">
        <f t="shared" si="23"/>
        <v>532.56370389865344</v>
      </c>
      <c r="FJ42" s="59">
        <f ca="1">AVERAGE(OFFSET($FI$3,0,0,'Données projet'!$E$16+1,1))-AVERAGE(OFFSET($H$3,0,0,'Données projet'!$E$16+1,1))</f>
        <v>313.26988717307376</v>
      </c>
      <c r="FK42" s="59">
        <f t="shared" si="48"/>
        <v>248.17359813993201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1.9503690435965639</v>
      </c>
      <c r="FR42" s="21">
        <f>EXP(-LN(2)/25)*FR41+(1-EXP(-LN(2)/25))/(LN(2)/25)*Calculateur!FM42*Calculateur!FO42*VLOOKUP('Données projet'!$B$16,Paramètres!$A$1:$I$89,3,0)*0.475*44/12</f>
        <v>5.8743032360559626</v>
      </c>
      <c r="FS42" s="21">
        <f>EXP(-LN(2)/2)*FS41+(1-EXP(-LN(2)/2))/(LN(2)/2)*FM42*FP42*VLOOKUP('Données projet'!$B$16,Paramètres!$A$1:$I$89,3,0)*0.475*44/12</f>
        <v>0.1860705312574632</v>
      </c>
      <c r="FT42" s="22">
        <f t="shared" si="24"/>
        <v>8.0107428109099903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3.8</v>
      </c>
      <c r="FZ42" s="12">
        <f>IF('Données projet'!$A$244&gt;35,FZ41+FY42-GH41,IF(A42&lt;'Données projet'!$A$244,$FW$205^A42,IF(A42='Données projet'!$A$244,'Données projet'!$B$244,FZ41+FY42-GH41)))</f>
        <v>79.19999999999996</v>
      </c>
      <c r="GA42" s="17">
        <f>FZ42*VLOOKUP('Données projet'!$B$17,Paramètres!$A$1:$I$89,3,0)*VLOOKUP('Données projet'!$B$17,Paramètres!$A$1:$I$89,5,0)</f>
        <v>85.250879999999952</v>
      </c>
      <c r="GB42" s="13">
        <f t="shared" si="49"/>
        <v>23.41626298745739</v>
      </c>
      <c r="GC42" s="20">
        <f t="shared" si="25"/>
        <v>189.26194070315486</v>
      </c>
      <c r="GD42" s="59">
        <f t="shared" si="26"/>
        <v>436.27133779326198</v>
      </c>
      <c r="GE42" s="59">
        <f ca="1">AVERAGE(OFFSET($GD$3,0,0,'Données projet'!$E$17+1,1))-AVERAGE(OFFSET($H$3,0,0,'Données projet'!$E$17+1,1))</f>
        <v>313.51355235711543</v>
      </c>
      <c r="GF42" s="59">
        <f t="shared" si="50"/>
        <v>186.0840067781198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0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156</v>
      </c>
      <c r="L43" s="12">
        <f>VLOOKUP(A43,'Données projet'!$A$35:$I$55,9,0)</f>
        <v>7.4</v>
      </c>
      <c r="M43" s="12">
        <f t="array" ref="M43">INDEX(L:L,MIN(IF(ISNUMBER(L43:L239),ROW(L43:L239),"")))</f>
        <v>7.4</v>
      </c>
      <c r="N43" s="13">
        <f>IF('Données projet'!$A$36&gt;35,N42+M43-V42,IF(A43&lt;'Données projet'!$A$36,$K$205^A43,IF(A43='Données projet'!$A$36,'Données projet'!$B$36,N42+M43-V42)))</f>
        <v>156.00000000000003</v>
      </c>
      <c r="O43" s="13">
        <f>N43*VLOOKUP('Données projet'!$B$9,Paramètres!$A$1:$I$89,3,0)*VLOOKUP('Données projet'!$B$9,Paramètres!$A$1:$I$89,5,0)</f>
        <v>158.18400000000003</v>
      </c>
      <c r="P43" s="13">
        <f t="shared" si="33"/>
        <v>40.432639815875881</v>
      </c>
      <c r="Q43" s="20">
        <f t="shared" si="53"/>
        <v>345.92398101265053</v>
      </c>
      <c r="R43" s="59">
        <f t="shared" si="0"/>
        <v>593.73699483177131</v>
      </c>
      <c r="S43" s="59">
        <f ca="1">AVERAGE(OFFSET($R$3,0,0,'Données projet'!$E$9+1,1))-AVERAGE(OFFSET($H$3,0,0,'Données projet'!$E$9+1,1))</f>
        <v>452.67426184967104</v>
      </c>
      <c r="T43" s="59">
        <f t="shared" si="34"/>
        <v>310.47823616327639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39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164.10256410256409</v>
      </c>
      <c r="AG43" s="12">
        <f>VLOOKUP(A43,'Données projet'!$A$61:$I$81,9,0)</f>
        <v>6.6666666666666661</v>
      </c>
      <c r="AH43" s="12">
        <f t="array" ref="AH43">INDEX(AG:AG,MIN(IF(ISNUMBER(AG43:AG239),ROW(AG43:AG239),"")))</f>
        <v>6.6666666666666661</v>
      </c>
      <c r="AI43" s="13">
        <f>IF('Données projet'!$A$62&gt;35,AI42+AH43-AQ42,IF(A43&lt;'Données projet'!$A$62,$AF$205^A43,IF(A43='Données projet'!$A$62,'Données projet'!$B$62,AI42+AH43-AQ42)))</f>
        <v>164.10256410256409</v>
      </c>
      <c r="AJ43" s="13">
        <f>AI43*VLOOKUP('Données projet'!$B$10,Paramètres!$A$1:$I$89,3,0)*VLOOKUP('Données projet'!$B$10,Paramètres!$A$1:$I$89,5,0)</f>
        <v>171.51999999999998</v>
      </c>
      <c r="AK43" s="13">
        <f t="shared" si="35"/>
        <v>43.430276456724698</v>
      </c>
      <c r="AL43" s="20">
        <f t="shared" si="4"/>
        <v>374.37173149546214</v>
      </c>
      <c r="AM43" s="59">
        <f t="shared" si="5"/>
        <v>622.18474531458298</v>
      </c>
      <c r="AN43" s="59">
        <f ca="1">AVERAGE(OFFSET($AM$3,0,0,'Données projet'!$E$10+1,1))-AVERAGE(OFFSET($H$3,0,0,'Données projet'!$E$10+1,1))</f>
        <v>528.45201982036087</v>
      </c>
      <c r="AO43" s="59">
        <f t="shared" si="36"/>
        <v>321.23004033257985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22.435897435897434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3.0867335585234878E-3</v>
      </c>
      <c r="AX43" s="21">
        <f t="shared" si="6"/>
        <v>3.0867335585234878E-3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83</v>
      </c>
      <c r="BB43" s="12">
        <f>VLOOKUP(A43,'Données projet'!$A$87:$I$107,9,0)</f>
        <v>3.8</v>
      </c>
      <c r="BC43" s="12">
        <f t="array" ref="BC43">INDEX(BB:BB,MIN(IF(ISNUMBER(BB43:BB239),ROW(BB43:BB239),"")))</f>
        <v>3.8</v>
      </c>
      <c r="BD43" s="12">
        <f>IF('Données projet'!$A$88&gt;35,BD42+BC43-BL42,IF(A43&lt;'Données projet'!$A$88,$BA$205^A43,IF(A43='Données projet'!$A$88,'Données projet'!$B$88,BD42+BC43-BL42)))</f>
        <v>82.999999999999957</v>
      </c>
      <c r="BE43" s="13">
        <f>BD43*VLOOKUP('Données projet'!$B$11,Paramètres!$A$1:$I$89,3,0)*VLOOKUP('Données projet'!$B$11,Paramètres!$A$1:$I$89,5,0)</f>
        <v>80.277599999999964</v>
      </c>
      <c r="BF43" s="13">
        <f t="shared" si="37"/>
        <v>22.205045081933243</v>
      </c>
      <c r="BG43" s="20">
        <f t="shared" si="7"/>
        <v>178.49060685103368</v>
      </c>
      <c r="BH43" s="59">
        <f t="shared" si="8"/>
        <v>426.30362067015449</v>
      </c>
      <c r="BI43" s="59">
        <f ca="1">AVERAGE(OFFSET($BH$3,0,0,'Données projet'!$E$11+1,1))-AVERAGE(OFFSET($H$3,0,0,'Données projet'!$E$11+1,1))</f>
        <v>289.06522051625166</v>
      </c>
      <c r="BJ43" s="59">
        <f t="shared" si="38"/>
        <v>173.19148969173838</v>
      </c>
      <c r="BK43" s="15">
        <f>IF(ISNA(VLOOKUP(A43,'Données projet'!$A$87:$I$107,3,0)),0,VLOOKUP(A43,'Données projet'!$A$87:$I$107,3,0))</f>
        <v>2</v>
      </c>
      <c r="BL43" s="15">
        <f>IF(ISNA(VLOOKUP(A43,'Données projet'!$A$87:$I$107,4,0)),0,VLOOKUP(A43,'Données projet'!$A$87:$I$107,4,0))</f>
        <v>17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151</v>
      </c>
      <c r="BW43" s="12">
        <f>VLOOKUP(A43,'Données projet'!$A$113:$I$133,9,0)</f>
        <v>5.9</v>
      </c>
      <c r="BX43" s="12">
        <f t="array" ref="BX43">INDEX(BW:BW,MIN(IF(ISNUMBER(BW43:BW239),ROW(BW43:BW239),"")))</f>
        <v>5.9</v>
      </c>
      <c r="BY43" s="12">
        <f>IF('Données projet'!$A$114&gt;35,BY42+BX43-CG42,IF(A43&lt;'Données projet'!$A$114,$BV$205^A43,IF(A43='Données projet'!$A$114,'Données projet'!$B$114,BY42+BX43-CG42)))</f>
        <v>151.00000000000011</v>
      </c>
      <c r="BZ43" s="13">
        <f>BY43*VLOOKUP('Données projet'!$B$12,Paramètres!$A$1:$I$89,3,0)*VLOOKUP('Données projet'!$B$12,Paramètres!$A$1:$I$89,5,0)</f>
        <v>122.49120000000011</v>
      </c>
      <c r="CA43" s="13">
        <f t="shared" si="39"/>
        <v>32.255334127777473</v>
      </c>
      <c r="CB43" s="20">
        <f t="shared" si="10"/>
        <v>269.5168802725459</v>
      </c>
      <c r="CC43" s="59">
        <f t="shared" si="11"/>
        <v>517.32989409166669</v>
      </c>
      <c r="CD43" s="59">
        <f ca="1">AVERAGE(OFFSET($CC$3,0,0,'Données projet'!$E$12+1,1))-AVERAGE(OFFSET($H$3,0,0,'Données projet'!$E$12+1,1))</f>
        <v>306.06916761900357</v>
      </c>
      <c r="CE43" s="59">
        <f t="shared" si="40"/>
        <v>258.90832875500337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25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5.6058767074796739E-3</v>
      </c>
      <c r="CN43" s="22">
        <f t="shared" si="12"/>
        <v>5.6058767074796739E-3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156</v>
      </c>
      <c r="CR43" s="12">
        <f>VLOOKUP(A43,'Données projet'!$A$139:$I$159,9,0)</f>
        <v>7.4</v>
      </c>
      <c r="CS43" s="12">
        <f t="array" ref="CS43">INDEX(CR:CR,MIN(IF(ISNUMBER(CR43:CR239),ROW(CR43:CR239),"")))</f>
        <v>7.4</v>
      </c>
      <c r="CT43" s="12">
        <f>IF('Données projet'!$A$140&gt;35,CT42+CS43-DB42,IF(A43&lt;'Données projet'!$A$140,$CQ$205^A43,IF(A43='Données projet'!$A$140,'Données projet'!$B$140,CT42+CS43-DB42)))</f>
        <v>156.00000000000003</v>
      </c>
      <c r="CU43" s="17">
        <f>CT43*VLOOKUP('Données projet'!$B$13,Paramètres!$A$1:$I$89,3,0)*VLOOKUP('Données projet'!$B$13,Paramètres!$A$1:$I$89,5,0)</f>
        <v>104.64480000000002</v>
      </c>
      <c r="CV43" s="13">
        <f t="shared" si="41"/>
        <v>28.065616234626241</v>
      </c>
      <c r="CW43" s="20">
        <f t="shared" si="13"/>
        <v>231.13730827530739</v>
      </c>
      <c r="CX43" s="59">
        <f t="shared" si="14"/>
        <v>478.9503220944282</v>
      </c>
      <c r="CY43" s="59">
        <f ca="1">AVERAGE(OFFSET($CX$3,0,0,'Données projet'!$E$13+1,1))-AVERAGE(OFFSET($H$3,0,0,'Données projet'!$E$13+1,1))</f>
        <v>324.58754156328285</v>
      </c>
      <c r="CZ43" s="59">
        <f t="shared" si="42"/>
        <v>226.01037731977604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39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3.3994611315870315E-3</v>
      </c>
      <c r="DI43" s="22">
        <f t="shared" si="15"/>
        <v>3.3994611315870315E-3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16.131410256410259</v>
      </c>
      <c r="DO43" s="12">
        <f>IF('Données projet'!$A$166&gt;35,DO42+DN43-DW42,IF(A43&lt;'Données projet'!$A$166,$DL$205^A43,IF(A43='Données projet'!$A$166,'Données projet'!$B$166,DO42+DN43-DW42)))</f>
        <v>378.10641025641036</v>
      </c>
      <c r="DP43" s="17">
        <f>DO43*VLOOKUP('Données projet'!$B$14,Paramètres!$A$1:$I$89,3,0)*VLOOKUP('Données projet'!$B$14,Paramètres!$A$1:$I$89,5,0)</f>
        <v>176.95380000000006</v>
      </c>
      <c r="DQ43" s="13">
        <f t="shared" si="43"/>
        <v>44.643791032081154</v>
      </c>
      <c r="DR43" s="20">
        <f t="shared" si="16"/>
        <v>385.94913771420806</v>
      </c>
      <c r="DS43" s="59">
        <f t="shared" si="17"/>
        <v>633.76215153332885</v>
      </c>
      <c r="DT43" s="59">
        <f ca="1">AVERAGE(OFFSET($DS$3,0,0,'Données projet'!$E$14+1,1))-AVERAGE(OFFSET($H$3,0,0,'Données projet'!$E$14+1,1))</f>
        <v>325.93182817189722</v>
      </c>
      <c r="DU43" s="59">
        <f t="shared" si="44"/>
        <v>280.04509991782709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220</v>
      </c>
      <c r="EH43" s="12">
        <f>VLOOKUP(A43,'Données projet'!$A$191:$I$211,9,0)</f>
        <v>10.199999999999999</v>
      </c>
      <c r="EI43" s="12">
        <f t="array" ref="EI43">INDEX(EH:EH,MIN(IF(ISNUMBER(EH43:EH239),ROW(EH43:EH239),"")))</f>
        <v>10.199999999999999</v>
      </c>
      <c r="EJ43" s="12">
        <f>IF('Données projet'!$A$192&gt;35,EJ42+EI43-ER42,IF(A43&lt;'Données projet'!$A$192,$EG$205^A43,IF(A43='Données projet'!$A$192,'Données projet'!$B$192,EJ42+EI43-ER42)))</f>
        <v>219.99999999999986</v>
      </c>
      <c r="EK43" s="17">
        <f>EJ43*VLOOKUP('Données projet'!$B$15,Paramètres!$A$1:$I$89,3,0)*VLOOKUP('Données projet'!$B$15,Paramètres!$A$1:$I$89,5,0)</f>
        <v>175.0319999999999</v>
      </c>
      <c r="EL43" s="13">
        <f t="shared" si="45"/>
        <v>44.215103743190973</v>
      </c>
      <c r="EM43" s="20">
        <f t="shared" si="19"/>
        <v>381.85537235272409</v>
      </c>
      <c r="EN43" s="59">
        <f t="shared" si="20"/>
        <v>629.66838617184487</v>
      </c>
      <c r="EO43" s="59">
        <f ca="1">AVERAGE(OFFSET($EN$3,0,0,'Données projet'!$E$15+1,1))-AVERAGE(OFFSET($H$3,0,0,'Données projet'!$E$15+1,1))</f>
        <v>333.52903437536651</v>
      </c>
      <c r="EP43" s="59">
        <f t="shared" si="46"/>
        <v>359.47288701414777</v>
      </c>
      <c r="EQ43" s="15">
        <f>IF(ISNA(VLOOKUP(A43,'Données projet'!$A$191:$I$211,3,0)),0,VLOOKUP(A43,'Données projet'!$A$191:$I$211,3,0))</f>
        <v>3</v>
      </c>
      <c r="ER43" s="15">
        <f>IF(ISNA(VLOOKUP(A43,'Données projet'!$A$191:$I$211,4,0)),0,VLOOKUP(A43,'Données projet'!$A$191:$I$211,4,0))</f>
        <v>56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2.8667436818534049</v>
      </c>
      <c r="EX43" s="21">
        <f>EXP(-LN(2)/2)*EX42+(1-EXP(-LN(2)/2))/(LN(2)/2)*ER43*EU43*VLOOKUP('Données projet'!$B$15,Paramètres!$A$1:$I$89,3,0)*0.475*44/12</f>
        <v>7.8805689868608458E-3</v>
      </c>
      <c r="EY43" s="22">
        <f t="shared" si="21"/>
        <v>2.8746242508402657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12.74038461538462</v>
      </c>
      <c r="FE43" s="12">
        <f>IF('Données projet'!$A$218&gt;35,FE42+FD43-FM42,IF(A43&lt;'Données projet'!$A$218,$FB$205^A43,IF(A43='Données projet'!$A$218,'Données projet'!$B$218,FE42+FD43-FM42)))</f>
        <v>230.07500000000002</v>
      </c>
      <c r="FF43" s="17">
        <f>FE43*VLOOKUP('Données projet'!$B$16,Paramètres!$A$1:$I$89,3,0)*VLOOKUP('Données projet'!$B$16,Paramètres!$A$1:$I$89,5,0)</f>
        <v>137.58485000000002</v>
      </c>
      <c r="FG43" s="13">
        <f t="shared" si="47"/>
        <v>35.743169448737028</v>
      </c>
      <c r="FH43" s="20">
        <f t="shared" si="22"/>
        <v>301.87963387321702</v>
      </c>
      <c r="FI43" s="59">
        <f t="shared" si="23"/>
        <v>549.6926476923378</v>
      </c>
      <c r="FJ43" s="59">
        <f ca="1">AVERAGE(OFFSET($FI$3,0,0,'Données projet'!$E$16+1,1))-AVERAGE(OFFSET($H$3,0,0,'Données projet'!$E$16+1,1))</f>
        <v>313.26988717307376</v>
      </c>
      <c r="FK43" s="59">
        <f t="shared" si="48"/>
        <v>248.17359813993201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1.9121234962592879</v>
      </c>
      <c r="FR43" s="21">
        <f>EXP(-LN(2)/25)*FR42+(1-EXP(-LN(2)/25))/(LN(2)/25)*Calculateur!FM43*Calculateur!FO43*VLOOKUP('Données projet'!$B$16,Paramètres!$A$1:$I$89,3,0)*0.475*44/12</f>
        <v>5.7136701051498306</v>
      </c>
      <c r="FS43" s="21">
        <f>EXP(-LN(2)/2)*FS42+(1-EXP(-LN(2)/2))/(LN(2)/2)*FM43*FP43*VLOOKUP('Données projet'!$B$16,Paramètres!$A$1:$I$89,3,0)*0.475*44/12</f>
        <v>0.13157173443113568</v>
      </c>
      <c r="FT43" s="22">
        <f t="shared" si="24"/>
        <v>7.7573653358402543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83</v>
      </c>
      <c r="FX43" s="12">
        <f>VLOOKUP(A43,'Données projet'!$A$243:$I$263,9,0)</f>
        <v>3.8</v>
      </c>
      <c r="FY43" s="12">
        <f t="array" ref="FY43">INDEX(FX:FX,MIN(IF(ISNUMBER(FX43:FX239),ROW(FX43:FX239),"")))</f>
        <v>3.8</v>
      </c>
      <c r="FZ43" s="12">
        <f>IF('Données projet'!$A$244&gt;35,FZ42+FY43-GH42,IF(A43&lt;'Données projet'!$A$244,$FW$205^A43,IF(A43='Données projet'!$A$244,'Données projet'!$B$244,FZ42+FY43-GH42)))</f>
        <v>82.999999999999957</v>
      </c>
      <c r="GA43" s="17">
        <f>FZ43*VLOOKUP('Données projet'!$B$17,Paramètres!$A$1:$I$89,3,0)*VLOOKUP('Données projet'!$B$17,Paramètres!$A$1:$I$89,5,0)</f>
        <v>89.341199999999958</v>
      </c>
      <c r="GB43" s="13">
        <f t="shared" si="49"/>
        <v>24.40627042312898</v>
      </c>
      <c r="GC43" s="20">
        <f t="shared" si="25"/>
        <v>198.11017765361623</v>
      </c>
      <c r="GD43" s="59">
        <f t="shared" si="26"/>
        <v>445.92319147273702</v>
      </c>
      <c r="GE43" s="59">
        <f ca="1">AVERAGE(OFFSET($GD$3,0,0,'Données projet'!$E$17+1,1))-AVERAGE(OFFSET($H$3,0,0,'Données projet'!$E$17+1,1))</f>
        <v>313.51355235711543</v>
      </c>
      <c r="GF43" s="59">
        <f t="shared" si="50"/>
        <v>186.0840067781198</v>
      </c>
      <c r="GG43" s="15">
        <f>IF(ISNA(VLOOKUP(A43,'Données projet'!$A$243:$I$263,3,0)),0,VLOOKUP(A43,'Données projet'!$A$243:$I$263,3,0))</f>
        <v>2</v>
      </c>
      <c r="GH43" s="15">
        <f>IF(ISNA(VLOOKUP(A43,'Données projet'!$A$243:$I$263,4,0)),0,VLOOKUP(A43,'Données projet'!$A$243:$I$263,4,0))</f>
        <v>17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0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7.5</v>
      </c>
      <c r="N44" s="13">
        <f>IF('Données projet'!$A$36&gt;35,N43+M44-V43,IF(A44&lt;'Données projet'!$A$36,$K$205^A44,IF(A44='Données projet'!$A$36,'Données projet'!$B$36,N43+M44-V43)))</f>
        <v>124.50000000000003</v>
      </c>
      <c r="O44" s="13">
        <f>N44*VLOOKUP('Données projet'!$B$9,Paramètres!$A$1:$I$89,3,0)*VLOOKUP('Données projet'!$B$9,Paramètres!$A$1:$I$89,5,0)</f>
        <v>126.24300000000004</v>
      </c>
      <c r="P44" s="13">
        <f t="shared" si="33"/>
        <v>33.126750810981584</v>
      </c>
      <c r="Q44" s="20">
        <f t="shared" si="53"/>
        <v>277.56898266245963</v>
      </c>
      <c r="R44" s="59">
        <f t="shared" si="0"/>
        <v>526.17167225696357</v>
      </c>
      <c r="S44" s="59">
        <f ca="1">AVERAGE(OFFSET($R$3,0,0,'Données projet'!$E$9+1,1))-AVERAGE(OFFSET($H$3,0,0,'Données projet'!$E$9+1,1))</f>
        <v>452.67426184967104</v>
      </c>
      <c r="T44" s="59">
        <f t="shared" si="34"/>
        <v>310.47823616327639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6.1538461538461551</v>
      </c>
      <c r="AI44" s="13">
        <f>IF('Données projet'!$A$62&gt;35,AI43+AH44-AQ43,IF(A44&lt;'Données projet'!$A$62,$AF$205^A44,IF(A44='Données projet'!$A$62,'Données projet'!$B$62,AI43+AH44-AQ43)))</f>
        <v>147.82051282051282</v>
      </c>
      <c r="AJ44" s="13">
        <f>AI44*VLOOKUP('Données projet'!$B$10,Paramètres!$A$1:$I$89,3,0)*VLOOKUP('Données projet'!$B$10,Paramètres!$A$1:$I$89,5,0)</f>
        <v>154.50200000000001</v>
      </c>
      <c r="AK44" s="13">
        <f t="shared" si="35"/>
        <v>39.599913805835484</v>
      </c>
      <c r="AL44" s="20">
        <f t="shared" si="4"/>
        <v>338.06083321183013</v>
      </c>
      <c r="AM44" s="59">
        <f t="shared" si="5"/>
        <v>586.66352280633407</v>
      </c>
      <c r="AN44" s="59">
        <f ca="1">AVERAGE(OFFSET($AM$3,0,0,'Données projet'!$E$10+1,1))-AVERAGE(OFFSET($H$3,0,0,'Données projet'!$E$10+1,1))</f>
        <v>528.45201982036087</v>
      </c>
      <c r="AO44" s="59">
        <f t="shared" si="36"/>
        <v>321.23004033257985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2.182650230948041E-3</v>
      </c>
      <c r="AX44" s="21">
        <f t="shared" si="6"/>
        <v>2.182650230948041E-3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3.8</v>
      </c>
      <c r="BD44" s="12">
        <f>IF('Données projet'!$A$88&gt;35,BD43+BC44-BL43,IF(A44&lt;'Données projet'!$A$88,$BA$205^A44,IF(A44='Données projet'!$A$88,'Données projet'!$B$88,BD43+BC44-BL43)))</f>
        <v>69.799999999999955</v>
      </c>
      <c r="BE44" s="13">
        <f>BD44*VLOOKUP('Données projet'!$B$11,Paramètres!$A$1:$I$89,3,0)*VLOOKUP('Données projet'!$B$11,Paramètres!$A$1:$I$89,5,0)</f>
        <v>67.51055999999997</v>
      </c>
      <c r="BF44" s="13">
        <f t="shared" si="37"/>
        <v>19.053945042628669</v>
      </c>
      <c r="BG44" s="20">
        <f t="shared" si="7"/>
        <v>150.76651294924488</v>
      </c>
      <c r="BH44" s="59">
        <f t="shared" si="8"/>
        <v>399.36920254374888</v>
      </c>
      <c r="BI44" s="59">
        <f ca="1">AVERAGE(OFFSET($BH$3,0,0,'Données projet'!$E$11+1,1))-AVERAGE(OFFSET($H$3,0,0,'Données projet'!$E$11+1,1))</f>
        <v>289.06522051625166</v>
      </c>
      <c r="BJ44" s="59">
        <f t="shared" si="38"/>
        <v>173.19148969173838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5.9</v>
      </c>
      <c r="BY44" s="12">
        <f>IF('Données projet'!$A$114&gt;35,BY43+BX44-CG43,IF(A44&lt;'Données projet'!$A$114,$BV$205^A44,IF(A44='Données projet'!$A$114,'Données projet'!$B$114,BY43+BX44-CG43)))</f>
        <v>131.90000000000012</v>
      </c>
      <c r="BZ44" s="13">
        <f>BY44*VLOOKUP('Données projet'!$B$12,Paramètres!$A$1:$I$89,3,0)*VLOOKUP('Données projet'!$B$12,Paramètres!$A$1:$I$89,5,0)</f>
        <v>106.9972800000001</v>
      </c>
      <c r="CA44" s="13">
        <f t="shared" si="39"/>
        <v>28.622384778118079</v>
      </c>
      <c r="CB44" s="20">
        <f t="shared" si="10"/>
        <v>236.20424948855586</v>
      </c>
      <c r="CC44" s="59">
        <f t="shared" si="11"/>
        <v>484.80693908305983</v>
      </c>
      <c r="CD44" s="59">
        <f ca="1">AVERAGE(OFFSET($CC$3,0,0,'Données projet'!$E$12+1,1))-AVERAGE(OFFSET($H$3,0,0,'Données projet'!$E$12+1,1))</f>
        <v>306.06916761900357</v>
      </c>
      <c r="CE44" s="59">
        <f t="shared" si="40"/>
        <v>258.90832875500337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3.9639534343545932E-3</v>
      </c>
      <c r="CN44" s="22">
        <f t="shared" si="12"/>
        <v>3.9639534343545932E-3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7.5</v>
      </c>
      <c r="CT44" s="12">
        <f>IF('Données projet'!$A$140&gt;35,CT43+CS44-DB43,IF(A44&lt;'Données projet'!$A$140,$CQ$205^A44,IF(A44='Données projet'!$A$140,'Données projet'!$B$140,CT43+CS44-DB43)))</f>
        <v>124.50000000000003</v>
      </c>
      <c r="CU44" s="17">
        <f>CT44*VLOOKUP('Données projet'!$B$13,Paramètres!$A$1:$I$89,3,0)*VLOOKUP('Données projet'!$B$13,Paramètres!$A$1:$I$89,5,0)</f>
        <v>83.514600000000016</v>
      </c>
      <c r="CV44" s="13">
        <f t="shared" si="41"/>
        <v>22.994359992197349</v>
      </c>
      <c r="CW44" s="20">
        <f t="shared" si="13"/>
        <v>185.5031053197437</v>
      </c>
      <c r="CX44" s="59">
        <f t="shared" si="14"/>
        <v>434.10579491424767</v>
      </c>
      <c r="CY44" s="59">
        <f ca="1">AVERAGE(OFFSET($CX$3,0,0,'Données projet'!$E$13+1,1))-AVERAGE(OFFSET($H$3,0,0,'Données projet'!$E$13+1,1))</f>
        <v>324.58754156328285</v>
      </c>
      <c r="CZ44" s="59">
        <f t="shared" si="42"/>
        <v>226.01037731977604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2.4037820185252843E-3</v>
      </c>
      <c r="DI44" s="22">
        <f t="shared" si="15"/>
        <v>2.4037820185252843E-3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16.131410256410259</v>
      </c>
      <c r="DO44" s="12">
        <f>IF('Données projet'!$A$166&gt;35,DO43+DN44-DW43,IF(A44&lt;'Données projet'!$A$166,$DL$205^A44,IF(A44='Données projet'!$A$166,'Données projet'!$B$166,DO43+DN44-DW43)))</f>
        <v>394.23782051282063</v>
      </c>
      <c r="DP44" s="17">
        <f>DO44*VLOOKUP('Données projet'!$B$14,Paramètres!$A$1:$I$89,3,0)*VLOOKUP('Données projet'!$B$14,Paramètres!$A$1:$I$89,5,0)</f>
        <v>184.50330000000005</v>
      </c>
      <c r="DQ44" s="13">
        <f t="shared" si="43"/>
        <v>46.32264201774467</v>
      </c>
      <c r="DR44" s="20">
        <f t="shared" si="16"/>
        <v>402.02184901423874</v>
      </c>
      <c r="DS44" s="59">
        <f t="shared" si="17"/>
        <v>650.62453860874268</v>
      </c>
      <c r="DT44" s="59">
        <f ca="1">AVERAGE(OFFSET($DS$3,0,0,'Données projet'!$E$14+1,1))-AVERAGE(OFFSET($H$3,0,0,'Données projet'!$E$14+1,1))</f>
        <v>325.93182817189722</v>
      </c>
      <c r="DU44" s="59">
        <f t="shared" si="44"/>
        <v>280.04509991782709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7.7</v>
      </c>
      <c r="EJ44" s="12">
        <f>IF('Données projet'!$A$192&gt;35,EJ43+EI44-ER43,IF(A44&lt;'Données projet'!$A$192,$EG$205^A44,IF(A44='Données projet'!$A$192,'Données projet'!$B$192,EJ43+EI44-ER43)))</f>
        <v>171.69999999999985</v>
      </c>
      <c r="EK44" s="17">
        <f>EJ44*VLOOKUP('Données projet'!$B$15,Paramètres!$A$1:$I$89,3,0)*VLOOKUP('Données projet'!$B$15,Paramètres!$A$1:$I$89,5,0)</f>
        <v>136.60451999999989</v>
      </c>
      <c r="EL44" s="13">
        <f t="shared" si="45"/>
        <v>35.518040685530593</v>
      </c>
      <c r="EM44" s="20">
        <f t="shared" si="19"/>
        <v>299.78012652729893</v>
      </c>
      <c r="EN44" s="59">
        <f t="shared" si="20"/>
        <v>548.38281612180288</v>
      </c>
      <c r="EO44" s="59">
        <f ca="1">AVERAGE(OFFSET($EN$3,0,0,'Données projet'!$E$15+1,1))-AVERAGE(OFFSET($H$3,0,0,'Données projet'!$E$15+1,1))</f>
        <v>333.52903437536651</v>
      </c>
      <c r="EP44" s="59">
        <f t="shared" si="46"/>
        <v>359.47288701414777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2.7883524251176253</v>
      </c>
      <c r="EX44" s="21">
        <f>EXP(-LN(2)/2)*EX43+(1-EXP(-LN(2)/2))/(LN(2)/2)*ER44*EU44*VLOOKUP('Données projet'!$B$15,Paramètres!$A$1:$I$89,3,0)*0.475*44/12</f>
        <v>5.5724037702177048E-3</v>
      </c>
      <c r="EY44" s="22">
        <f t="shared" si="21"/>
        <v>2.7939248288878429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>
        <f>VLOOKUP(A44,'Données projet'!$A$217:$I$237,2,0)</f>
        <v>242.81538461538463</v>
      </c>
      <c r="FC44" s="12">
        <f>VLOOKUP(A44,'Données projet'!$A$217:$I$237,9,0)</f>
        <v>12.74038461538462</v>
      </c>
      <c r="FD44" s="12">
        <f t="array" ref="FD44">INDEX(FC:FC,MIN(IF(ISNUMBER(FC44:FC240),ROW(FC44:FC240),"")))</f>
        <v>12.74038461538462</v>
      </c>
      <c r="FE44" s="12">
        <f>IF('Données projet'!$A$218&gt;35,FE43+FD44-FM43,IF(A44&lt;'Données projet'!$A$218,$FB$205^A44,IF(A44='Données projet'!$A$218,'Données projet'!$B$218,FE43+FD44-FM43)))</f>
        <v>242.81538461538463</v>
      </c>
      <c r="FF44" s="17">
        <f>FE44*VLOOKUP('Données projet'!$B$16,Paramètres!$A$1:$I$89,3,0)*VLOOKUP('Données projet'!$B$16,Paramètres!$A$1:$I$89,5,0)</f>
        <v>145.20360000000002</v>
      </c>
      <c r="FG44" s="13">
        <f t="shared" si="47"/>
        <v>37.486533463390735</v>
      </c>
      <c r="FH44" s="20">
        <f t="shared" si="22"/>
        <v>318.18531578207222</v>
      </c>
      <c r="FI44" s="59">
        <f t="shared" si="23"/>
        <v>566.78800537657617</v>
      </c>
      <c r="FJ44" s="59">
        <f ca="1">AVERAGE(OFFSET($FI$3,0,0,'Données projet'!$E$16+1,1))-AVERAGE(OFFSET($H$3,0,0,'Données projet'!$E$16+1,1))</f>
        <v>313.26988717307376</v>
      </c>
      <c r="FK44" s="59">
        <f t="shared" si="48"/>
        <v>248.17359813993201</v>
      </c>
      <c r="FL44" s="15">
        <f>IF(ISNA(VLOOKUP(A44,'Données projet'!$A$217:$I$237,3,0)),0,VLOOKUP(A44,'Données projet'!$A$217:$I$237,3,0))</f>
        <v>4</v>
      </c>
      <c r="FM44" s="15">
        <f>IF(ISNA(VLOOKUP(A44,'Données projet'!$A$217:$I$237,4,0)),0,VLOOKUP(A44,'Données projet'!$A$217:$I$237,4,0))</f>
        <v>58.484615384615381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1.8746279207778154</v>
      </c>
      <c r="FR44" s="21">
        <f>EXP(-LN(2)/25)*FR43+(1-EXP(-LN(2)/25))/(LN(2)/25)*Calculateur!FM44*Calculateur!FO44*VLOOKUP('Données projet'!$B$16,Paramètres!$A$1:$I$89,3,0)*0.475*44/12</f>
        <v>5.557429495655656</v>
      </c>
      <c r="FS44" s="21">
        <f>EXP(-LN(2)/2)*FS43+(1-EXP(-LN(2)/2))/(LN(2)/2)*FM44*FP44*VLOOKUP('Données projet'!$B$16,Paramètres!$A$1:$I$89,3,0)*0.475*44/12</f>
        <v>9.30352656287316E-2</v>
      </c>
      <c r="FT44" s="22">
        <f t="shared" si="24"/>
        <v>7.5250926820622031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3.8</v>
      </c>
      <c r="FZ44" s="12">
        <f>IF('Données projet'!$A$244&gt;35,FZ43+FY44-GH43,IF(A44&lt;'Données projet'!$A$244,$FW$205^A44,IF(A44='Données projet'!$A$244,'Données projet'!$B$244,FZ43+FY44-GH43)))</f>
        <v>69.799999999999955</v>
      </c>
      <c r="GA44" s="17">
        <f>FZ44*VLOOKUP('Données projet'!$B$17,Paramètres!$A$1:$I$89,3,0)*VLOOKUP('Données projet'!$B$17,Paramètres!$A$1:$I$89,5,0)</f>
        <v>75.132719999999949</v>
      </c>
      <c r="GB44" s="13">
        <f t="shared" si="49"/>
        <v>20.942796270933993</v>
      </c>
      <c r="GC44" s="20">
        <f t="shared" si="25"/>
        <v>167.33152417187659</v>
      </c>
      <c r="GD44" s="59">
        <f t="shared" si="26"/>
        <v>415.93421376638059</v>
      </c>
      <c r="GE44" s="59">
        <f ca="1">AVERAGE(OFFSET($GD$3,0,0,'Données projet'!$E$17+1,1))-AVERAGE(OFFSET($H$3,0,0,'Données projet'!$E$17+1,1))</f>
        <v>313.51355235711543</v>
      </c>
      <c r="GF44" s="59">
        <f t="shared" si="50"/>
        <v>186.0840067781198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0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7.5</v>
      </c>
      <c r="N45" s="13">
        <f>IF('Données projet'!$A$36&gt;35,N44+M45-V44,IF(A45&lt;'Données projet'!$A$36,$K$205^A45,IF(A45='Données projet'!$A$36,'Données projet'!$B$36,N44+M45-V44)))</f>
        <v>132.00000000000003</v>
      </c>
      <c r="O45" s="13">
        <f>N45*VLOOKUP('Données projet'!$B$9,Paramètres!$A$1:$I$89,3,0)*VLOOKUP('Données projet'!$B$9,Paramètres!$A$1:$I$89,5,0)</f>
        <v>133.84800000000004</v>
      </c>
      <c r="P45" s="13">
        <f t="shared" si="33"/>
        <v>34.884003992121691</v>
      </c>
      <c r="Q45" s="20">
        <f t="shared" si="53"/>
        <v>293.87490695294537</v>
      </c>
      <c r="R45" s="59">
        <f t="shared" si="0"/>
        <v>543.25357321358013</v>
      </c>
      <c r="S45" s="59">
        <f ca="1">AVERAGE(OFFSET($R$3,0,0,'Données projet'!$E$9+1,1))-AVERAGE(OFFSET($H$3,0,0,'Données projet'!$E$9+1,1))</f>
        <v>452.67426184967104</v>
      </c>
      <c r="T45" s="59">
        <f t="shared" si="34"/>
        <v>310.47823616327639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6.1538461538461551</v>
      </c>
      <c r="AI45" s="13">
        <f>IF('Données projet'!$A$62&gt;35,AI44+AH45-AQ44,IF(A45&lt;'Données projet'!$A$62,$AF$205^A45,IF(A45='Données projet'!$A$62,'Données projet'!$B$62,AI44+AH45-AQ44)))</f>
        <v>153.97435897435898</v>
      </c>
      <c r="AJ45" s="13">
        <f>AI45*VLOOKUP('Données projet'!$B$10,Paramètres!$A$1:$I$89,3,0)*VLOOKUP('Données projet'!$B$10,Paramètres!$A$1:$I$89,5,0)</f>
        <v>160.934</v>
      </c>
      <c r="AK45" s="13">
        <f t="shared" si="35"/>
        <v>41.053110296503505</v>
      </c>
      <c r="AL45" s="20">
        <f t="shared" si="4"/>
        <v>351.79421709974355</v>
      </c>
      <c r="AM45" s="59">
        <f t="shared" si="5"/>
        <v>601.17288336037825</v>
      </c>
      <c r="AN45" s="59">
        <f ca="1">AVERAGE(OFFSET($AM$3,0,0,'Données projet'!$E$10+1,1))-AVERAGE(OFFSET($H$3,0,0,'Données projet'!$E$10+1,1))</f>
        <v>528.45201982036087</v>
      </c>
      <c r="AO45" s="59">
        <f t="shared" si="36"/>
        <v>321.23004033257985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1.5433667792617439E-3</v>
      </c>
      <c r="AX45" s="21">
        <f t="shared" si="6"/>
        <v>1.5433667792617439E-3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3.8</v>
      </c>
      <c r="BD45" s="12">
        <f>IF('Données projet'!$A$88&gt;35,BD44+BC45-BL44,IF(A45&lt;'Données projet'!$A$88,$BA$205^A45,IF(A45='Données projet'!$A$88,'Données projet'!$B$88,BD44+BC45-BL44)))</f>
        <v>73.599999999999952</v>
      </c>
      <c r="BE45" s="13">
        <f>BD45*VLOOKUP('Données projet'!$B$11,Paramètres!$A$1:$I$89,3,0)*VLOOKUP('Données projet'!$B$11,Paramètres!$A$1:$I$89,5,0)</f>
        <v>71.185919999999953</v>
      </c>
      <c r="BF45" s="13">
        <f t="shared" si="37"/>
        <v>19.96767473402619</v>
      </c>
      <c r="BG45" s="20">
        <f t="shared" si="7"/>
        <v>158.75917749509551</v>
      </c>
      <c r="BH45" s="59">
        <f t="shared" si="8"/>
        <v>408.13784375573027</v>
      </c>
      <c r="BI45" s="59">
        <f ca="1">AVERAGE(OFFSET($BH$3,0,0,'Données projet'!$E$11+1,1))-AVERAGE(OFFSET($H$3,0,0,'Données projet'!$E$11+1,1))</f>
        <v>289.06522051625166</v>
      </c>
      <c r="BJ45" s="59">
        <f t="shared" si="38"/>
        <v>173.19148969173838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5.9</v>
      </c>
      <c r="BY45" s="12">
        <f>IF('Données projet'!$A$114&gt;35,BY44+BX45-CG44,IF(A45&lt;'Données projet'!$A$114,$BV$205^A45,IF(A45='Données projet'!$A$114,'Données projet'!$B$114,BY44+BX45-CG44)))</f>
        <v>137.80000000000013</v>
      </c>
      <c r="BZ45" s="13">
        <f>BY45*VLOOKUP('Données projet'!$B$12,Paramètres!$A$1:$I$89,3,0)*VLOOKUP('Données projet'!$B$12,Paramètres!$A$1:$I$89,5,0)</f>
        <v>111.7833600000001</v>
      </c>
      <c r="CA45" s="13">
        <f t="shared" si="39"/>
        <v>29.750764011091633</v>
      </c>
      <c r="CB45" s="20">
        <f t="shared" si="10"/>
        <v>246.50526598598478</v>
      </c>
      <c r="CC45" s="59">
        <f t="shared" si="11"/>
        <v>495.88393224661951</v>
      </c>
      <c r="CD45" s="59">
        <f ca="1">AVERAGE(OFFSET($CC$3,0,0,'Données projet'!$E$12+1,1))-AVERAGE(OFFSET($H$3,0,0,'Données projet'!$E$12+1,1))</f>
        <v>306.06916761900357</v>
      </c>
      <c r="CE45" s="59">
        <f t="shared" si="40"/>
        <v>258.90832875500337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2.8029383537398369E-3</v>
      </c>
      <c r="CN45" s="22">
        <f t="shared" si="12"/>
        <v>2.8029383537398369E-3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7.5</v>
      </c>
      <c r="CT45" s="12">
        <f>IF('Données projet'!$A$140&gt;35,CT44+CS45-DB44,IF(A45&lt;'Données projet'!$A$140,$CQ$205^A45,IF(A45='Données projet'!$A$140,'Données projet'!$B$140,CT44+CS45-DB44)))</f>
        <v>132.00000000000003</v>
      </c>
      <c r="CU45" s="17">
        <f>CT45*VLOOKUP('Données projet'!$B$13,Paramètres!$A$1:$I$89,3,0)*VLOOKUP('Données projet'!$B$13,Paramètres!$A$1:$I$89,5,0)</f>
        <v>88.545600000000022</v>
      </c>
      <c r="CV45" s="13">
        <f t="shared" si="41"/>
        <v>24.214126834865617</v>
      </c>
      <c r="CW45" s="20">
        <f t="shared" si="13"/>
        <v>196.3898575707243</v>
      </c>
      <c r="CX45" s="59">
        <f t="shared" si="14"/>
        <v>445.76852383135906</v>
      </c>
      <c r="CY45" s="59">
        <f ca="1">AVERAGE(OFFSET($CX$3,0,0,'Données projet'!$E$13+1,1))-AVERAGE(OFFSET($H$3,0,0,'Données projet'!$E$13+1,1))</f>
        <v>324.58754156328285</v>
      </c>
      <c r="CZ45" s="59">
        <f t="shared" si="42"/>
        <v>226.01037731977604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1.6997305657935158E-3</v>
      </c>
      <c r="DI45" s="22">
        <f t="shared" si="15"/>
        <v>1.6997305657935158E-3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>
        <f>VLOOKUP(A45,'Données projet'!$A$165:$I$185,2,0)</f>
        <v>410.3692307692308</v>
      </c>
      <c r="DM45" s="12">
        <f>VLOOKUP(A45,'Données projet'!$A$165:$I$185,9,0)</f>
        <v>16.131410256410259</v>
      </c>
      <c r="DN45" s="12">
        <f t="array" ref="DN45">INDEX(DM:DM,MIN(IF(ISNUMBER(DM45:DM241),ROW(DM45:DM241),"")))</f>
        <v>16.131410256410259</v>
      </c>
      <c r="DO45" s="12">
        <f>IF('Données projet'!$A$166&gt;35,DO44+DN45-DW44,IF(A45&lt;'Données projet'!$A$166,$DL$205^A45,IF(A45='Données projet'!$A$166,'Données projet'!$B$166,DO44+DN45-DW44)))</f>
        <v>410.36923076923091</v>
      </c>
      <c r="DP45" s="17">
        <f>DO45*VLOOKUP('Données projet'!$B$14,Paramètres!$A$1:$I$89,3,0)*VLOOKUP('Données projet'!$B$14,Paramètres!$A$1:$I$89,5,0)</f>
        <v>192.05280000000008</v>
      </c>
      <c r="DQ45" s="13">
        <f t="shared" si="43"/>
        <v>47.993513546032311</v>
      </c>
      <c r="DR45" s="20">
        <f t="shared" si="16"/>
        <v>418.08066275933976</v>
      </c>
      <c r="DS45" s="59">
        <f t="shared" si="17"/>
        <v>667.45932901997446</v>
      </c>
      <c r="DT45" s="59">
        <f ca="1">AVERAGE(OFFSET($DS$3,0,0,'Données projet'!$E$14+1,1))-AVERAGE(OFFSET($H$3,0,0,'Données projet'!$E$14+1,1))</f>
        <v>325.93182817189722</v>
      </c>
      <c r="DU45" s="59">
        <f t="shared" si="44"/>
        <v>280.04509991782709</v>
      </c>
      <c r="DV45" s="15">
        <f>IF(ISNA(VLOOKUP(A45,'Données projet'!$A$165:$I$185,3,0)),0,VLOOKUP(A45,'Données projet'!$A$165:$I$185,3,0))</f>
        <v>1</v>
      </c>
      <c r="DW45" s="15">
        <f>IF(ISNA(VLOOKUP(A45,'Données projet'!$A$165:$I$185,4,0)),0,VLOOKUP(A45,'Données projet'!$A$165:$I$185,4,0))</f>
        <v>179.84615384615384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7.7</v>
      </c>
      <c r="EJ45" s="12">
        <f>IF('Données projet'!$A$192&gt;35,EJ44+EI45-ER44,IF(A45&lt;'Données projet'!$A$192,$EG$205^A45,IF(A45='Données projet'!$A$192,'Données projet'!$B$192,EJ44+EI45-ER44)))</f>
        <v>179.39999999999984</v>
      </c>
      <c r="EK45" s="17">
        <f>EJ45*VLOOKUP('Données projet'!$B$15,Paramètres!$A$1:$I$89,3,0)*VLOOKUP('Données projet'!$B$15,Paramètres!$A$1:$I$89,5,0)</f>
        <v>142.73063999999988</v>
      </c>
      <c r="EL45" s="13">
        <f t="shared" si="45"/>
        <v>36.921851771122689</v>
      </c>
      <c r="EM45" s="20">
        <f t="shared" si="19"/>
        <v>312.89475650137177</v>
      </c>
      <c r="EN45" s="59">
        <f t="shared" si="20"/>
        <v>562.27342276200648</v>
      </c>
      <c r="EO45" s="59">
        <f ca="1">AVERAGE(OFFSET($EN$3,0,0,'Données projet'!$E$15+1,1))-AVERAGE(OFFSET($H$3,0,0,'Données projet'!$E$15+1,1))</f>
        <v>333.52903437536651</v>
      </c>
      <c r="EP45" s="59">
        <f t="shared" si="46"/>
        <v>359.47288701414777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2.7121047814197028</v>
      </c>
      <c r="EX45" s="21">
        <f>EXP(-LN(2)/2)*EX44+(1-EXP(-LN(2)/2))/(LN(2)/2)*ER45*EU45*VLOOKUP('Données projet'!$B$15,Paramètres!$A$1:$I$89,3,0)*0.475*44/12</f>
        <v>3.9402844934304229E-3</v>
      </c>
      <c r="EY45" s="22">
        <f t="shared" si="21"/>
        <v>2.716045065913133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11.861538461538462</v>
      </c>
      <c r="FE45" s="12">
        <f>IF('Données projet'!$A$218&gt;35,FE44+FD45-FM44,IF(A45&lt;'Données projet'!$A$218,$FB$205^A45,IF(A45='Données projet'!$A$218,'Données projet'!$B$218,FE44+FD45-FM44)))</f>
        <v>196.19230769230771</v>
      </c>
      <c r="FF45" s="17">
        <f>FE45*VLOOKUP('Données projet'!$B$16,Paramètres!$A$1:$I$89,3,0)*VLOOKUP('Données projet'!$B$16,Paramètres!$A$1:$I$89,5,0)</f>
        <v>117.32300000000002</v>
      </c>
      <c r="FG45" s="13">
        <f t="shared" si="47"/>
        <v>31.049815552357138</v>
      </c>
      <c r="FH45" s="20">
        <f t="shared" si="22"/>
        <v>258.41598708702207</v>
      </c>
      <c r="FI45" s="59">
        <f t="shared" si="23"/>
        <v>507.79465334765678</v>
      </c>
      <c r="FJ45" s="59">
        <f ca="1">AVERAGE(OFFSET($FI$3,0,0,'Données projet'!$E$16+1,1))-AVERAGE(OFFSET($H$3,0,0,'Données projet'!$E$16+1,1))</f>
        <v>313.26988717307376</v>
      </c>
      <c r="FK45" s="59">
        <f t="shared" si="48"/>
        <v>248.17359813993201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1.8378676106614917</v>
      </c>
      <c r="FR45" s="21">
        <f>EXP(-LN(2)/25)*FR44+(1-EXP(-LN(2)/25))/(LN(2)/25)*Calculateur!FM45*Calculateur!FO45*VLOOKUP('Données projet'!$B$16,Paramètres!$A$1:$I$89,3,0)*0.475*44/12</f>
        <v>5.4054612938444366</v>
      </c>
      <c r="FS45" s="21">
        <f>EXP(-LN(2)/2)*FS44+(1-EXP(-LN(2)/2))/(LN(2)/2)*FM45*FP45*VLOOKUP('Données projet'!$B$16,Paramètres!$A$1:$I$89,3,0)*0.475*44/12</f>
        <v>6.5785867215567839E-2</v>
      </c>
      <c r="FT45" s="22">
        <f t="shared" si="24"/>
        <v>7.3091147717214957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3.8</v>
      </c>
      <c r="FZ45" s="12">
        <f>IF('Données projet'!$A$244&gt;35,FZ44+FY45-GH44,IF(A45&lt;'Données projet'!$A$244,$FW$205^A45,IF(A45='Données projet'!$A$244,'Données projet'!$B$244,FZ44+FY45-GH44)))</f>
        <v>73.599999999999952</v>
      </c>
      <c r="GA45" s="17">
        <f>FZ45*VLOOKUP('Données projet'!$B$17,Paramètres!$A$1:$I$89,3,0)*VLOOKUP('Données projet'!$B$17,Paramètres!$A$1:$I$89,5,0)</f>
        <v>79.223039999999941</v>
      </c>
      <c r="GB45" s="13">
        <f t="shared" si="49"/>
        <v>21.947105600620286</v>
      </c>
      <c r="GC45" s="20">
        <f t="shared" si="25"/>
        <v>176.20467025441357</v>
      </c>
      <c r="GD45" s="59">
        <f t="shared" si="26"/>
        <v>425.5833365150483</v>
      </c>
      <c r="GE45" s="59">
        <f ca="1">AVERAGE(OFFSET($GD$3,0,0,'Données projet'!$E$17+1,1))-AVERAGE(OFFSET($H$3,0,0,'Données projet'!$E$17+1,1))</f>
        <v>313.51355235711543</v>
      </c>
      <c r="GF45" s="59">
        <f t="shared" si="50"/>
        <v>186.0840067781198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0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7.5</v>
      </c>
      <c r="N46" s="13">
        <f>IF('Données projet'!$A$36&gt;35,N45+M46-V45,IF(A46&lt;'Données projet'!$A$36,$K$205^A46,IF(A46='Données projet'!$A$36,'Données projet'!$B$36,N45+M46-V45)))</f>
        <v>139.50000000000003</v>
      </c>
      <c r="O46" s="13">
        <f>N46*VLOOKUP('Données projet'!$B$9,Paramètres!$A$1:$I$89,3,0)*VLOOKUP('Données projet'!$B$9,Paramètres!$A$1:$I$89,5,0)</f>
        <v>141.45300000000003</v>
      </c>
      <c r="P46" s="13">
        <f t="shared" si="33"/>
        <v>36.62966710408697</v>
      </c>
      <c r="Q46" s="20">
        <f t="shared" si="53"/>
        <v>310.16064520628487</v>
      </c>
      <c r="R46" s="59">
        <f t="shared" si="0"/>
        <v>560.30182667271697</v>
      </c>
      <c r="S46" s="59">
        <f ca="1">AVERAGE(OFFSET($R$3,0,0,'Données projet'!$E$9+1,1))-AVERAGE(OFFSET($H$3,0,0,'Données projet'!$E$9+1,1))</f>
        <v>452.67426184967104</v>
      </c>
      <c r="T46" s="59">
        <f t="shared" si="34"/>
        <v>310.47823616327639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6.1538461538461551</v>
      </c>
      <c r="AI46" s="13">
        <f>IF('Données projet'!$A$62&gt;35,AI45+AH46-AQ45,IF(A46&lt;'Données projet'!$A$62,$AF$205^A46,IF(A46='Données projet'!$A$62,'Données projet'!$B$62,AI45+AH46-AQ45)))</f>
        <v>160.12820512820514</v>
      </c>
      <c r="AJ46" s="13">
        <f>AI46*VLOOKUP('Données projet'!$B$10,Paramètres!$A$1:$I$89,3,0)*VLOOKUP('Données projet'!$B$10,Paramètres!$A$1:$I$89,5,0)</f>
        <v>167.36600000000004</v>
      </c>
      <c r="AK46" s="13">
        <f t="shared" si="35"/>
        <v>42.499560141921613</v>
      </c>
      <c r="AL46" s="20">
        <f t="shared" si="4"/>
        <v>365.51585058051359</v>
      </c>
      <c r="AM46" s="59">
        <f t="shared" si="5"/>
        <v>615.65703204694569</v>
      </c>
      <c r="AN46" s="59">
        <f ca="1">AVERAGE(OFFSET($AM$3,0,0,'Données projet'!$E$10+1,1))-AVERAGE(OFFSET($H$3,0,0,'Données projet'!$E$10+1,1))</f>
        <v>528.45201982036087</v>
      </c>
      <c r="AO46" s="59">
        <f t="shared" si="36"/>
        <v>321.23004033257985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1.0913251154740205E-3</v>
      </c>
      <c r="AX46" s="21">
        <f t="shared" si="6"/>
        <v>1.0913251154740205E-3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3.8</v>
      </c>
      <c r="BD46" s="12">
        <f>IF('Données projet'!$A$88&gt;35,BD45+BC46-BL45,IF(A46&lt;'Données projet'!$A$88,$BA$205^A46,IF(A46='Données projet'!$A$88,'Données projet'!$B$88,BD45+BC46-BL45)))</f>
        <v>77.399999999999949</v>
      </c>
      <c r="BE46" s="13">
        <f>BD46*VLOOKUP('Données projet'!$B$11,Paramètres!$A$1:$I$89,3,0)*VLOOKUP('Données projet'!$B$11,Paramètres!$A$1:$I$89,5,0)</f>
        <v>74.861279999999951</v>
      </c>
      <c r="BF46" s="13">
        <f t="shared" si="37"/>
        <v>20.875927007330464</v>
      </c>
      <c r="BG46" s="20">
        <f t="shared" si="7"/>
        <v>166.7423022044338</v>
      </c>
      <c r="BH46" s="59">
        <f t="shared" si="8"/>
        <v>416.88348367086587</v>
      </c>
      <c r="BI46" s="59">
        <f ca="1">AVERAGE(OFFSET($BH$3,0,0,'Données projet'!$E$11+1,1))-AVERAGE(OFFSET($H$3,0,0,'Données projet'!$E$11+1,1))</f>
        <v>289.06522051625166</v>
      </c>
      <c r="BJ46" s="59">
        <f t="shared" si="38"/>
        <v>173.19148969173838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5.9</v>
      </c>
      <c r="BY46" s="12">
        <f>IF('Données projet'!$A$114&gt;35,BY45+BX46-CG45,IF(A46&lt;'Données projet'!$A$114,$BV$205^A46,IF(A46='Données projet'!$A$114,'Données projet'!$B$114,BY45+BX46-CG45)))</f>
        <v>143.70000000000013</v>
      </c>
      <c r="BZ46" s="13">
        <f>BY46*VLOOKUP('Données projet'!$B$12,Paramètres!$A$1:$I$89,3,0)*VLOOKUP('Données projet'!$B$12,Paramètres!$A$1:$I$89,5,0)</f>
        <v>116.56944000000011</v>
      </c>
      <c r="CA46" s="13">
        <f t="shared" si="39"/>
        <v>30.873531869618326</v>
      </c>
      <c r="CB46" s="20">
        <f t="shared" si="10"/>
        <v>256.7965093395855</v>
      </c>
      <c r="CC46" s="59">
        <f t="shared" si="11"/>
        <v>506.93769080601754</v>
      </c>
      <c r="CD46" s="59">
        <f ca="1">AVERAGE(OFFSET($CC$3,0,0,'Données projet'!$E$12+1,1))-AVERAGE(OFFSET($H$3,0,0,'Données projet'!$E$12+1,1))</f>
        <v>306.06916761900357</v>
      </c>
      <c r="CE46" s="59">
        <f t="shared" si="40"/>
        <v>258.90832875500337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1.9819767171772966E-3</v>
      </c>
      <c r="CN46" s="22">
        <f t="shared" si="12"/>
        <v>1.9819767171772966E-3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7.5</v>
      </c>
      <c r="CT46" s="12">
        <f>IF('Données projet'!$A$140&gt;35,CT45+CS46-DB45,IF(A46&lt;'Données projet'!$A$140,$CQ$205^A46,IF(A46='Données projet'!$A$140,'Données projet'!$B$140,CT45+CS46-DB45)))</f>
        <v>139.50000000000003</v>
      </c>
      <c r="CU46" s="17">
        <f>CT46*VLOOKUP('Données projet'!$B$13,Paramètres!$A$1:$I$89,3,0)*VLOOKUP('Données projet'!$B$13,Paramètres!$A$1:$I$89,5,0)</f>
        <v>93.576600000000028</v>
      </c>
      <c r="CV46" s="13">
        <f t="shared" si="41"/>
        <v>25.42584863187091</v>
      </c>
      <c r="CW46" s="20">
        <f t="shared" si="13"/>
        <v>207.26259803384187</v>
      </c>
      <c r="CX46" s="59">
        <f t="shared" si="14"/>
        <v>457.40377950027391</v>
      </c>
      <c r="CY46" s="59">
        <f ca="1">AVERAGE(OFFSET($CX$3,0,0,'Données projet'!$E$13+1,1))-AVERAGE(OFFSET($H$3,0,0,'Données projet'!$E$13+1,1))</f>
        <v>324.58754156328285</v>
      </c>
      <c r="CZ46" s="59">
        <f t="shared" si="42"/>
        <v>226.01037731977604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1.2018910092626422E-3</v>
      </c>
      <c r="DI46" s="22">
        <f t="shared" si="15"/>
        <v>1.2018910092626422E-3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15.618681318681309</v>
      </c>
      <c r="DO46" s="12">
        <f>IF('Données projet'!$A$166&gt;35,DO45+DN46-DW45,IF(A46&lt;'Données projet'!$A$166,$DL$205^A46,IF(A46='Données projet'!$A$166,'Données projet'!$B$166,DO45+DN46-DW45)))</f>
        <v>246.14175824175837</v>
      </c>
      <c r="DP46" s="17">
        <f>DO46*VLOOKUP('Données projet'!$B$14,Paramètres!$A$1:$I$89,3,0)*VLOOKUP('Données projet'!$B$14,Paramètres!$A$1:$I$89,5,0)</f>
        <v>115.19434285714291</v>
      </c>
      <c r="DQ46" s="13">
        <f t="shared" si="43"/>
        <v>30.5515065129288</v>
      </c>
      <c r="DR46" s="20">
        <f t="shared" si="16"/>
        <v>253.84068765287489</v>
      </c>
      <c r="DS46" s="59">
        <f t="shared" si="17"/>
        <v>503.98186911930691</v>
      </c>
      <c r="DT46" s="59">
        <f ca="1">AVERAGE(OFFSET($DS$3,0,0,'Données projet'!$E$14+1,1))-AVERAGE(OFFSET($H$3,0,0,'Données projet'!$E$14+1,1))</f>
        <v>325.93182817189722</v>
      </c>
      <c r="DU46" s="59">
        <f t="shared" si="44"/>
        <v>280.04509991782709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7.7</v>
      </c>
      <c r="EJ46" s="12">
        <f>IF('Données projet'!$A$192&gt;35,EJ45+EI46-ER45,IF(A46&lt;'Données projet'!$A$192,$EG$205^A46,IF(A46='Données projet'!$A$192,'Données projet'!$B$192,EJ45+EI46-ER45)))</f>
        <v>187.09999999999982</v>
      </c>
      <c r="EK46" s="17">
        <f>EJ46*VLOOKUP('Données projet'!$B$15,Paramètres!$A$1:$I$89,3,0)*VLOOKUP('Données projet'!$B$15,Paramètres!$A$1:$I$89,5,0)</f>
        <v>148.85675999999987</v>
      </c>
      <c r="EL46" s="13">
        <f t="shared" si="45"/>
        <v>38.318664656580218</v>
      </c>
      <c r="EM46" s="20">
        <f t="shared" si="19"/>
        <v>325.9971979435436</v>
      </c>
      <c r="EN46" s="59">
        <f t="shared" si="20"/>
        <v>576.13837940997564</v>
      </c>
      <c r="EO46" s="59">
        <f ca="1">AVERAGE(OFFSET($EN$3,0,0,'Données projet'!$E$15+1,1))-AVERAGE(OFFSET($H$3,0,0,'Données projet'!$E$15+1,1))</f>
        <v>333.52903437536651</v>
      </c>
      <c r="EP46" s="59">
        <f t="shared" si="46"/>
        <v>359.47288701414777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2.637942133548389</v>
      </c>
      <c r="EX46" s="21">
        <f>EXP(-LN(2)/2)*EX45+(1-EXP(-LN(2)/2))/(LN(2)/2)*ER46*EU46*VLOOKUP('Données projet'!$B$15,Paramètres!$A$1:$I$89,3,0)*0.475*44/12</f>
        <v>2.7862018851088524E-3</v>
      </c>
      <c r="EY46" s="22">
        <f t="shared" si="21"/>
        <v>2.6407283354334981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11.861538461538462</v>
      </c>
      <c r="FE46" s="12">
        <f>IF('Données projet'!$A$218&gt;35,FE45+FD46-FM45,IF(A46&lt;'Données projet'!$A$218,$FB$205^A46,IF(A46='Données projet'!$A$218,'Données projet'!$B$218,FE45+FD46-FM45)))</f>
        <v>208.05384615384617</v>
      </c>
      <c r="FF46" s="17">
        <f>FE46*VLOOKUP('Données projet'!$B$16,Paramètres!$A$1:$I$89,3,0)*VLOOKUP('Données projet'!$B$16,Paramètres!$A$1:$I$89,5,0)</f>
        <v>124.41620000000002</v>
      </c>
      <c r="FG46" s="13">
        <f t="shared" si="47"/>
        <v>32.702828934083335</v>
      </c>
      <c r="FH46" s="20">
        <f t="shared" si="22"/>
        <v>273.64897539352847</v>
      </c>
      <c r="FI46" s="59">
        <f t="shared" si="23"/>
        <v>523.79015685996046</v>
      </c>
      <c r="FJ46" s="59">
        <f ca="1">AVERAGE(OFFSET($FI$3,0,0,'Données projet'!$E$16+1,1))-AVERAGE(OFFSET($H$3,0,0,'Données projet'!$E$16+1,1))</f>
        <v>313.26988717307376</v>
      </c>
      <c r="FK46" s="59">
        <f t="shared" si="48"/>
        <v>248.17359813993201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1.801828147804974</v>
      </c>
      <c r="FR46" s="21">
        <f>EXP(-LN(2)/25)*FR45+(1-EXP(-LN(2)/25))/(LN(2)/25)*Calculateur!FM46*Calculateur!FO46*VLOOKUP('Données projet'!$B$16,Paramètres!$A$1:$I$89,3,0)*0.475*44/12</f>
        <v>5.2576486705034053</v>
      </c>
      <c r="FS46" s="21">
        <f>EXP(-LN(2)/2)*FS45+(1-EXP(-LN(2)/2))/(LN(2)/2)*FM46*FP46*VLOOKUP('Données projet'!$B$16,Paramètres!$A$1:$I$89,3,0)*0.475*44/12</f>
        <v>4.65176328143658E-2</v>
      </c>
      <c r="FT46" s="22">
        <f t="shared" si="24"/>
        <v>7.1059944511227453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3.8</v>
      </c>
      <c r="FZ46" s="12">
        <f>IF('Données projet'!$A$244&gt;35,FZ45+FY46-GH45,IF(A46&lt;'Données projet'!$A$244,$FW$205^A46,IF(A46='Données projet'!$A$244,'Données projet'!$B$244,FZ45+FY46-GH45)))</f>
        <v>77.399999999999949</v>
      </c>
      <c r="GA46" s="17">
        <f>FZ46*VLOOKUP('Données projet'!$B$17,Paramètres!$A$1:$I$89,3,0)*VLOOKUP('Données projet'!$B$17,Paramètres!$A$1:$I$89,5,0)</f>
        <v>83.313359999999946</v>
      </c>
      <c r="GB46" s="13">
        <f t="shared" si="49"/>
        <v>22.945394526082627</v>
      </c>
      <c r="GC46" s="20">
        <f t="shared" si="25"/>
        <v>185.0673307995938</v>
      </c>
      <c r="GD46" s="59">
        <f t="shared" si="26"/>
        <v>435.20851226602588</v>
      </c>
      <c r="GE46" s="59">
        <f ca="1">AVERAGE(OFFSET($GD$3,0,0,'Données projet'!$E$17+1,1))-AVERAGE(OFFSET($H$3,0,0,'Données projet'!$E$17+1,1))</f>
        <v>313.51355235711543</v>
      </c>
      <c r="GF46" s="59">
        <f t="shared" si="50"/>
        <v>186.0840067781198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0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7.5</v>
      </c>
      <c r="N47" s="13">
        <f>IF('Données projet'!$A$36&gt;35,N46+M47-V46,IF(A47&lt;'Données projet'!$A$36,$K$205^A47,IF(A47='Données projet'!$A$36,'Données projet'!$B$36,N46+M47-V46)))</f>
        <v>147.00000000000003</v>
      </c>
      <c r="O47" s="13">
        <f>N47*VLOOKUP('Données projet'!$B$9,Paramètres!$A$1:$I$89,3,0)*VLOOKUP('Données projet'!$B$9,Paramètres!$A$1:$I$89,5,0)</f>
        <v>149.05800000000005</v>
      </c>
      <c r="P47" s="13">
        <f t="shared" si="33"/>
        <v>38.364434314370335</v>
      </c>
      <c r="Q47" s="20">
        <f t="shared" si="53"/>
        <v>326.42740643086177</v>
      </c>
      <c r="R47" s="59">
        <f t="shared" si="0"/>
        <v>577.31787516899919</v>
      </c>
      <c r="S47" s="59">
        <f ca="1">AVERAGE(OFFSET($R$3,0,0,'Données projet'!$E$9+1,1))-AVERAGE(OFFSET($H$3,0,0,'Données projet'!$E$9+1,1))</f>
        <v>452.67426184967104</v>
      </c>
      <c r="T47" s="59">
        <f t="shared" si="34"/>
        <v>310.47823616327639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6.1538461538461551</v>
      </c>
      <c r="AI47" s="13">
        <f>IF('Données projet'!$A$62&gt;35,AI46+AH47-AQ46,IF(A47&lt;'Données projet'!$A$62,$AF$205^A47,IF(A47='Données projet'!$A$62,'Données projet'!$B$62,AI46+AH47-AQ46)))</f>
        <v>166.2820512820513</v>
      </c>
      <c r="AJ47" s="13">
        <f>AI47*VLOOKUP('Données projet'!$B$10,Paramètres!$A$1:$I$89,3,0)*VLOOKUP('Données projet'!$B$10,Paramètres!$A$1:$I$89,5,0)</f>
        <v>173.79800000000003</v>
      </c>
      <c r="AK47" s="13">
        <f t="shared" si="35"/>
        <v>43.93955229909519</v>
      </c>
      <c r="AL47" s="20">
        <f t="shared" si="4"/>
        <v>379.22623692092412</v>
      </c>
      <c r="AM47" s="59">
        <f t="shared" si="5"/>
        <v>630.11670565906161</v>
      </c>
      <c r="AN47" s="59">
        <f ca="1">AVERAGE(OFFSET($AM$3,0,0,'Données projet'!$E$10+1,1))-AVERAGE(OFFSET($H$3,0,0,'Données projet'!$E$10+1,1))</f>
        <v>528.45201982036087</v>
      </c>
      <c r="AO47" s="59">
        <f t="shared" si="36"/>
        <v>321.23004033257985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7.7168338963087195E-4</v>
      </c>
      <c r="AX47" s="21">
        <f t="shared" si="6"/>
        <v>7.7168338963087195E-4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3.8</v>
      </c>
      <c r="BD47" s="12">
        <f>IF('Données projet'!$A$88&gt;35,BD46+BC47-BL46,IF(A47&lt;'Données projet'!$A$88,$BA$205^A47,IF(A47='Données projet'!$A$88,'Données projet'!$B$88,BD46+BC47-BL46)))</f>
        <v>81.199999999999946</v>
      </c>
      <c r="BE47" s="13">
        <f>BD47*VLOOKUP('Données projet'!$B$11,Paramètres!$A$1:$I$89,3,0)*VLOOKUP('Données projet'!$B$11,Paramètres!$A$1:$I$89,5,0)</f>
        <v>78.536639999999949</v>
      </c>
      <c r="BF47" s="13">
        <f t="shared" si="37"/>
        <v>21.77900147187335</v>
      </c>
      <c r="BG47" s="20">
        <f t="shared" si="7"/>
        <v>174.71640889684599</v>
      </c>
      <c r="BH47" s="59">
        <f t="shared" si="8"/>
        <v>425.60687763498345</v>
      </c>
      <c r="BI47" s="59">
        <f ca="1">AVERAGE(OFFSET($BH$3,0,0,'Données projet'!$E$11+1,1))-AVERAGE(OFFSET($H$3,0,0,'Données projet'!$E$11+1,1))</f>
        <v>289.06522051625166</v>
      </c>
      <c r="BJ47" s="59">
        <f t="shared" si="38"/>
        <v>173.19148969173838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5.9</v>
      </c>
      <c r="BY47" s="12">
        <f>IF('Données projet'!$A$114&gt;35,BY46+BX47-CG46,IF(A47&lt;'Données projet'!$A$114,$BV$205^A47,IF(A47='Données projet'!$A$114,'Données projet'!$B$114,BY46+BX47-CG46)))</f>
        <v>149.60000000000014</v>
      </c>
      <c r="BZ47" s="13">
        <f>BY47*VLOOKUP('Données projet'!$B$12,Paramètres!$A$1:$I$89,3,0)*VLOOKUP('Données projet'!$B$12,Paramètres!$A$1:$I$89,5,0)</f>
        <v>121.35552000000011</v>
      </c>
      <c r="CA47" s="13">
        <f t="shared" si="39"/>
        <v>31.990945095046623</v>
      </c>
      <c r="CB47" s="20">
        <f t="shared" si="10"/>
        <v>267.07842670720635</v>
      </c>
      <c r="CC47" s="59">
        <f t="shared" si="11"/>
        <v>517.96889544534383</v>
      </c>
      <c r="CD47" s="59">
        <f ca="1">AVERAGE(OFFSET($CC$3,0,0,'Données projet'!$E$12+1,1))-AVERAGE(OFFSET($H$3,0,0,'Données projet'!$E$12+1,1))</f>
        <v>306.06916761900357</v>
      </c>
      <c r="CE47" s="59">
        <f t="shared" si="40"/>
        <v>258.90832875500337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1.4014691768699185E-3</v>
      </c>
      <c r="CN47" s="22">
        <f t="shared" si="12"/>
        <v>1.4014691768699185E-3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7.5</v>
      </c>
      <c r="CT47" s="12">
        <f>IF('Données projet'!$A$140&gt;35,CT46+CS47-DB46,IF(A47&lt;'Données projet'!$A$140,$CQ$205^A47,IF(A47='Données projet'!$A$140,'Données projet'!$B$140,CT46+CS47-DB46)))</f>
        <v>147.00000000000003</v>
      </c>
      <c r="CU47" s="17">
        <f>CT47*VLOOKUP('Données projet'!$B$13,Paramètres!$A$1:$I$89,3,0)*VLOOKUP('Données projet'!$B$13,Paramètres!$A$1:$I$89,5,0)</f>
        <v>98.607600000000019</v>
      </c>
      <c r="CV47" s="13">
        <f t="shared" si="41"/>
        <v>26.630007227548578</v>
      </c>
      <c r="CW47" s="20">
        <f t="shared" si="13"/>
        <v>218.12216592131381</v>
      </c>
      <c r="CX47" s="59">
        <f t="shared" si="14"/>
        <v>469.01263465945124</v>
      </c>
      <c r="CY47" s="59">
        <f ca="1">AVERAGE(OFFSET($CX$3,0,0,'Données projet'!$E$13+1,1))-AVERAGE(OFFSET($H$3,0,0,'Données projet'!$E$13+1,1))</f>
        <v>324.58754156328285</v>
      </c>
      <c r="CZ47" s="59">
        <f t="shared" si="42"/>
        <v>226.01037731977604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8.4986528289675788E-4</v>
      </c>
      <c r="DI47" s="22">
        <f t="shared" si="15"/>
        <v>8.4986528289675788E-4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15.618681318681309</v>
      </c>
      <c r="DO47" s="12">
        <f>IF('Données projet'!$A$166&gt;35,DO46+DN47-DW46,IF(A47&lt;'Données projet'!$A$166,$DL$205^A47,IF(A47='Données projet'!$A$166,'Données projet'!$B$166,DO46+DN47-DW46)))</f>
        <v>261.76043956043969</v>
      </c>
      <c r="DP47" s="17">
        <f>DO47*VLOOKUP('Données projet'!$B$14,Paramètres!$A$1:$I$89,3,0)*VLOOKUP('Données projet'!$B$14,Paramètres!$A$1:$I$89,5,0)</f>
        <v>122.50388571428577</v>
      </c>
      <c r="DQ47" s="13">
        <f t="shared" si="43"/>
        <v>32.258285776503719</v>
      </c>
      <c r="DR47" s="20">
        <f t="shared" si="16"/>
        <v>269.54411534645834</v>
      </c>
      <c r="DS47" s="59">
        <f t="shared" si="17"/>
        <v>520.43458408459583</v>
      </c>
      <c r="DT47" s="59">
        <f ca="1">AVERAGE(OFFSET($DS$3,0,0,'Données projet'!$E$14+1,1))-AVERAGE(OFFSET($H$3,0,0,'Données projet'!$E$14+1,1))</f>
        <v>325.93182817189722</v>
      </c>
      <c r="DU47" s="59">
        <f t="shared" si="44"/>
        <v>280.04509991782709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7.7</v>
      </c>
      <c r="EJ47" s="12">
        <f>IF('Données projet'!$A$192&gt;35,EJ46+EI47-ER46,IF(A47&lt;'Données projet'!$A$192,$EG$205^A47,IF(A47='Données projet'!$A$192,'Données projet'!$B$192,EJ46+EI47-ER46)))</f>
        <v>194.79999999999981</v>
      </c>
      <c r="EK47" s="17">
        <f>EJ47*VLOOKUP('Données projet'!$B$15,Paramètres!$A$1:$I$89,3,0)*VLOOKUP('Données projet'!$B$15,Paramètres!$A$1:$I$89,5,0)</f>
        <v>154.98287999999985</v>
      </c>
      <c r="EL47" s="13">
        <f t="shared" si="45"/>
        <v>39.708800288935478</v>
      </c>
      <c r="EM47" s="20">
        <f t="shared" si="19"/>
        <v>339.08800983656238</v>
      </c>
      <c r="EN47" s="59">
        <f t="shared" si="20"/>
        <v>589.97847857469981</v>
      </c>
      <c r="EO47" s="59">
        <f ca="1">AVERAGE(OFFSET($EN$3,0,0,'Données projet'!$E$15+1,1))-AVERAGE(OFFSET($H$3,0,0,'Données projet'!$E$15+1,1))</f>
        <v>333.52903437536651</v>
      </c>
      <c r="EP47" s="59">
        <f t="shared" si="46"/>
        <v>359.47288701414777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2.5658074671831606</v>
      </c>
      <c r="EX47" s="21">
        <f>EXP(-LN(2)/2)*EX46+(1-EXP(-LN(2)/2))/(LN(2)/2)*ER47*EU47*VLOOKUP('Données projet'!$B$15,Paramètres!$A$1:$I$89,3,0)*0.475*44/12</f>
        <v>1.9701422467152114E-3</v>
      </c>
      <c r="EY47" s="22">
        <f t="shared" si="21"/>
        <v>2.5677776094298759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11.861538461538462</v>
      </c>
      <c r="FE47" s="12">
        <f>IF('Données projet'!$A$218&gt;35,FE46+FD47-FM46,IF(A47&lt;'Données projet'!$A$218,$FB$205^A47,IF(A47='Données projet'!$A$218,'Données projet'!$B$218,FE46+FD47-FM46)))</f>
        <v>219.91538461538462</v>
      </c>
      <c r="FF47" s="17">
        <f>FE47*VLOOKUP('Données projet'!$B$16,Paramètres!$A$1:$I$89,3,0)*VLOOKUP('Données projet'!$B$16,Paramètres!$A$1:$I$89,5,0)</f>
        <v>131.50940000000003</v>
      </c>
      <c r="FG47" s="13">
        <f t="shared" si="47"/>
        <v>34.344902681781598</v>
      </c>
      <c r="FH47" s="20">
        <f t="shared" si="22"/>
        <v>288.86291050410301</v>
      </c>
      <c r="FI47" s="59">
        <f t="shared" si="23"/>
        <v>539.7533792422405</v>
      </c>
      <c r="FJ47" s="59">
        <f ca="1">AVERAGE(OFFSET($FI$3,0,0,'Données projet'!$E$16+1,1))-AVERAGE(OFFSET($H$3,0,0,'Données projet'!$E$16+1,1))</f>
        <v>313.26988717307376</v>
      </c>
      <c r="FK47" s="59">
        <f t="shared" si="48"/>
        <v>248.17359813993201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1.7664953968331707</v>
      </c>
      <c r="FR47" s="21">
        <f>EXP(-LN(2)/25)*FR46+(1-EXP(-LN(2)/25))/(LN(2)/25)*Calculateur!FM47*Calculateur!FO47*VLOOKUP('Données projet'!$B$16,Paramètres!$A$1:$I$89,3,0)*0.475*44/12</f>
        <v>5.1138779911207628</v>
      </c>
      <c r="FS47" s="21">
        <f>EXP(-LN(2)/2)*FS46+(1-EXP(-LN(2)/2))/(LN(2)/2)*FM47*FP47*VLOOKUP('Données projet'!$B$16,Paramètres!$A$1:$I$89,3,0)*0.475*44/12</f>
        <v>3.289293360778392E-2</v>
      </c>
      <c r="FT47" s="22">
        <f t="shared" si="24"/>
        <v>6.9132663215617178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3.8</v>
      </c>
      <c r="FZ47" s="12">
        <f>IF('Données projet'!$A$244&gt;35,FZ46+FY47-GH46,IF(A47&lt;'Données projet'!$A$244,$FW$205^A47,IF(A47='Données projet'!$A$244,'Données projet'!$B$244,FZ46+FY47-GH46)))</f>
        <v>81.199999999999946</v>
      </c>
      <c r="GA47" s="17">
        <f>FZ47*VLOOKUP('Données projet'!$B$17,Paramètres!$A$1:$I$89,3,0)*VLOOKUP('Données projet'!$B$17,Paramètres!$A$1:$I$89,5,0)</f>
        <v>87.403679999999937</v>
      </c>
      <c r="GB47" s="13">
        <f t="shared" si="49"/>
        <v>23.937992357455155</v>
      </c>
      <c r="GC47" s="20">
        <f t="shared" si="25"/>
        <v>193.92007935590095</v>
      </c>
      <c r="GD47" s="59">
        <f t="shared" si="26"/>
        <v>444.81054809403838</v>
      </c>
      <c r="GE47" s="59">
        <f ca="1">AVERAGE(OFFSET($GD$3,0,0,'Données projet'!$E$17+1,1))-AVERAGE(OFFSET($H$3,0,0,'Données projet'!$E$17+1,1))</f>
        <v>313.51355235711543</v>
      </c>
      <c r="GF47" s="59">
        <f t="shared" si="50"/>
        <v>186.0840067781198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0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7.5</v>
      </c>
      <c r="N48" s="13">
        <f>IF('Données projet'!$A$36&gt;35,N47+M48-V47,IF(A48&lt;'Données projet'!$A$36,$K$205^A48,IF(A48='Données projet'!$A$36,'Données projet'!$B$36,N47+M48-V47)))</f>
        <v>154.50000000000003</v>
      </c>
      <c r="O48" s="13">
        <f>N48*VLOOKUP('Données projet'!$B$9,Paramètres!$A$1:$I$89,3,0)*VLOOKUP('Données projet'!$B$9,Paramètres!$A$1:$I$89,5,0)</f>
        <v>156.66300000000004</v>
      </c>
      <c r="P48" s="13">
        <f t="shared" si="33"/>
        <v>40.088924956042682</v>
      </c>
      <c r="Q48" s="20">
        <f t="shared" si="53"/>
        <v>342.67626929844113</v>
      </c>
      <c r="R48" s="59">
        <f t="shared" si="0"/>
        <v>594.30302684927528</v>
      </c>
      <c r="S48" s="59">
        <f ca="1">AVERAGE(OFFSET($R$3,0,0,'Données projet'!$E$9+1,1))-AVERAGE(OFFSET($H$3,0,0,'Données projet'!$E$9+1,1))</f>
        <v>452.67426184967104</v>
      </c>
      <c r="T48" s="59">
        <f t="shared" si="34"/>
        <v>310.47823616327639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6.1538461538461551</v>
      </c>
      <c r="AI48" s="13">
        <f>IF('Données projet'!$A$62&gt;35,AI47+AH48-AQ47,IF(A48&lt;'Données projet'!$A$62,$AF$205^A48,IF(A48='Données projet'!$A$62,'Données projet'!$B$62,AI47+AH48-AQ47)))</f>
        <v>172.43589743589746</v>
      </c>
      <c r="AJ48" s="13">
        <f>AI48*VLOOKUP('Données projet'!$B$10,Paramètres!$A$1:$I$89,3,0)*VLOOKUP('Données projet'!$B$10,Paramètres!$A$1:$I$89,5,0)</f>
        <v>180.23000000000002</v>
      </c>
      <c r="AK48" s="13">
        <f t="shared" si="35"/>
        <v>45.373353125474658</v>
      </c>
      <c r="AL48" s="20">
        <f t="shared" si="4"/>
        <v>392.9258400268684</v>
      </c>
      <c r="AM48" s="59">
        <f t="shared" si="5"/>
        <v>644.5525975777025</v>
      </c>
      <c r="AN48" s="59">
        <f ca="1">AVERAGE(OFFSET($AM$3,0,0,'Données projet'!$E$10+1,1))-AVERAGE(OFFSET($H$3,0,0,'Données projet'!$E$10+1,1))</f>
        <v>528.45201982036087</v>
      </c>
      <c r="AO48" s="59">
        <f t="shared" si="36"/>
        <v>321.23004033257985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5.4566255773701026E-4</v>
      </c>
      <c r="AX48" s="21">
        <f t="shared" si="6"/>
        <v>5.4566255773701026E-4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3.8</v>
      </c>
      <c r="BD48" s="12">
        <f>IF('Données projet'!$A$88&gt;35,BD47+BC48-BL47,IF(A48&lt;'Données projet'!$A$88,$BA$205^A48,IF(A48='Données projet'!$A$88,'Données projet'!$B$88,BD47+BC48-BL47)))</f>
        <v>84.999999999999943</v>
      </c>
      <c r="BE48" s="13">
        <f>BD48*VLOOKUP('Données projet'!$B$11,Paramètres!$A$1:$I$89,3,0)*VLOOKUP('Données projet'!$B$11,Paramètres!$A$1:$I$89,5,0)</f>
        <v>82.211999999999946</v>
      </c>
      <c r="BF48" s="13">
        <f t="shared" si="37"/>
        <v>22.677168109987932</v>
      </c>
      <c r="BG48" s="20">
        <f t="shared" si="7"/>
        <v>182.68196779156222</v>
      </c>
      <c r="BH48" s="59">
        <f t="shared" si="8"/>
        <v>434.30872534239631</v>
      </c>
      <c r="BI48" s="59">
        <f ca="1">AVERAGE(OFFSET($BH$3,0,0,'Données projet'!$E$11+1,1))-AVERAGE(OFFSET($H$3,0,0,'Données projet'!$E$11+1,1))</f>
        <v>289.06522051625166</v>
      </c>
      <c r="BJ48" s="59">
        <f t="shared" si="38"/>
        <v>173.19148969173838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5.9</v>
      </c>
      <c r="BY48" s="12">
        <f>IF('Données projet'!$A$114&gt;35,BY47+BX48-CG47,IF(A48&lt;'Données projet'!$A$114,$BV$205^A48,IF(A48='Données projet'!$A$114,'Données projet'!$B$114,BY47+BX48-CG47)))</f>
        <v>155.50000000000014</v>
      </c>
      <c r="BZ48" s="13">
        <f>BY48*VLOOKUP('Données projet'!$B$12,Paramètres!$A$1:$I$89,3,0)*VLOOKUP('Données projet'!$B$12,Paramètres!$A$1:$I$89,5,0)</f>
        <v>126.14160000000011</v>
      </c>
      <c r="CA48" s="13">
        <f t="shared" si="39"/>
        <v>33.103239031264849</v>
      </c>
      <c r="CB48" s="20">
        <f t="shared" si="10"/>
        <v>277.35142797945315</v>
      </c>
      <c r="CC48" s="59">
        <f t="shared" si="11"/>
        <v>528.97818553028731</v>
      </c>
      <c r="CD48" s="59">
        <f ca="1">AVERAGE(OFFSET($CC$3,0,0,'Données projet'!$E$12+1,1))-AVERAGE(OFFSET($H$3,0,0,'Données projet'!$E$12+1,1))</f>
        <v>306.06916761900357</v>
      </c>
      <c r="CE48" s="59">
        <f t="shared" si="40"/>
        <v>258.90832875500337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9.909883585886483E-4</v>
      </c>
      <c r="CN48" s="22">
        <f t="shared" si="12"/>
        <v>9.909883585886483E-4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7.5</v>
      </c>
      <c r="CT48" s="12">
        <f>IF('Données projet'!$A$140&gt;35,CT47+CS48-DB47,IF(A48&lt;'Données projet'!$A$140,$CQ$205^A48,IF(A48='Données projet'!$A$140,'Données projet'!$B$140,CT47+CS48-DB47)))</f>
        <v>154.50000000000003</v>
      </c>
      <c r="CU48" s="17">
        <f>CT48*VLOOKUP('Données projet'!$B$13,Paramètres!$A$1:$I$89,3,0)*VLOOKUP('Données projet'!$B$13,Paramètres!$A$1:$I$89,5,0)</f>
        <v>103.63860000000003</v>
      </c>
      <c r="CV48" s="13">
        <f t="shared" si="41"/>
        <v>27.827032521216804</v>
      </c>
      <c r="CW48" s="20">
        <f t="shared" si="13"/>
        <v>228.96930997445261</v>
      </c>
      <c r="CX48" s="59">
        <f t="shared" si="14"/>
        <v>480.59606752528674</v>
      </c>
      <c r="CY48" s="59">
        <f ca="1">AVERAGE(OFFSET($CX$3,0,0,'Données projet'!$E$13+1,1))-AVERAGE(OFFSET($H$3,0,0,'Données projet'!$E$13+1,1))</f>
        <v>324.58754156328285</v>
      </c>
      <c r="CZ48" s="59">
        <f t="shared" si="42"/>
        <v>226.01037731977604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6.0094550463132108E-4</v>
      </c>
      <c r="DI48" s="22">
        <f t="shared" si="15"/>
        <v>6.0094550463132108E-4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15.618681318681309</v>
      </c>
      <c r="DO48" s="12">
        <f>IF('Données projet'!$A$166&gt;35,DO47+DN48-DW47,IF(A48&lt;'Données projet'!$A$166,$DL$205^A48,IF(A48='Données projet'!$A$166,'Données projet'!$B$166,DO47+DN48-DW47)))</f>
        <v>277.37912087912099</v>
      </c>
      <c r="DP48" s="17">
        <f>DO48*VLOOKUP('Données projet'!$B$14,Paramètres!$A$1:$I$89,3,0)*VLOOKUP('Données projet'!$B$14,Paramètres!$A$1:$I$89,5,0)</f>
        <v>129.81342857142863</v>
      </c>
      <c r="DQ48" s="13">
        <f t="shared" si="43"/>
        <v>33.953244550224326</v>
      </c>
      <c r="DR48" s="20">
        <f t="shared" si="16"/>
        <v>285.22695568687891</v>
      </c>
      <c r="DS48" s="59">
        <f t="shared" si="17"/>
        <v>536.85371323771301</v>
      </c>
      <c r="DT48" s="59">
        <f ca="1">AVERAGE(OFFSET($DS$3,0,0,'Données projet'!$E$14+1,1))-AVERAGE(OFFSET($H$3,0,0,'Données projet'!$E$14+1,1))</f>
        <v>325.93182817189722</v>
      </c>
      <c r="DU48" s="59">
        <f t="shared" si="44"/>
        <v>280.04509991782709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7.7</v>
      </c>
      <c r="EJ48" s="12">
        <f>IF('Données projet'!$A$192&gt;35,EJ47+EI48-ER47,IF(A48&lt;'Données projet'!$A$192,$EG$205^A48,IF(A48='Données projet'!$A$192,'Données projet'!$B$192,EJ47+EI48-ER47)))</f>
        <v>202.4999999999998</v>
      </c>
      <c r="EK48" s="17">
        <f>EJ48*VLOOKUP('Données projet'!$B$15,Paramètres!$A$1:$I$89,3,0)*VLOOKUP('Données projet'!$B$15,Paramètres!$A$1:$I$89,5,0)</f>
        <v>161.10899999999987</v>
      </c>
      <c r="EL48" s="13">
        <f t="shared" si="45"/>
        <v>41.092552806229506</v>
      </c>
      <c r="EM48" s="20">
        <f t="shared" si="19"/>
        <v>352.16770447084946</v>
      </c>
      <c r="EN48" s="59">
        <f t="shared" si="20"/>
        <v>603.79446202168356</v>
      </c>
      <c r="EO48" s="59">
        <f ca="1">AVERAGE(OFFSET($EN$3,0,0,'Données projet'!$E$15+1,1))-AVERAGE(OFFSET($H$3,0,0,'Données projet'!$E$15+1,1))</f>
        <v>333.52903437536651</v>
      </c>
      <c r="EP48" s="59">
        <f t="shared" si="46"/>
        <v>359.47288701414777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2.4956453270630865</v>
      </c>
      <c r="EX48" s="21">
        <f>EXP(-LN(2)/2)*EX47+(1-EXP(-LN(2)/2))/(LN(2)/2)*ER48*EU48*VLOOKUP('Données projet'!$B$15,Paramètres!$A$1:$I$89,3,0)*0.475*44/12</f>
        <v>1.3931009425544262E-3</v>
      </c>
      <c r="EY48" s="22">
        <f t="shared" si="21"/>
        <v>2.497038428005641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11.861538461538462</v>
      </c>
      <c r="FE48" s="12">
        <f>IF('Données projet'!$A$218&gt;35,FE47+FD48-FM47,IF(A48&lt;'Données projet'!$A$218,$FB$205^A48,IF(A48='Données projet'!$A$218,'Données projet'!$B$218,FE47+FD48-FM47)))</f>
        <v>231.77692307692308</v>
      </c>
      <c r="FF48" s="17">
        <f>FE48*VLOOKUP('Données projet'!$B$16,Paramètres!$A$1:$I$89,3,0)*VLOOKUP('Données projet'!$B$16,Paramètres!$A$1:$I$89,5,0)</f>
        <v>138.60260000000002</v>
      </c>
      <c r="FG48" s="13">
        <f t="shared" si="47"/>
        <v>35.976694116938233</v>
      </c>
      <c r="FH48" s="20">
        <f t="shared" si="22"/>
        <v>304.05893725366747</v>
      </c>
      <c r="FI48" s="59">
        <f t="shared" si="23"/>
        <v>555.68569480450162</v>
      </c>
      <c r="FJ48" s="59">
        <f ca="1">AVERAGE(OFFSET($FI$3,0,0,'Données projet'!$E$16+1,1))-AVERAGE(OFFSET($H$3,0,0,'Données projet'!$E$16+1,1))</f>
        <v>313.26988717307376</v>
      </c>
      <c r="FK48" s="59">
        <f t="shared" si="48"/>
        <v>248.17359813993201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1.7318554995570743</v>
      </c>
      <c r="FR48" s="21">
        <f>EXP(-LN(2)/25)*FR47+(1-EXP(-LN(2)/25))/(LN(2)/25)*Calculateur!FM48*Calculateur!FO48*VLOOKUP('Données projet'!$B$16,Paramètres!$A$1:$I$89,3,0)*0.475*44/12</f>
        <v>4.97403872852641</v>
      </c>
      <c r="FS48" s="21">
        <f>EXP(-LN(2)/2)*FS47+(1-EXP(-LN(2)/2))/(LN(2)/2)*FM48*FP48*VLOOKUP('Données projet'!$B$16,Paramètres!$A$1:$I$89,3,0)*0.475*44/12</f>
        <v>2.32588164071829E-2</v>
      </c>
      <c r="FT48" s="22">
        <f t="shared" si="24"/>
        <v>6.7291530444906673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3.8</v>
      </c>
      <c r="FZ48" s="12">
        <f>IF('Données projet'!$A$244&gt;35,FZ47+FY48-GH47,IF(A48&lt;'Données projet'!$A$244,$FW$205^A48,IF(A48='Données projet'!$A$244,'Données projet'!$B$244,FZ47+FY48-GH47)))</f>
        <v>84.999999999999943</v>
      </c>
      <c r="GA48" s="17">
        <f>FZ48*VLOOKUP('Données projet'!$B$17,Paramètres!$A$1:$I$89,3,0)*VLOOKUP('Données projet'!$B$17,Paramètres!$A$1:$I$89,5,0)</f>
        <v>91.493999999999929</v>
      </c>
      <c r="GB48" s="13">
        <f t="shared" si="49"/>
        <v>24.925195840896507</v>
      </c>
      <c r="GC48" s="20">
        <f t="shared" si="25"/>
        <v>202.76343275622796</v>
      </c>
      <c r="GD48" s="59">
        <f t="shared" si="26"/>
        <v>454.39019030706208</v>
      </c>
      <c r="GE48" s="59">
        <f ca="1">AVERAGE(OFFSET($GD$3,0,0,'Données projet'!$E$17+1,1))-AVERAGE(OFFSET($H$3,0,0,'Données projet'!$E$17+1,1))</f>
        <v>313.51355235711543</v>
      </c>
      <c r="GF48" s="59">
        <f t="shared" si="50"/>
        <v>186.0840067781198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0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0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7.5</v>
      </c>
      <c r="N49" s="13">
        <f>IF('Données projet'!$A$36&gt;35,N48+M49-V48,IF(A49&lt;'Données projet'!$A$36,$K$205^A49,IF(A49='Données projet'!$A$36,'Données projet'!$B$36,N48+M49-V48)))</f>
        <v>162.00000000000003</v>
      </c>
      <c r="O49" s="13">
        <f>N49*VLOOKUP('Données projet'!$B$9,Paramètres!$A$1:$I$89,3,0)*VLOOKUP('Données projet'!$B$9,Paramètres!$A$1:$I$89,5,0)</f>
        <v>164.26800000000006</v>
      </c>
      <c r="P49" s="13">
        <f t="shared" si="33"/>
        <v>41.803694835525619</v>
      </c>
      <c r="Q49" s="20">
        <f t="shared" si="53"/>
        <v>358.90820183854049</v>
      </c>
      <c r="R49" s="59">
        <f t="shared" si="0"/>
        <v>611.25847523726611</v>
      </c>
      <c r="S49" s="59">
        <f ca="1">AVERAGE(OFFSET($R$3,0,0,'Données projet'!$E$9+1,1))-AVERAGE(OFFSET($H$3,0,0,'Données projet'!$E$9+1,1))</f>
        <v>452.67426184967104</v>
      </c>
      <c r="T49" s="59">
        <f t="shared" si="34"/>
        <v>310.47823616327639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6.1538461538461551</v>
      </c>
      <c r="AI49" s="13">
        <f>IF('Données projet'!$A$62&gt;35,AI48+AH49-AQ48,IF(A49&lt;'Données projet'!$A$62,$AF$205^A49,IF(A49='Données projet'!$A$62,'Données projet'!$B$62,AI48+AH49-AQ48)))</f>
        <v>178.58974358974362</v>
      </c>
      <c r="AJ49" s="13">
        <f>AI49*VLOOKUP('Données projet'!$B$10,Paramètres!$A$1:$I$89,3,0)*VLOOKUP('Données projet'!$B$10,Paramètres!$A$1:$I$89,5,0)</f>
        <v>186.66200000000006</v>
      </c>
      <c r="AK49" s="13">
        <f t="shared" si="35"/>
        <v>46.801208889389358</v>
      </c>
      <c r="AL49" s="20">
        <f t="shared" si="4"/>
        <v>406.61508881568653</v>
      </c>
      <c r="AM49" s="59">
        <f t="shared" si="5"/>
        <v>658.96536221441215</v>
      </c>
      <c r="AN49" s="59">
        <f ca="1">AVERAGE(OFFSET($AM$3,0,0,'Données projet'!$E$10+1,1))-AVERAGE(OFFSET($H$3,0,0,'Données projet'!$E$10+1,1))</f>
        <v>528.45201982036087</v>
      </c>
      <c r="AO49" s="59">
        <f t="shared" si="36"/>
        <v>321.23004033257985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3.8584169481543598E-4</v>
      </c>
      <c r="AX49" s="21">
        <f t="shared" si="6"/>
        <v>3.8584169481543598E-4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3.8</v>
      </c>
      <c r="BD49" s="12">
        <f>IF('Données projet'!$A$88&gt;35,BD48+BC49-BL48,IF(A49&lt;'Données projet'!$A$88,$BA$205^A49,IF(A49='Données projet'!$A$88,'Données projet'!$B$88,BD48+BC49-BL48)))</f>
        <v>88.79999999999994</v>
      </c>
      <c r="BE49" s="13">
        <f>BD49*VLOOKUP('Données projet'!$B$11,Paramètres!$A$1:$I$89,3,0)*VLOOKUP('Données projet'!$B$11,Paramètres!$A$1:$I$89,5,0)</f>
        <v>85.887359999999944</v>
      </c>
      <c r="BF49" s="13">
        <f t="shared" si="37"/>
        <v>23.570671399684908</v>
      </c>
      <c r="BG49" s="20">
        <f t="shared" si="7"/>
        <v>190.63940468778446</v>
      </c>
      <c r="BH49" s="59">
        <f t="shared" si="8"/>
        <v>442.98967808651014</v>
      </c>
      <c r="BI49" s="59">
        <f ca="1">AVERAGE(OFFSET($BH$3,0,0,'Données projet'!$E$11+1,1))-AVERAGE(OFFSET($H$3,0,0,'Données projet'!$E$11+1,1))</f>
        <v>289.06522051625166</v>
      </c>
      <c r="BJ49" s="59">
        <f t="shared" si="38"/>
        <v>173.19148969173838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5.9</v>
      </c>
      <c r="BY49" s="12">
        <f>IF('Données projet'!$A$114&gt;35,BY48+BX49-CG48,IF(A49&lt;'Données projet'!$A$114,$BV$205^A49,IF(A49='Données projet'!$A$114,'Données projet'!$B$114,BY48+BX49-CG48)))</f>
        <v>161.40000000000015</v>
      </c>
      <c r="BZ49" s="13">
        <f>BY49*VLOOKUP('Données projet'!$B$12,Paramètres!$A$1:$I$89,3,0)*VLOOKUP('Données projet'!$B$12,Paramètres!$A$1:$I$89,5,0)</f>
        <v>130.92768000000012</v>
      </c>
      <c r="CA49" s="13">
        <f t="shared" si="39"/>
        <v>34.210630151715982</v>
      </c>
      <c r="CB49" s="20">
        <f t="shared" si="10"/>
        <v>287.61589018090552</v>
      </c>
      <c r="CC49" s="59">
        <f t="shared" si="11"/>
        <v>539.96616357963114</v>
      </c>
      <c r="CD49" s="59">
        <f ca="1">AVERAGE(OFFSET($CC$3,0,0,'Données projet'!$E$12+1,1))-AVERAGE(OFFSET($H$3,0,0,'Données projet'!$E$12+1,1))</f>
        <v>306.06916761900357</v>
      </c>
      <c r="CE49" s="59">
        <f t="shared" si="40"/>
        <v>258.90832875500337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7.0073458843495924E-4</v>
      </c>
      <c r="CN49" s="22">
        <f t="shared" si="12"/>
        <v>7.0073458843495924E-4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7.5</v>
      </c>
      <c r="CT49" s="12">
        <f>IF('Données projet'!$A$140&gt;35,CT48+CS49-DB48,IF(A49&lt;'Données projet'!$A$140,$CQ$205^A49,IF(A49='Données projet'!$A$140,'Données projet'!$B$140,CT48+CS49-DB48)))</f>
        <v>162.00000000000003</v>
      </c>
      <c r="CU49" s="17">
        <f>CT49*VLOOKUP('Données projet'!$B$13,Paramètres!$A$1:$I$89,3,0)*VLOOKUP('Données projet'!$B$13,Paramètres!$A$1:$I$89,5,0)</f>
        <v>108.66960000000002</v>
      </c>
      <c r="CV49" s="13">
        <f t="shared" si="41"/>
        <v>29.017310316271104</v>
      </c>
      <c r="CW49" s="20">
        <f t="shared" si="13"/>
        <v>239.8047021341722</v>
      </c>
      <c r="CX49" s="59">
        <f t="shared" si="14"/>
        <v>492.15497553289788</v>
      </c>
      <c r="CY49" s="59">
        <f ca="1">AVERAGE(OFFSET($CX$3,0,0,'Données projet'!$E$13+1,1))-AVERAGE(OFFSET($H$3,0,0,'Données projet'!$E$13+1,1))</f>
        <v>324.58754156328285</v>
      </c>
      <c r="CZ49" s="59">
        <f t="shared" si="42"/>
        <v>226.01037731977604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4.2493264144837894E-4</v>
      </c>
      <c r="DI49" s="22">
        <f t="shared" si="15"/>
        <v>4.2493264144837894E-4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15.618681318681309</v>
      </c>
      <c r="DO49" s="12">
        <f>IF('Données projet'!$A$166&gt;35,DO48+DN49-DW48,IF(A49&lt;'Données projet'!$A$166,$DL$205^A49,IF(A49='Données projet'!$A$166,'Données projet'!$B$166,DO48+DN49-DW48)))</f>
        <v>292.99780219780229</v>
      </c>
      <c r="DP49" s="17">
        <f>DO49*VLOOKUP('Données projet'!$B$14,Paramètres!$A$1:$I$89,3,0)*VLOOKUP('Données projet'!$B$14,Paramètres!$A$1:$I$89,5,0)</f>
        <v>137.12297142857147</v>
      </c>
      <c r="DQ49" s="13">
        <f t="shared" si="43"/>
        <v>35.63712427284996</v>
      </c>
      <c r="DR49" s="20">
        <f t="shared" si="16"/>
        <v>300.89050001330901</v>
      </c>
      <c r="DS49" s="59">
        <f t="shared" si="17"/>
        <v>553.24077341203463</v>
      </c>
      <c r="DT49" s="59">
        <f ca="1">AVERAGE(OFFSET($DS$3,0,0,'Données projet'!$E$14+1,1))-AVERAGE(OFFSET($H$3,0,0,'Données projet'!$E$14+1,1))</f>
        <v>325.93182817189722</v>
      </c>
      <c r="DU49" s="59">
        <f t="shared" si="44"/>
        <v>280.04509991782709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7.7</v>
      </c>
      <c r="EJ49" s="12">
        <f>IF('Données projet'!$A$192&gt;35,EJ48+EI49-ER48,IF(A49&lt;'Données projet'!$A$192,$EG$205^A49,IF(A49='Données projet'!$A$192,'Données projet'!$B$192,EJ48+EI49-ER48)))</f>
        <v>210.19999999999979</v>
      </c>
      <c r="EK49" s="17">
        <f>EJ49*VLOOKUP('Données projet'!$B$15,Paramètres!$A$1:$I$89,3,0)*VLOOKUP('Données projet'!$B$15,Paramètres!$A$1:$I$89,5,0)</f>
        <v>167.23511999999985</v>
      </c>
      <c r="EL49" s="13">
        <f t="shared" si="45"/>
        <v>42.470192710511569</v>
      </c>
      <c r="EM49" s="20">
        <f t="shared" si="19"/>
        <v>365.23675297080734</v>
      </c>
      <c r="EN49" s="59">
        <f t="shared" si="20"/>
        <v>617.58702636953296</v>
      </c>
      <c r="EO49" s="59">
        <f ca="1">AVERAGE(OFFSET($EN$3,0,0,'Données projet'!$E$15+1,1))-AVERAGE(OFFSET($H$3,0,0,'Données projet'!$E$15+1,1))</f>
        <v>333.52903437536651</v>
      </c>
      <c r="EP49" s="59">
        <f t="shared" si="46"/>
        <v>359.47288701414777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2.4274017743542626</v>
      </c>
      <c r="EX49" s="21">
        <f>EXP(-LN(2)/2)*EX48+(1-EXP(-LN(2)/2))/(LN(2)/2)*ER49*EU49*VLOOKUP('Données projet'!$B$15,Paramètres!$A$1:$I$89,3,0)*0.475*44/12</f>
        <v>9.8507112335760572E-4</v>
      </c>
      <c r="EY49" s="22">
        <f t="shared" si="21"/>
        <v>2.4283868454776201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11.861538461538462</v>
      </c>
      <c r="FE49" s="12">
        <f>IF('Données projet'!$A$218&gt;35,FE48+FD49-FM48,IF(A49&lt;'Données projet'!$A$218,$FB$205^A49,IF(A49='Données projet'!$A$218,'Données projet'!$B$218,FE48+FD49-FM48)))</f>
        <v>243.63846153846154</v>
      </c>
      <c r="FF49" s="17">
        <f>FE49*VLOOKUP('Données projet'!$B$16,Paramètres!$A$1:$I$89,3,0)*VLOOKUP('Données projet'!$B$16,Paramètres!$A$1:$I$89,5,0)</f>
        <v>145.69580000000002</v>
      </c>
      <c r="FG49" s="13">
        <f t="shared" si="47"/>
        <v>37.598789481990465</v>
      </c>
      <c r="FH49" s="20">
        <f t="shared" si="22"/>
        <v>319.23807668113341</v>
      </c>
      <c r="FI49" s="59">
        <f t="shared" si="23"/>
        <v>571.58835007985908</v>
      </c>
      <c r="FJ49" s="59">
        <f ca="1">AVERAGE(OFFSET($FI$3,0,0,'Données projet'!$E$16+1,1))-AVERAGE(OFFSET($H$3,0,0,'Données projet'!$E$16+1,1))</f>
        <v>313.26988717307376</v>
      </c>
      <c r="FK49" s="59">
        <f t="shared" si="48"/>
        <v>248.17359813993201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1.6978948695383111</v>
      </c>
      <c r="FR49" s="21">
        <f>EXP(-LN(2)/25)*FR48+(1-EXP(-LN(2)/25))/(LN(2)/25)*Calculateur!FM49*Calculateur!FO49*VLOOKUP('Données projet'!$B$16,Paramètres!$A$1:$I$89,3,0)*0.475*44/12</f>
        <v>4.8380233779215267</v>
      </c>
      <c r="FS49" s="21">
        <f>EXP(-LN(2)/2)*FS48+(1-EXP(-LN(2)/2))/(LN(2)/2)*FM49*FP49*VLOOKUP('Données projet'!$B$16,Paramètres!$A$1:$I$89,3,0)*0.475*44/12</f>
        <v>1.644646680389196E-2</v>
      </c>
      <c r="FT49" s="22">
        <f t="shared" si="24"/>
        <v>6.5523647142637298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3.8</v>
      </c>
      <c r="FZ49" s="12">
        <f>IF('Données projet'!$A$244&gt;35,FZ48+FY49-GH48,IF(A49&lt;'Données projet'!$A$244,$FW$205^A49,IF(A49='Données projet'!$A$244,'Données projet'!$B$244,FZ48+FY49-GH48)))</f>
        <v>88.79999999999994</v>
      </c>
      <c r="GA49" s="17">
        <f>FZ49*VLOOKUP('Données projet'!$B$17,Paramètres!$A$1:$I$89,3,0)*VLOOKUP('Données projet'!$B$17,Paramètres!$A$1:$I$89,5,0)</f>
        <v>95.584319999999934</v>
      </c>
      <c r="GB49" s="13">
        <f t="shared" si="49"/>
        <v>25.907273689954454</v>
      </c>
      <c r="GC49" s="20">
        <f t="shared" si="25"/>
        <v>211.59785901000387</v>
      </c>
      <c r="GD49" s="59">
        <f t="shared" si="26"/>
        <v>463.94813240872952</v>
      </c>
      <c r="GE49" s="59">
        <f ca="1">AVERAGE(OFFSET($GD$3,0,0,'Données projet'!$E$17+1,1))-AVERAGE(OFFSET($H$3,0,0,'Données projet'!$E$17+1,1))</f>
        <v>313.51355235711543</v>
      </c>
      <c r="GF49" s="59">
        <f t="shared" si="50"/>
        <v>186.0840067781198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0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0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7.5</v>
      </c>
      <c r="N50" s="13">
        <f>IF('Données projet'!$A$36&gt;35,N49+M50-V49,IF(A50&lt;'Données projet'!$A$36,$K$205^A50,IF(A50='Données projet'!$A$36,'Données projet'!$B$36,N49+M50-V49)))</f>
        <v>169.50000000000003</v>
      </c>
      <c r="O50" s="13">
        <f>N50*VLOOKUP('Données projet'!$B$9,Paramètres!$A$1:$I$89,3,0)*VLOOKUP('Données projet'!$B$9,Paramètres!$A$1:$I$89,5,0)</f>
        <v>171.87300000000005</v>
      </c>
      <c r="P50" s="13">
        <f t="shared" si="33"/>
        <v>43.50924538708788</v>
      </c>
      <c r="Q50" s="20">
        <f t="shared" si="53"/>
        <v>375.12407738251142</v>
      </c>
      <c r="R50" s="59">
        <f t="shared" si="0"/>
        <v>628.18531524670675</v>
      </c>
      <c r="S50" s="59">
        <f ca="1">AVERAGE(OFFSET($R$3,0,0,'Données projet'!$E$9+1,1))-AVERAGE(OFFSET($H$3,0,0,'Données projet'!$E$9+1,1))</f>
        <v>452.67426184967104</v>
      </c>
      <c r="T50" s="59">
        <f t="shared" si="34"/>
        <v>310.47823616327639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6.1538461538461551</v>
      </c>
      <c r="AI50" s="13">
        <f>IF('Données projet'!$A$62&gt;35,AI49+AH50-AQ49,IF(A50&lt;'Données projet'!$A$62,$AF$205^A50,IF(A50='Données projet'!$A$62,'Données projet'!$B$62,AI49+AH50-AQ49)))</f>
        <v>184.74358974358978</v>
      </c>
      <c r="AJ50" s="13">
        <f>AI50*VLOOKUP('Données projet'!$B$10,Paramètres!$A$1:$I$89,3,0)*VLOOKUP('Données projet'!$B$10,Paramètres!$A$1:$I$89,5,0)</f>
        <v>193.09400000000005</v>
      </c>
      <c r="AK50" s="13">
        <f t="shared" si="35"/>
        <v>48.223347924742008</v>
      </c>
      <c r="AL50" s="20">
        <f t="shared" si="4"/>
        <v>420.29438096892574</v>
      </c>
      <c r="AM50" s="59">
        <f t="shared" si="5"/>
        <v>673.35561883312107</v>
      </c>
      <c r="AN50" s="59">
        <f ca="1">AVERAGE(OFFSET($AM$3,0,0,'Données projet'!$E$10+1,1))-AVERAGE(OFFSET($H$3,0,0,'Données projet'!$E$10+1,1))</f>
        <v>528.45201982036087</v>
      </c>
      <c r="AO50" s="59">
        <f t="shared" si="36"/>
        <v>321.23004033257985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2.7283127886850513E-4</v>
      </c>
      <c r="AX50" s="21">
        <f t="shared" si="6"/>
        <v>2.7283127886850513E-4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3.8</v>
      </c>
      <c r="BD50" s="12">
        <f>IF('Données projet'!$A$88&gt;35,BD49+BC50-BL49,IF(A50&lt;'Données projet'!$A$88,$BA$205^A50,IF(A50='Données projet'!$A$88,'Données projet'!$B$88,BD49+BC50-BL49)))</f>
        <v>92.599999999999937</v>
      </c>
      <c r="BE50" s="13">
        <f>BD50*VLOOKUP('Données projet'!$B$11,Paramètres!$A$1:$I$89,3,0)*VLOOKUP('Données projet'!$B$11,Paramètres!$A$1:$I$89,5,0)</f>
        <v>89.562719999999942</v>
      </c>
      <c r="BF50" s="13">
        <f t="shared" si="37"/>
        <v>24.459733711744516</v>
      </c>
      <c r="BG50" s="20">
        <f t="shared" si="7"/>
        <v>198.58910688128825</v>
      </c>
      <c r="BH50" s="59">
        <f t="shared" si="8"/>
        <v>451.65034474548361</v>
      </c>
      <c r="BI50" s="59">
        <f ca="1">AVERAGE(OFFSET($BH$3,0,0,'Données projet'!$E$11+1,1))-AVERAGE(OFFSET($H$3,0,0,'Données projet'!$E$11+1,1))</f>
        <v>289.06522051625166</v>
      </c>
      <c r="BJ50" s="59">
        <f t="shared" si="38"/>
        <v>173.19148969173838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5.9</v>
      </c>
      <c r="BY50" s="12">
        <f>IF('Données projet'!$A$114&gt;35,BY49+BX50-CG49,IF(A50&lt;'Données projet'!$A$114,$BV$205^A50,IF(A50='Données projet'!$A$114,'Données projet'!$B$114,BY49+BX50-CG49)))</f>
        <v>167.30000000000015</v>
      </c>
      <c r="BZ50" s="13">
        <f>BY50*VLOOKUP('Données projet'!$B$12,Paramètres!$A$1:$I$89,3,0)*VLOOKUP('Données projet'!$B$12,Paramètres!$A$1:$I$89,5,0)</f>
        <v>135.71376000000012</v>
      </c>
      <c r="CA50" s="13">
        <f t="shared" si="39"/>
        <v>35.313318206525366</v>
      </c>
      <c r="CB50" s="20">
        <f t="shared" si="10"/>
        <v>297.87216120969856</v>
      </c>
      <c r="CC50" s="59">
        <f t="shared" si="11"/>
        <v>550.93339907389395</v>
      </c>
      <c r="CD50" s="59">
        <f ca="1">AVERAGE(OFFSET($CC$3,0,0,'Données projet'!$E$12+1,1))-AVERAGE(OFFSET($H$3,0,0,'Données projet'!$E$12+1,1))</f>
        <v>306.06916761900357</v>
      </c>
      <c r="CE50" s="59">
        <f t="shared" si="40"/>
        <v>258.90832875500337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4.9549417929432415E-4</v>
      </c>
      <c r="CN50" s="22">
        <f t="shared" si="12"/>
        <v>4.9549417929432415E-4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7.5</v>
      </c>
      <c r="CT50" s="12">
        <f>IF('Données projet'!$A$140&gt;35,CT49+CS50-DB49,IF(A50&lt;'Données projet'!$A$140,$CQ$205^A50,IF(A50='Données projet'!$A$140,'Données projet'!$B$140,CT49+CS50-DB49)))</f>
        <v>169.50000000000003</v>
      </c>
      <c r="CU50" s="17">
        <f>CT50*VLOOKUP('Données projet'!$B$13,Paramètres!$A$1:$I$89,3,0)*VLOOKUP('Données projet'!$B$13,Paramètres!$A$1:$I$89,5,0)</f>
        <v>113.70060000000001</v>
      </c>
      <c r="CV50" s="13">
        <f t="shared" si="41"/>
        <v>30.201188674619235</v>
      </c>
      <c r="CW50" s="20">
        <f t="shared" si="13"/>
        <v>250.62894860829519</v>
      </c>
      <c r="CX50" s="59">
        <f t="shared" si="14"/>
        <v>503.69018647249061</v>
      </c>
      <c r="CY50" s="59">
        <f ca="1">AVERAGE(OFFSET($CX$3,0,0,'Données projet'!$E$13+1,1))-AVERAGE(OFFSET($H$3,0,0,'Données projet'!$E$13+1,1))</f>
        <v>324.58754156328285</v>
      </c>
      <c r="CZ50" s="59">
        <f t="shared" si="42"/>
        <v>226.01037731977604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3.0047275231566054E-4</v>
      </c>
      <c r="DI50" s="22">
        <f t="shared" si="15"/>
        <v>3.0047275231566054E-4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15.618681318681309</v>
      </c>
      <c r="DO50" s="12">
        <f>IF('Données projet'!$A$166&gt;35,DO49+DN50-DW49,IF(A50&lt;'Données projet'!$A$166,$DL$205^A50,IF(A50='Données projet'!$A$166,'Données projet'!$B$166,DO49+DN50-DW49)))</f>
        <v>308.61648351648358</v>
      </c>
      <c r="DP50" s="17">
        <f>DO50*VLOOKUP('Données projet'!$B$14,Paramètres!$A$1:$I$89,3,0)*VLOOKUP('Données projet'!$B$14,Paramètres!$A$1:$I$89,5,0)</f>
        <v>144.43251428571432</v>
      </c>
      <c r="DQ50" s="13">
        <f t="shared" si="43"/>
        <v>37.310582871696397</v>
      </c>
      <c r="DR50" s="20">
        <f t="shared" si="16"/>
        <v>316.5358942158237</v>
      </c>
      <c r="DS50" s="59">
        <f t="shared" si="17"/>
        <v>569.59713208001904</v>
      </c>
      <c r="DT50" s="59">
        <f ca="1">AVERAGE(OFFSET($DS$3,0,0,'Données projet'!$E$14+1,1))-AVERAGE(OFFSET($H$3,0,0,'Données projet'!$E$14+1,1))</f>
        <v>325.93182817189722</v>
      </c>
      <c r="DU50" s="59">
        <f t="shared" si="44"/>
        <v>280.04509991782709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7.7</v>
      </c>
      <c r="EJ50" s="12">
        <f>IF('Données projet'!$A$192&gt;35,EJ49+EI50-ER49,IF(A50&lt;'Données projet'!$A$192,$EG$205^A50,IF(A50='Données projet'!$A$192,'Données projet'!$B$192,EJ49+EI50-ER49)))</f>
        <v>217.89999999999978</v>
      </c>
      <c r="EK50" s="17">
        <f>EJ50*VLOOKUP('Données projet'!$B$15,Paramètres!$A$1:$I$89,3,0)*VLOOKUP('Données projet'!$B$15,Paramètres!$A$1:$I$89,5,0)</f>
        <v>173.36123999999984</v>
      </c>
      <c r="EL50" s="13">
        <f t="shared" si="45"/>
        <v>43.841969562839758</v>
      </c>
      <c r="EM50" s="20">
        <f t="shared" si="19"/>
        <v>378.29558998861233</v>
      </c>
      <c r="EN50" s="59">
        <f t="shared" si="20"/>
        <v>631.35682785280778</v>
      </c>
      <c r="EO50" s="59">
        <f ca="1">AVERAGE(OFFSET($EN$3,0,0,'Données projet'!$E$15+1,1))-AVERAGE(OFFSET($H$3,0,0,'Données projet'!$E$15+1,1))</f>
        <v>333.52903437536651</v>
      </c>
      <c r="EP50" s="59">
        <f t="shared" si="46"/>
        <v>359.47288701414777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2.3610243451830337</v>
      </c>
      <c r="EX50" s="21">
        <f>EXP(-LN(2)/2)*EX49+(1-EXP(-LN(2)/2))/(LN(2)/2)*ER50*EU50*VLOOKUP('Données projet'!$B$15,Paramètres!$A$1:$I$89,3,0)*0.475*44/12</f>
        <v>6.965504712772131E-4</v>
      </c>
      <c r="EY50" s="22">
        <f t="shared" si="21"/>
        <v>2.3617208956543108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11.861538461538462</v>
      </c>
      <c r="FE50" s="12">
        <f>IF('Données projet'!$A$218&gt;35,FE49+FD50-FM49,IF(A50&lt;'Données projet'!$A$218,$FB$205^A50,IF(A50='Données projet'!$A$218,'Données projet'!$B$218,FE49+FD50-FM49)))</f>
        <v>255.5</v>
      </c>
      <c r="FF50" s="17">
        <f>FE50*VLOOKUP('Données projet'!$B$16,Paramètres!$A$1:$I$89,3,0)*VLOOKUP('Données projet'!$B$16,Paramètres!$A$1:$I$89,5,0)</f>
        <v>152.78900000000002</v>
      </c>
      <c r="FG50" s="13">
        <f t="shared" si="47"/>
        <v>39.211714711932316</v>
      </c>
      <c r="FH50" s="20">
        <f t="shared" si="22"/>
        <v>334.40124478994881</v>
      </c>
      <c r="FI50" s="59">
        <f t="shared" si="23"/>
        <v>587.4624826541442</v>
      </c>
      <c r="FJ50" s="59">
        <f ca="1">AVERAGE(OFFSET($FI$3,0,0,'Données projet'!$E$16+1,1))-AVERAGE(OFFSET($H$3,0,0,'Données projet'!$E$16+1,1))</f>
        <v>313.26988717307376</v>
      </c>
      <c r="FK50" s="59">
        <f t="shared" si="48"/>
        <v>248.17359813993201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1.6646001867602769</v>
      </c>
      <c r="FR50" s="21">
        <f>EXP(-LN(2)/25)*FR49+(1-EXP(-LN(2)/25))/(LN(2)/25)*Calculateur!FM50*Calculateur!FO50*VLOOKUP('Données projet'!$B$16,Paramètres!$A$1:$I$89,3,0)*0.475*44/12</f>
        <v>4.705727374231671</v>
      </c>
      <c r="FS50" s="21">
        <f>EXP(-LN(2)/2)*FS49+(1-EXP(-LN(2)/2))/(LN(2)/2)*FM50*FP50*VLOOKUP('Données projet'!$B$16,Paramètres!$A$1:$I$89,3,0)*0.475*44/12</f>
        <v>1.162940820359145E-2</v>
      </c>
      <c r="FT50" s="22">
        <f t="shared" si="24"/>
        <v>6.3819569691955387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3.8</v>
      </c>
      <c r="FZ50" s="12">
        <f>IF('Données projet'!$A$244&gt;35,FZ49+FY50-GH49,IF(A50&lt;'Données projet'!$A$244,$FW$205^A50,IF(A50='Données projet'!$A$244,'Données projet'!$B$244,FZ49+FY50-GH49)))</f>
        <v>92.599999999999937</v>
      </c>
      <c r="GA50" s="17">
        <f>FZ50*VLOOKUP('Données projet'!$B$17,Paramètres!$A$1:$I$89,3,0)*VLOOKUP('Données projet'!$B$17,Paramètres!$A$1:$I$89,5,0)</f>
        <v>99.674639999999926</v>
      </c>
      <c r="GB50" s="13">
        <f t="shared" si="49"/>
        <v>26.884470319417478</v>
      </c>
      <c r="GC50" s="20">
        <f t="shared" si="25"/>
        <v>220.42378380631862</v>
      </c>
      <c r="GD50" s="59">
        <f t="shared" si="26"/>
        <v>473.48502167051402</v>
      </c>
      <c r="GE50" s="59">
        <f ca="1">AVERAGE(OFFSET($GD$3,0,0,'Données projet'!$E$17+1,1))-AVERAGE(OFFSET($H$3,0,0,'Données projet'!$E$17+1,1))</f>
        <v>313.51355235711543</v>
      </c>
      <c r="GF50" s="59">
        <f t="shared" si="50"/>
        <v>186.0840067781198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0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0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7.5</v>
      </c>
      <c r="N51" s="13">
        <f>IF('Données projet'!$A$36&gt;35,N50+M51-V50,IF(A51&lt;'Données projet'!$A$36,$K$205^A51,IF(A51='Données projet'!$A$36,'Données projet'!$B$36,N50+M51-V50)))</f>
        <v>177.00000000000003</v>
      </c>
      <c r="O51" s="13">
        <f>N51*VLOOKUP('Données projet'!$B$9,Paramètres!$A$1:$I$89,3,0)*VLOOKUP('Données projet'!$B$9,Paramètres!$A$1:$I$89,5,0)</f>
        <v>179.47800000000004</v>
      </c>
      <c r="P51" s="13">
        <f t="shared" si="33"/>
        <v>45.206031161327473</v>
      </c>
      <c r="Q51" s="20">
        <f t="shared" si="53"/>
        <v>391.32468760597868</v>
      </c>
      <c r="R51" s="59">
        <f t="shared" si="0"/>
        <v>645.08455629164632</v>
      </c>
      <c r="S51" s="59">
        <f ca="1">AVERAGE(OFFSET($R$3,0,0,'Données projet'!$E$9+1,1))-AVERAGE(OFFSET($H$3,0,0,'Données projet'!$E$9+1,1))</f>
        <v>452.67426184967104</v>
      </c>
      <c r="T51" s="59">
        <f t="shared" si="34"/>
        <v>310.47823616327639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6.1538461538461551</v>
      </c>
      <c r="AI51" s="13">
        <f>IF('Données projet'!$A$62&gt;35,AI50+AH51-AQ50,IF(A51&lt;'Données projet'!$A$62,$AF$205^A51,IF(A51='Données projet'!$A$62,'Données projet'!$B$62,AI50+AH51-AQ50)))</f>
        <v>190.89743589743594</v>
      </c>
      <c r="AJ51" s="13">
        <f>AI51*VLOOKUP('Données projet'!$B$10,Paramètres!$A$1:$I$89,3,0)*VLOOKUP('Données projet'!$B$10,Paramètres!$A$1:$I$89,5,0)</f>
        <v>199.52600000000007</v>
      </c>
      <c r="AK51" s="13">
        <f t="shared" si="35"/>
        <v>49.63998249054513</v>
      </c>
      <c r="AL51" s="20">
        <f t="shared" si="4"/>
        <v>433.96408617103287</v>
      </c>
      <c r="AM51" s="59">
        <f t="shared" si="5"/>
        <v>687.72395485670063</v>
      </c>
      <c r="AN51" s="59">
        <f ca="1">AVERAGE(OFFSET($AM$3,0,0,'Données projet'!$E$10+1,1))-AVERAGE(OFFSET($H$3,0,0,'Données projet'!$E$10+1,1))</f>
        <v>528.45201982036087</v>
      </c>
      <c r="AO51" s="59">
        <f t="shared" si="36"/>
        <v>321.23004033257985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1.9292084740771799E-4</v>
      </c>
      <c r="AX51" s="21">
        <f t="shared" si="6"/>
        <v>1.9292084740771799E-4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3.8</v>
      </c>
      <c r="BD51" s="12">
        <f>IF('Données projet'!$A$88&gt;35,BD50+BC51-BL50,IF(A51&lt;'Données projet'!$A$88,$BA$205^A51,IF(A51='Données projet'!$A$88,'Données projet'!$B$88,BD50+BC51-BL50)))</f>
        <v>96.399999999999935</v>
      </c>
      <c r="BE51" s="13">
        <f>BD51*VLOOKUP('Données projet'!$B$11,Paramètres!$A$1:$I$89,3,0)*VLOOKUP('Données projet'!$B$11,Paramètres!$A$1:$I$89,5,0)</f>
        <v>93.23807999999994</v>
      </c>
      <c r="BF51" s="13">
        <f t="shared" si="37"/>
        <v>25.344558133480131</v>
      </c>
      <c r="BG51" s="20">
        <f t="shared" si="7"/>
        <v>206.53142808247776</v>
      </c>
      <c r="BH51" s="59">
        <f t="shared" si="8"/>
        <v>460.29129676814546</v>
      </c>
      <c r="BI51" s="59">
        <f ca="1">AVERAGE(OFFSET($BH$3,0,0,'Données projet'!$E$11+1,1))-AVERAGE(OFFSET($H$3,0,0,'Données projet'!$E$11+1,1))</f>
        <v>289.06522051625166</v>
      </c>
      <c r="BJ51" s="59">
        <f t="shared" si="38"/>
        <v>173.19148969173838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5.9</v>
      </c>
      <c r="BY51" s="12">
        <f>IF('Données projet'!$A$114&gt;35,BY50+BX51-CG50,IF(A51&lt;'Données projet'!$A$114,$BV$205^A51,IF(A51='Données projet'!$A$114,'Données projet'!$B$114,BY50+BX51-CG50)))</f>
        <v>173.20000000000016</v>
      </c>
      <c r="BZ51" s="13">
        <f>BY51*VLOOKUP('Données projet'!$B$12,Paramètres!$A$1:$I$89,3,0)*VLOOKUP('Données projet'!$B$12,Paramètres!$A$1:$I$89,5,0)</f>
        <v>140.49984000000015</v>
      </c>
      <c r="CA51" s="13">
        <f t="shared" si="39"/>
        <v>36.411488058235619</v>
      </c>
      <c r="CB51" s="20">
        <f t="shared" si="10"/>
        <v>308.12056303476061</v>
      </c>
      <c r="CC51" s="59">
        <f t="shared" si="11"/>
        <v>561.88043172042831</v>
      </c>
      <c r="CD51" s="59">
        <f ca="1">AVERAGE(OFFSET($CC$3,0,0,'Données projet'!$E$12+1,1))-AVERAGE(OFFSET($H$3,0,0,'Données projet'!$E$12+1,1))</f>
        <v>306.06916761900357</v>
      </c>
      <c r="CE51" s="59">
        <f t="shared" si="40"/>
        <v>258.90832875500337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3.5036729421747962E-4</v>
      </c>
      <c r="CN51" s="22">
        <f t="shared" si="12"/>
        <v>3.5036729421747962E-4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7.5</v>
      </c>
      <c r="CT51" s="12">
        <f>IF('Données projet'!$A$140&gt;35,CT50+CS51-DB50,IF(A51&lt;'Données projet'!$A$140,$CQ$205^A51,IF(A51='Données projet'!$A$140,'Données projet'!$B$140,CT50+CS51-DB50)))</f>
        <v>177.00000000000003</v>
      </c>
      <c r="CU51" s="17">
        <f>CT51*VLOOKUP('Données projet'!$B$13,Paramètres!$A$1:$I$89,3,0)*VLOOKUP('Données projet'!$B$13,Paramètres!$A$1:$I$89,5,0)</f>
        <v>118.73160000000003</v>
      </c>
      <c r="CV51" s="13">
        <f t="shared" si="41"/>
        <v>31.378983114681567</v>
      </c>
      <c r="CW51" s="20">
        <f t="shared" si="13"/>
        <v>261.44259892473707</v>
      </c>
      <c r="CX51" s="59">
        <f t="shared" si="14"/>
        <v>515.20246761040471</v>
      </c>
      <c r="CY51" s="59">
        <f ca="1">AVERAGE(OFFSET($CX$3,0,0,'Données projet'!$E$13+1,1))-AVERAGE(OFFSET($H$3,0,0,'Données projet'!$E$13+1,1))</f>
        <v>324.58754156328285</v>
      </c>
      <c r="CZ51" s="59">
        <f t="shared" si="42"/>
        <v>226.01037731977604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2.1246632072418947E-4</v>
      </c>
      <c r="DI51" s="22">
        <f t="shared" si="15"/>
        <v>2.1246632072418947E-4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15.618681318681309</v>
      </c>
      <c r="DO51" s="12">
        <f>IF('Données projet'!$A$166&gt;35,DO50+DN51-DW50,IF(A51&lt;'Données projet'!$A$166,$DL$205^A51,IF(A51='Données projet'!$A$166,'Données projet'!$B$166,DO50+DN51-DW50)))</f>
        <v>324.23516483516488</v>
      </c>
      <c r="DP51" s="17">
        <f>DO51*VLOOKUP('Données projet'!$B$14,Paramètres!$A$1:$I$89,3,0)*VLOOKUP('Données projet'!$B$14,Paramètres!$A$1:$I$89,5,0)</f>
        <v>151.74205714285716</v>
      </c>
      <c r="DQ51" s="13">
        <f t="shared" si="43"/>
        <v>38.974207918733512</v>
      </c>
      <c r="DR51" s="20">
        <f t="shared" si="16"/>
        <v>332.16416164893707</v>
      </c>
      <c r="DS51" s="59">
        <f t="shared" si="17"/>
        <v>585.92403033460482</v>
      </c>
      <c r="DT51" s="59">
        <f ca="1">AVERAGE(OFFSET($DS$3,0,0,'Données projet'!$E$14+1,1))-AVERAGE(OFFSET($H$3,0,0,'Données projet'!$E$14+1,1))</f>
        <v>325.93182817189722</v>
      </c>
      <c r="DU51" s="59">
        <f t="shared" si="44"/>
        <v>280.04509991782709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7.7</v>
      </c>
      <c r="EJ51" s="12">
        <f>IF('Données projet'!$A$192&gt;35,EJ50+EI51-ER50,IF(A51&lt;'Données projet'!$A$192,$EG$205^A51,IF(A51='Données projet'!$A$192,'Données projet'!$B$192,EJ50+EI51-ER50)))</f>
        <v>225.59999999999977</v>
      </c>
      <c r="EK51" s="17">
        <f>EJ51*VLOOKUP('Données projet'!$B$15,Paramètres!$A$1:$I$89,3,0)*VLOOKUP('Données projet'!$B$15,Paramètres!$A$1:$I$89,5,0)</f>
        <v>179.48735999999982</v>
      </c>
      <c r="EL51" s="13">
        <f t="shared" si="45"/>
        <v>45.208114286641525</v>
      </c>
      <c r="EM51" s="20">
        <f t="shared" si="19"/>
        <v>391.34461771590031</v>
      </c>
      <c r="EN51" s="59">
        <f t="shared" si="20"/>
        <v>645.10448640156801</v>
      </c>
      <c r="EO51" s="59">
        <f ca="1">AVERAGE(OFFSET($EN$3,0,0,'Données projet'!$E$15+1,1))-AVERAGE(OFFSET($H$3,0,0,'Données projet'!$E$15+1,1))</f>
        <v>333.52903437536651</v>
      </c>
      <c r="EP51" s="59">
        <f t="shared" si="46"/>
        <v>359.47288701414777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2.2964620103031295</v>
      </c>
      <c r="EX51" s="21">
        <f>EXP(-LN(2)/2)*EX50+(1-EXP(-LN(2)/2))/(LN(2)/2)*ER51*EU51*VLOOKUP('Données projet'!$B$15,Paramètres!$A$1:$I$89,3,0)*0.475*44/12</f>
        <v>4.9253556167880286E-4</v>
      </c>
      <c r="EY51" s="22">
        <f t="shared" si="21"/>
        <v>2.2969545458648084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11.861538461538462</v>
      </c>
      <c r="FE51" s="12">
        <f>IF('Données projet'!$A$218&gt;35,FE50+FD51-FM50,IF(A51&lt;'Données projet'!$A$218,$FB$205^A51,IF(A51='Données projet'!$A$218,'Données projet'!$B$218,FE50+FD51-FM50)))</f>
        <v>267.36153846153849</v>
      </c>
      <c r="FF51" s="17">
        <f>FE51*VLOOKUP('Données projet'!$B$16,Paramètres!$A$1:$I$89,3,0)*VLOOKUP('Données projet'!$B$16,Paramètres!$A$1:$I$89,5,0)</f>
        <v>159.88220000000001</v>
      </c>
      <c r="FG51" s="13">
        <f t="shared" si="47"/>
        <v>40.815944149041762</v>
      </c>
      <c r="FH51" s="20">
        <f t="shared" si="22"/>
        <v>349.54926772624776</v>
      </c>
      <c r="FI51" s="59">
        <f t="shared" si="23"/>
        <v>603.30913641191546</v>
      </c>
      <c r="FJ51" s="59">
        <f ca="1">AVERAGE(OFFSET($FI$3,0,0,'Données projet'!$E$16+1,1))-AVERAGE(OFFSET($H$3,0,0,'Données projet'!$E$16+1,1))</f>
        <v>313.26988717307376</v>
      </c>
      <c r="FK51" s="59">
        <f t="shared" si="48"/>
        <v>248.17359813993201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1.6319583924037686</v>
      </c>
      <c r="FR51" s="21">
        <f>EXP(-LN(2)/25)*FR50+(1-EXP(-LN(2)/25))/(LN(2)/25)*Calculateur!FM51*Calculateur!FO51*VLOOKUP('Données projet'!$B$16,Paramètres!$A$1:$I$89,3,0)*0.475*44/12</f>
        <v>4.5770490117198586</v>
      </c>
      <c r="FS51" s="21">
        <f>EXP(-LN(2)/2)*FS50+(1-EXP(-LN(2)/2))/(LN(2)/2)*FM51*FP51*VLOOKUP('Données projet'!$B$16,Paramètres!$A$1:$I$89,3,0)*0.475*44/12</f>
        <v>8.2232334019459799E-3</v>
      </c>
      <c r="FT51" s="22">
        <f t="shared" si="24"/>
        <v>6.2172306375255726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3.8</v>
      </c>
      <c r="FZ51" s="12">
        <f>IF('Données projet'!$A$244&gt;35,FZ50+FY51-GH50,IF(A51&lt;'Données projet'!$A$244,$FW$205^A51,IF(A51='Données projet'!$A$244,'Données projet'!$B$244,FZ50+FY51-GH50)))</f>
        <v>96.399999999999935</v>
      </c>
      <c r="GA51" s="17">
        <f>FZ51*VLOOKUP('Données projet'!$B$17,Paramètres!$A$1:$I$89,3,0)*VLOOKUP('Données projet'!$B$17,Paramètres!$A$1:$I$89,5,0)</f>
        <v>103.76495999999992</v>
      </c>
      <c r="GB51" s="13">
        <f t="shared" si="49"/>
        <v>27.857008949003003</v>
      </c>
      <c r="GC51" s="20">
        <f t="shared" si="25"/>
        <v>229.2415959195134</v>
      </c>
      <c r="GD51" s="59">
        <f t="shared" si="26"/>
        <v>483.00146460518113</v>
      </c>
      <c r="GE51" s="59">
        <f ca="1">AVERAGE(OFFSET($GD$3,0,0,'Données projet'!$E$17+1,1))-AVERAGE(OFFSET($H$3,0,0,'Données projet'!$E$17+1,1))</f>
        <v>313.51355235711543</v>
      </c>
      <c r="GF51" s="59">
        <f t="shared" si="50"/>
        <v>186.0840067781198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0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0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7.5</v>
      </c>
      <c r="N52" s="13">
        <f>IF('Données projet'!$A$36&gt;35,N51+M52-V51,IF(A52&lt;'Données projet'!$A$36,$K$205^A52,IF(A52='Données projet'!$A$36,'Données projet'!$B$36,N51+M52-V51)))</f>
        <v>184.50000000000003</v>
      </c>
      <c r="O52" s="13">
        <f>N52*VLOOKUP('Données projet'!$B$9,Paramètres!$A$1:$I$89,3,0)*VLOOKUP('Données projet'!$B$9,Paramètres!$A$1:$I$89,5,0)</f>
        <v>187.08300000000006</v>
      </c>
      <c r="P52" s="13">
        <f t="shared" si="33"/>
        <v>46.89446600863711</v>
      </c>
      <c r="Q52" s="20">
        <f t="shared" si="53"/>
        <v>407.51075329837641</v>
      </c>
      <c r="R52" s="59">
        <f t="shared" si="0"/>
        <v>661.95713312266844</v>
      </c>
      <c r="S52" s="59">
        <f ca="1">AVERAGE(OFFSET($R$3,0,0,'Données projet'!$E$9+1,1))-AVERAGE(OFFSET($H$3,0,0,'Données projet'!$E$9+1,1))</f>
        <v>452.67426184967104</v>
      </c>
      <c r="T52" s="59">
        <f t="shared" si="34"/>
        <v>310.47823616327639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6.1538461538461551</v>
      </c>
      <c r="AI52" s="13">
        <f>IF('Données projet'!$A$62&gt;35,AI51+AH52-AQ51,IF(A52&lt;'Données projet'!$A$62,$AF$205^A52,IF(A52='Données projet'!$A$62,'Données projet'!$B$62,AI51+AH52-AQ51)))</f>
        <v>197.0512820512821</v>
      </c>
      <c r="AJ52" s="13">
        <f>AI52*VLOOKUP('Données projet'!$B$10,Paramètres!$A$1:$I$89,3,0)*VLOOKUP('Données projet'!$B$10,Paramètres!$A$1:$I$89,5,0)</f>
        <v>205.95800000000008</v>
      </c>
      <c r="AK52" s="13">
        <f t="shared" si="35"/>
        <v>51.051310383942919</v>
      </c>
      <c r="AL52" s="20">
        <f t="shared" si="4"/>
        <v>447.62454891870067</v>
      </c>
      <c r="AM52" s="59">
        <f t="shared" si="5"/>
        <v>702.07092874299269</v>
      </c>
      <c r="AN52" s="59">
        <f ca="1">AVERAGE(OFFSET($AM$3,0,0,'Données projet'!$E$10+1,1))-AVERAGE(OFFSET($H$3,0,0,'Données projet'!$E$10+1,1))</f>
        <v>528.45201982036087</v>
      </c>
      <c r="AO52" s="59">
        <f t="shared" si="36"/>
        <v>321.23004033257985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1.3641563943425256E-4</v>
      </c>
      <c r="AX52" s="21">
        <f t="shared" si="6"/>
        <v>1.3641563943425256E-4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3.8</v>
      </c>
      <c r="BD52" s="12">
        <f>IF('Données projet'!$A$88&gt;35,BD51+BC52-BL51,IF(A52&lt;'Données projet'!$A$88,$BA$205^A52,IF(A52='Données projet'!$A$88,'Données projet'!$B$88,BD51+BC52-BL51)))</f>
        <v>100.19999999999993</v>
      </c>
      <c r="BE52" s="13">
        <f>BD52*VLOOKUP('Données projet'!$B$11,Paramètres!$A$1:$I$89,3,0)*VLOOKUP('Données projet'!$B$11,Paramètres!$A$1:$I$89,5,0)</f>
        <v>96.913439999999937</v>
      </c>
      <c r="BF52" s="13">
        <f t="shared" si="37"/>
        <v>26.225330834732034</v>
      </c>
      <c r="BG52" s="20">
        <f t="shared" si="7"/>
        <v>214.46669253715814</v>
      </c>
      <c r="BH52" s="59">
        <f t="shared" si="8"/>
        <v>468.91307236145008</v>
      </c>
      <c r="BI52" s="59">
        <f ca="1">AVERAGE(OFFSET($BH$3,0,0,'Données projet'!$E$11+1,1))-AVERAGE(OFFSET($H$3,0,0,'Données projet'!$E$11+1,1))</f>
        <v>289.06522051625166</v>
      </c>
      <c r="BJ52" s="59">
        <f t="shared" si="38"/>
        <v>173.19148969173838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5.9</v>
      </c>
      <c r="BY52" s="12">
        <f>IF('Données projet'!$A$114&gt;35,BY51+BX52-CG51,IF(A52&lt;'Données projet'!$A$114,$BV$205^A52,IF(A52='Données projet'!$A$114,'Données projet'!$B$114,BY51+BX52-CG51)))</f>
        <v>179.10000000000016</v>
      </c>
      <c r="BZ52" s="13">
        <f>BY52*VLOOKUP('Données projet'!$B$12,Paramètres!$A$1:$I$89,3,0)*VLOOKUP('Données projet'!$B$12,Paramètres!$A$1:$I$89,5,0)</f>
        <v>145.28592000000015</v>
      </c>
      <c r="CA52" s="13">
        <f t="shared" si="39"/>
        <v>37.505311260379507</v>
      </c>
      <c r="CB52" s="20">
        <f t="shared" si="10"/>
        <v>318.36139444516124</v>
      </c>
      <c r="CC52" s="59">
        <f t="shared" si="11"/>
        <v>572.80777426945315</v>
      </c>
      <c r="CD52" s="59">
        <f ca="1">AVERAGE(OFFSET($CC$3,0,0,'Données projet'!$E$12+1,1))-AVERAGE(OFFSET($H$3,0,0,'Données projet'!$E$12+1,1))</f>
        <v>306.06916761900357</v>
      </c>
      <c r="CE52" s="59">
        <f t="shared" si="40"/>
        <v>258.90832875500337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2.4774708964716207E-4</v>
      </c>
      <c r="CN52" s="22">
        <f t="shared" si="12"/>
        <v>2.4774708964716207E-4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7.5</v>
      </c>
      <c r="CT52" s="12">
        <f>IF('Données projet'!$A$140&gt;35,CT51+CS52-DB51,IF(A52&lt;'Données projet'!$A$140,$CQ$205^A52,IF(A52='Données projet'!$A$140,'Données projet'!$B$140,CT51+CS52-DB51)))</f>
        <v>184.50000000000003</v>
      </c>
      <c r="CU52" s="17">
        <f>CT52*VLOOKUP('Données projet'!$B$13,Paramètres!$A$1:$I$89,3,0)*VLOOKUP('Données projet'!$B$13,Paramètres!$A$1:$I$89,5,0)</f>
        <v>123.76260000000002</v>
      </c>
      <c r="CV52" s="13">
        <f t="shared" si="41"/>
        <v>32.550980903536193</v>
      </c>
      <c r="CW52" s="20">
        <f t="shared" si="13"/>
        <v>272.24615340699222</v>
      </c>
      <c r="CX52" s="59">
        <f t="shared" si="14"/>
        <v>526.69253323128419</v>
      </c>
      <c r="CY52" s="59">
        <f ca="1">AVERAGE(OFFSET($CX$3,0,0,'Données projet'!$E$13+1,1))-AVERAGE(OFFSET($H$3,0,0,'Données projet'!$E$13+1,1))</f>
        <v>324.58754156328285</v>
      </c>
      <c r="CZ52" s="59">
        <f t="shared" si="42"/>
        <v>226.01037731977604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1.5023637615783027E-4</v>
      </c>
      <c r="DI52" s="22">
        <f t="shared" si="15"/>
        <v>1.5023637615783027E-4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>
        <f>VLOOKUP(A52,'Données projet'!$A$165:$I$185,2,0)</f>
        <v>339.85384615384612</v>
      </c>
      <c r="DM52" s="12">
        <f>VLOOKUP(A52,'Données projet'!$A$165:$I$185,9,0)</f>
        <v>15.618681318681309</v>
      </c>
      <c r="DN52" s="12">
        <f t="array" ref="DN52">INDEX(DM:DM,MIN(IF(ISNUMBER(DM52:DM248),ROW(DM52:DM248),"")))</f>
        <v>15.618681318681309</v>
      </c>
      <c r="DO52" s="12">
        <f>IF('Données projet'!$A$166&gt;35,DO51+DN52-DW51,IF(A52&lt;'Données projet'!$A$166,$DL$205^A52,IF(A52='Données projet'!$A$166,'Données projet'!$B$166,DO51+DN52-DW51)))</f>
        <v>339.85384615384618</v>
      </c>
      <c r="DP52" s="17">
        <f>DO52*VLOOKUP('Données projet'!$B$14,Paramètres!$A$1:$I$89,3,0)*VLOOKUP('Données projet'!$B$14,Paramètres!$A$1:$I$89,5,0)</f>
        <v>159.05160000000001</v>
      </c>
      <c r="DQ52" s="13">
        <f t="shared" si="43"/>
        <v>40.628527179850586</v>
      </c>
      <c r="DR52" s="20">
        <f t="shared" si="16"/>
        <v>347.77622150490646</v>
      </c>
      <c r="DS52" s="59">
        <f t="shared" si="17"/>
        <v>602.22260132919837</v>
      </c>
      <c r="DT52" s="59">
        <f ca="1">AVERAGE(OFFSET($DS$3,0,0,'Données projet'!$E$14+1,1))-AVERAGE(OFFSET($H$3,0,0,'Données projet'!$E$14+1,1))</f>
        <v>325.93182817189722</v>
      </c>
      <c r="DU52" s="59">
        <f t="shared" si="44"/>
        <v>280.04509991782709</v>
      </c>
      <c r="DV52" s="15">
        <f>IF(ISNA(VLOOKUP(A52,'Données projet'!$A$165:$I$185,3,0)),0,VLOOKUP(A52,'Données projet'!$A$165:$I$185,3,0))</f>
        <v>2</v>
      </c>
      <c r="DW52" s="15">
        <f>IF(ISNA(VLOOKUP(A52,'Données projet'!$A$165:$I$185,4,0)),0,VLOOKUP(A52,'Données projet'!$A$165:$I$185,4,0))</f>
        <v>94.476923076923072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7.7</v>
      </c>
      <c r="EJ52" s="12">
        <f>IF('Données projet'!$A$192&gt;35,EJ51+EI52-ER51,IF(A52&lt;'Données projet'!$A$192,$EG$205^A52,IF(A52='Données projet'!$A$192,'Données projet'!$B$192,EJ51+EI52-ER51)))</f>
        <v>233.29999999999976</v>
      </c>
      <c r="EK52" s="17">
        <f>EJ52*VLOOKUP('Données projet'!$B$15,Paramètres!$A$1:$I$89,3,0)*VLOOKUP('Données projet'!$B$15,Paramètres!$A$1:$I$89,5,0)</f>
        <v>185.61347999999981</v>
      </c>
      <c r="EL52" s="13">
        <f t="shared" si="45"/>
        <v>46.568841147773846</v>
      </c>
      <c r="EM52" s="20">
        <f t="shared" si="19"/>
        <v>404.38420933237239</v>
      </c>
      <c r="EN52" s="59">
        <f t="shared" si="20"/>
        <v>658.83058915666436</v>
      </c>
      <c r="EO52" s="59">
        <f ca="1">AVERAGE(OFFSET($EN$3,0,0,'Données projet'!$E$15+1,1))-AVERAGE(OFFSET($H$3,0,0,'Données projet'!$E$15+1,1))</f>
        <v>333.52903437536651</v>
      </c>
      <c r="EP52" s="59">
        <f t="shared" si="46"/>
        <v>359.47288701414777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2.233665135865702</v>
      </c>
      <c r="EX52" s="21">
        <f>EXP(-LN(2)/2)*EX51+(1-EXP(-LN(2)/2))/(LN(2)/2)*ER52*EU52*VLOOKUP('Données projet'!$B$15,Paramètres!$A$1:$I$89,3,0)*0.475*44/12</f>
        <v>3.4827523563860655E-4</v>
      </c>
      <c r="EY52" s="22">
        <f t="shared" si="21"/>
        <v>2.2340134111013406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11.861538461538462</v>
      </c>
      <c r="FE52" s="12">
        <f>IF('Données projet'!$A$218&gt;35,FE51+FD52-FM51,IF(A52&lt;'Données projet'!$A$218,$FB$205^A52,IF(A52='Données projet'!$A$218,'Données projet'!$B$218,FE51+FD52-FM51)))</f>
        <v>279.22307692307697</v>
      </c>
      <c r="FF52" s="17">
        <f>FE52*VLOOKUP('Données projet'!$B$16,Paramètres!$A$1:$I$89,3,0)*VLOOKUP('Données projet'!$B$16,Paramètres!$A$1:$I$89,5,0)</f>
        <v>166.97540000000004</v>
      </c>
      <c r="FG52" s="13">
        <f t="shared" si="47"/>
        <v>42.411907667415186</v>
      </c>
      <c r="FH52" s="20">
        <f t="shared" si="22"/>
        <v>364.68289418741483</v>
      </c>
      <c r="FI52" s="59">
        <f t="shared" si="23"/>
        <v>619.1292740117068</v>
      </c>
      <c r="FJ52" s="59">
        <f ca="1">AVERAGE(OFFSET($FI$3,0,0,'Données projet'!$E$16+1,1))-AVERAGE(OFFSET($H$3,0,0,'Données projet'!$E$16+1,1))</f>
        <v>313.26988717307376</v>
      </c>
      <c r="FK52" s="59">
        <f t="shared" si="48"/>
        <v>248.17359813993201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1.5999566837250629</v>
      </c>
      <c r="FR52" s="21">
        <f>EXP(-LN(2)/25)*FR51+(1-EXP(-LN(2)/25))/(LN(2)/25)*Calculateur!FM52*Calculateur!FO52*VLOOKUP('Données projet'!$B$16,Paramètres!$A$1:$I$89,3,0)*0.475*44/12</f>
        <v>4.4518893657978325</v>
      </c>
      <c r="FS52" s="21">
        <f>EXP(-LN(2)/2)*FS51+(1-EXP(-LN(2)/2))/(LN(2)/2)*FM52*FP52*VLOOKUP('Données projet'!$B$16,Paramètres!$A$1:$I$89,3,0)*0.475*44/12</f>
        <v>5.814704101795725E-3</v>
      </c>
      <c r="FT52" s="22">
        <f t="shared" si="24"/>
        <v>6.0576607536246909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3.8</v>
      </c>
      <c r="FZ52" s="12">
        <f>IF('Données projet'!$A$244&gt;35,FZ51+FY52-GH51,IF(A52&lt;'Données projet'!$A$244,$FW$205^A52,IF(A52='Données projet'!$A$244,'Données projet'!$B$244,FZ51+FY52-GH51)))</f>
        <v>100.19999999999993</v>
      </c>
      <c r="GA52" s="17">
        <f>FZ52*VLOOKUP('Données projet'!$B$17,Paramètres!$A$1:$I$89,3,0)*VLOOKUP('Données projet'!$B$17,Paramètres!$A$1:$I$89,5,0)</f>
        <v>107.85527999999992</v>
      </c>
      <c r="GB52" s="13">
        <f t="shared" si="49"/>
        <v>28.825094203896445</v>
      </c>
      <c r="GC52" s="20">
        <f t="shared" si="25"/>
        <v>238.05165173845288</v>
      </c>
      <c r="GD52" s="59">
        <f t="shared" si="26"/>
        <v>492.49803156274481</v>
      </c>
      <c r="GE52" s="59">
        <f ca="1">AVERAGE(OFFSET($GD$3,0,0,'Données projet'!$E$17+1,1))-AVERAGE(OFFSET($H$3,0,0,'Données projet'!$E$17+1,1))</f>
        <v>313.51355235711543</v>
      </c>
      <c r="GF52" s="59">
        <f t="shared" si="50"/>
        <v>186.0840067781198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0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0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192</v>
      </c>
      <c r="L53" s="12">
        <f>VLOOKUP(A53,'Données projet'!$A$35:$I$55,9,0)</f>
        <v>7.5</v>
      </c>
      <c r="M53" s="12">
        <f t="array" ref="M53">INDEX(L:L,MIN(IF(ISNUMBER(L53:L249),ROW(L53:L249),"")))</f>
        <v>7.5</v>
      </c>
      <c r="N53" s="13">
        <f>IF('Données projet'!$A$36&gt;35,N52+M53-V52,IF(A53&lt;'Données projet'!$A$36,$K$205^A53,IF(A53='Données projet'!$A$36,'Données projet'!$B$36,N52+M53-V52)))</f>
        <v>192.00000000000003</v>
      </c>
      <c r="O53" s="13">
        <f>N53*VLOOKUP('Données projet'!$B$9,Paramètres!$A$1:$I$89,3,0)*VLOOKUP('Données projet'!$B$9,Paramètres!$A$1:$I$89,5,0)</f>
        <v>194.68800000000005</v>
      </c>
      <c r="P53" s="13">
        <f t="shared" si="33"/>
        <v>48.57492822891502</v>
      </c>
      <c r="Q53" s="20">
        <f t="shared" si="53"/>
        <v>423.68293333202706</v>
      </c>
      <c r="R53" s="59">
        <f t="shared" si="0"/>
        <v>678.80391486149711</v>
      </c>
      <c r="S53" s="59">
        <f ca="1">AVERAGE(OFFSET($R$3,0,0,'Données projet'!$E$9+1,1))-AVERAGE(OFFSET($H$3,0,0,'Données projet'!$E$9+1,1))</f>
        <v>452.67426184967104</v>
      </c>
      <c r="T53" s="59">
        <f t="shared" si="34"/>
        <v>310.47823616327639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43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203.2051282051282</v>
      </c>
      <c r="AG53" s="12">
        <f>VLOOKUP(A53,'Données projet'!$A$61:$I$81,9,0)</f>
        <v>6.1538461538461551</v>
      </c>
      <c r="AH53" s="12">
        <f t="array" ref="AH53">INDEX(AG:AG,MIN(IF(ISNUMBER(AG53:AG249),ROW(AG53:AG249),"")))</f>
        <v>6.1538461538461551</v>
      </c>
      <c r="AI53" s="13">
        <f>IF('Données projet'!$A$62&gt;35,AI52+AH53-AQ52,IF(A53&lt;'Données projet'!$A$62,$AF$205^A53,IF(A53='Données projet'!$A$62,'Données projet'!$B$62,AI52+AH53-AQ52)))</f>
        <v>203.20512820512826</v>
      </c>
      <c r="AJ53" s="13">
        <f>AI53*VLOOKUP('Données projet'!$B$10,Paramètres!$A$1:$I$89,3,0)*VLOOKUP('Données projet'!$B$10,Paramètres!$A$1:$I$89,5,0)</f>
        <v>212.39000000000007</v>
      </c>
      <c r="AK53" s="13">
        <f t="shared" si="35"/>
        <v>52.457516346076041</v>
      </c>
      <c r="AL53" s="20">
        <f t="shared" si="4"/>
        <v>461.27609096941592</v>
      </c>
      <c r="AM53" s="59">
        <f t="shared" si="5"/>
        <v>716.39707249888602</v>
      </c>
      <c r="AN53" s="59">
        <f ca="1">AVERAGE(OFFSET($AM$3,0,0,'Données projet'!$E$10+1,1))-AVERAGE(OFFSET($H$3,0,0,'Données projet'!$E$10+1,1))</f>
        <v>528.45201982036087</v>
      </c>
      <c r="AO53" s="59">
        <f t="shared" si="36"/>
        <v>321.23004033257985</v>
      </c>
      <c r="AP53" s="15">
        <f>IF(ISNA(VLOOKUP(A53,'Données projet'!$A$61:$I$81,3,0)),0,VLOOKUP(A53,'Données projet'!$A$61:$I$81,3,0))</f>
        <v>5</v>
      </c>
      <c r="AQ53" s="15">
        <f>IF(ISNA(VLOOKUP(A53,'Données projet'!$A$61:$I$81,4,0)),0,VLOOKUP(A53,'Données projet'!$A$61:$I$81,4,0))</f>
        <v>24.358974358974358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9.6460423703858994E-5</v>
      </c>
      <c r="AX53" s="21">
        <f t="shared" si="6"/>
        <v>9.6460423703858994E-5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104</v>
      </c>
      <c r="BB53" s="12">
        <f>VLOOKUP(A53,'Données projet'!$A$87:$I$107,9,0)</f>
        <v>3.8</v>
      </c>
      <c r="BC53" s="12">
        <f t="array" ref="BC53">INDEX(BB:BB,MIN(IF(ISNUMBER(BB53:BB249),ROW(BB53:BB249),"")))</f>
        <v>3.8</v>
      </c>
      <c r="BD53" s="12">
        <f>IF('Données projet'!$A$88&gt;35,BD52+BC53-BL52,IF(A53&lt;'Données projet'!$A$88,$BA$205^A53,IF(A53='Données projet'!$A$88,'Données projet'!$B$88,BD52+BC53-BL52)))</f>
        <v>103.99999999999993</v>
      </c>
      <c r="BE53" s="13">
        <f>BD53*VLOOKUP('Données projet'!$B$11,Paramètres!$A$1:$I$89,3,0)*VLOOKUP('Données projet'!$B$11,Paramètres!$A$1:$I$89,5,0)</f>
        <v>100.58879999999995</v>
      </c>
      <c r="BF53" s="13">
        <f t="shared" si="37"/>
        <v>27.102223064855114</v>
      </c>
      <c r="BG53" s="20">
        <f t="shared" si="7"/>
        <v>222.39519850462258</v>
      </c>
      <c r="BH53" s="59">
        <f t="shared" si="8"/>
        <v>477.51618003409271</v>
      </c>
      <c r="BI53" s="59">
        <f ca="1">AVERAGE(OFFSET($BH$3,0,0,'Données projet'!$E$11+1,1))-AVERAGE(OFFSET($H$3,0,0,'Données projet'!$E$11+1,1))</f>
        <v>289.06522051625166</v>
      </c>
      <c r="BJ53" s="59">
        <f t="shared" si="38"/>
        <v>173.19148969173838</v>
      </c>
      <c r="BK53" s="15">
        <f>IF(ISNA(VLOOKUP(A53,'Données projet'!$A$87:$I$107,3,0)),0,VLOOKUP(A53,'Données projet'!$A$87:$I$107,3,0))</f>
        <v>3</v>
      </c>
      <c r="BL53" s="15">
        <f>IF(ISNA(VLOOKUP(A53,'Données projet'!$A$87:$I$107,4,0)),0,VLOOKUP(A53,'Données projet'!$A$87:$I$107,4,0))</f>
        <v>18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185</v>
      </c>
      <c r="BW53" s="12">
        <f>VLOOKUP(A53,'Données projet'!$A$113:$I$133,9,0)</f>
        <v>5.9</v>
      </c>
      <c r="BX53" s="12">
        <f t="array" ref="BX53">INDEX(BW:BW,MIN(IF(ISNUMBER(BW53:BW249),ROW(BW53:BW249),"")))</f>
        <v>5.9</v>
      </c>
      <c r="BY53" s="12">
        <f>IF('Données projet'!$A$114&gt;35,BY52+BX53-CG52,IF(A53&lt;'Données projet'!$A$114,$BV$205^A53,IF(A53='Données projet'!$A$114,'Données projet'!$B$114,BY52+BX53-CG52)))</f>
        <v>185.00000000000017</v>
      </c>
      <c r="BZ53" s="13">
        <f>BY53*VLOOKUP('Données projet'!$B$12,Paramètres!$A$1:$I$89,3,0)*VLOOKUP('Données projet'!$B$12,Paramètres!$A$1:$I$89,5,0)</f>
        <v>150.07200000000014</v>
      </c>
      <c r="CA53" s="13">
        <f t="shared" si="39"/>
        <v>38.594947422201493</v>
      </c>
      <c r="CB53" s="20">
        <f t="shared" si="10"/>
        <v>328.59493342700119</v>
      </c>
      <c r="CC53" s="59">
        <f t="shared" si="11"/>
        <v>583.71591495647135</v>
      </c>
      <c r="CD53" s="59">
        <f ca="1">AVERAGE(OFFSET($CC$3,0,0,'Données projet'!$E$12+1,1))-AVERAGE(OFFSET($H$3,0,0,'Données projet'!$E$12+1,1))</f>
        <v>306.06916761900357</v>
      </c>
      <c r="CE53" s="59">
        <f t="shared" si="40"/>
        <v>258.90832875500337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28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1.7518364710873981E-4</v>
      </c>
      <c r="CN53" s="22">
        <f t="shared" si="12"/>
        <v>1.7518364710873981E-4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192</v>
      </c>
      <c r="CR53" s="12">
        <f>VLOOKUP(A53,'Données projet'!$A$139:$I$159,9,0)</f>
        <v>7.5</v>
      </c>
      <c r="CS53" s="12">
        <f t="array" ref="CS53">INDEX(CR:CR,MIN(IF(ISNUMBER(CR53:CR249),ROW(CR53:CR249),"")))</f>
        <v>7.5</v>
      </c>
      <c r="CT53" s="12">
        <f>IF('Données projet'!$A$140&gt;35,CT52+CS53-DB52,IF(A53&lt;'Données projet'!$A$140,$CQ$205^A53,IF(A53='Données projet'!$A$140,'Données projet'!$B$140,CT52+CS53-DB52)))</f>
        <v>192.00000000000003</v>
      </c>
      <c r="CU53" s="17">
        <f>CT53*VLOOKUP('Données projet'!$B$13,Paramètres!$A$1:$I$89,3,0)*VLOOKUP('Données projet'!$B$13,Paramètres!$A$1:$I$89,5,0)</f>
        <v>128.79360000000003</v>
      </c>
      <c r="CV53" s="13">
        <f t="shared" si="41"/>
        <v>33.717444631501564</v>
      </c>
      <c r="CW53" s="20">
        <f t="shared" si="13"/>
        <v>283.04006939986527</v>
      </c>
      <c r="CX53" s="59">
        <f t="shared" si="14"/>
        <v>538.16105092933537</v>
      </c>
      <c r="CY53" s="59">
        <f ca="1">AVERAGE(OFFSET($CX$3,0,0,'Données projet'!$E$13+1,1))-AVERAGE(OFFSET($H$3,0,0,'Données projet'!$E$13+1,1))</f>
        <v>324.58754156328285</v>
      </c>
      <c r="CZ53" s="59">
        <f t="shared" si="42"/>
        <v>226.01037731977604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43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1.0623316036209474E-4</v>
      </c>
      <c r="DI53" s="22">
        <f t="shared" si="15"/>
        <v>1.0623316036209474E-4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14.668131868131875</v>
      </c>
      <c r="DO53" s="12">
        <f>IF('Données projet'!$A$166&gt;35,DO52+DN53-DW52,IF(A53&lt;'Données projet'!$A$166,$DL$205^A53,IF(A53='Données projet'!$A$166,'Données projet'!$B$166,DO52+DN53-DW52)))</f>
        <v>260.04505494505497</v>
      </c>
      <c r="DP53" s="17">
        <f>DO53*VLOOKUP('Données projet'!$B$14,Paramètres!$A$1:$I$89,3,0)*VLOOKUP('Données projet'!$B$14,Paramètres!$A$1:$I$89,5,0)</f>
        <v>121.70108571428571</v>
      </c>
      <c r="DQ53" s="13">
        <f t="shared" si="43"/>
        <v>32.071423986344442</v>
      </c>
      <c r="DR53" s="20">
        <f t="shared" si="16"/>
        <v>267.82045439526422</v>
      </c>
      <c r="DS53" s="59">
        <f t="shared" si="17"/>
        <v>522.94143592473438</v>
      </c>
      <c r="DT53" s="59">
        <f ca="1">AVERAGE(OFFSET($DS$3,0,0,'Données projet'!$E$14+1,1))-AVERAGE(OFFSET($H$3,0,0,'Données projet'!$E$14+1,1))</f>
        <v>325.93182817189722</v>
      </c>
      <c r="DU53" s="59">
        <f t="shared" si="44"/>
        <v>280.04509991782709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241</v>
      </c>
      <c r="EH53" s="12">
        <f>VLOOKUP(A53,'Données projet'!$A$191:$I$211,9,0)</f>
        <v>7.7</v>
      </c>
      <c r="EI53" s="12">
        <f t="array" ref="EI53">INDEX(EH:EH,MIN(IF(ISNUMBER(EH53:EH249),ROW(EH53:EH249),"")))</f>
        <v>7.7</v>
      </c>
      <c r="EJ53" s="12">
        <f>IF('Données projet'!$A$192&gt;35,EJ52+EI53-ER52,IF(A53&lt;'Données projet'!$A$192,$EG$205^A53,IF(A53='Données projet'!$A$192,'Données projet'!$B$192,EJ52+EI53-ER52)))</f>
        <v>240.99999999999974</v>
      </c>
      <c r="EK53" s="17">
        <f>EJ53*VLOOKUP('Données projet'!$B$15,Paramètres!$A$1:$I$89,3,0)*VLOOKUP('Données projet'!$B$15,Paramètres!$A$1:$I$89,5,0)</f>
        <v>191.7395999999998</v>
      </c>
      <c r="EL53" s="13">
        <f t="shared" si="45"/>
        <v>47.924349465834901</v>
      </c>
      <c r="EM53" s="20">
        <f t="shared" si="19"/>
        <v>417.41471198632871</v>
      </c>
      <c r="EN53" s="59">
        <f t="shared" si="20"/>
        <v>672.53569351579881</v>
      </c>
      <c r="EO53" s="59">
        <f ca="1">AVERAGE(OFFSET($EN$3,0,0,'Données projet'!$E$15+1,1))-AVERAGE(OFFSET($H$3,0,0,'Données projet'!$E$15+1,1))</f>
        <v>333.52903437536651</v>
      </c>
      <c r="EP53" s="59">
        <f t="shared" si="46"/>
        <v>359.47288701414777</v>
      </c>
      <c r="EQ53" s="15">
        <f>IF(ISNA(VLOOKUP(A53,'Données projet'!$A$191:$I$211,3,0)),0,VLOOKUP(A53,'Données projet'!$A$191:$I$211,3,0))</f>
        <v>4</v>
      </c>
      <c r="ER53" s="15">
        <f>IF(ISNA(VLOOKUP(A53,'Données projet'!$A$191:$I$211,4,0)),0,VLOOKUP(A53,'Données projet'!$A$191:$I$211,4,0))</f>
        <v>39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2.1725854452621101</v>
      </c>
      <c r="EX53" s="21">
        <f>EXP(-LN(2)/2)*EX52+(1-EXP(-LN(2)/2))/(LN(2)/2)*ER53*EU53*VLOOKUP('Données projet'!$B$15,Paramètres!$A$1:$I$89,3,0)*0.475*44/12</f>
        <v>2.4626778083940143E-4</v>
      </c>
      <c r="EY53" s="22">
        <f t="shared" si="21"/>
        <v>2.1728317130429495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291.0846153846154</v>
      </c>
      <c r="FC53" s="12">
        <f>VLOOKUP(A53,'Données projet'!$A$217:$I$237,9,0)</f>
        <v>11.861538461538462</v>
      </c>
      <c r="FD53" s="12">
        <f t="array" ref="FD53">INDEX(FC:FC,MIN(IF(ISNUMBER(FC53:FC249),ROW(FC53:FC249),"")))</f>
        <v>11.861538461538462</v>
      </c>
      <c r="FE53" s="12">
        <f>IF('Données projet'!$A$218&gt;35,FE52+FD53-FM52,IF(A53&lt;'Données projet'!$A$218,$FB$205^A53,IF(A53='Données projet'!$A$218,'Données projet'!$B$218,FE52+FD53-FM52)))</f>
        <v>291.08461538461546</v>
      </c>
      <c r="FF53" s="17">
        <f>FE53*VLOOKUP('Données projet'!$B$16,Paramètres!$A$1:$I$89,3,0)*VLOOKUP('Données projet'!$B$16,Paramètres!$A$1:$I$89,5,0)</f>
        <v>174.06860000000006</v>
      </c>
      <c r="FG53" s="13">
        <f t="shared" si="47"/>
        <v>43.999996552753878</v>
      </c>
      <c r="FH53" s="20">
        <f t="shared" si="22"/>
        <v>379.80280566271313</v>
      </c>
      <c r="FI53" s="59">
        <f t="shared" si="23"/>
        <v>634.92378719218323</v>
      </c>
      <c r="FJ53" s="59">
        <f ca="1">AVERAGE(OFFSET($FI$3,0,0,'Données projet'!$E$16+1,1))-AVERAGE(OFFSET($H$3,0,0,'Données projet'!$E$16+1,1))</f>
        <v>313.26988717307376</v>
      </c>
      <c r="FK53" s="59">
        <f t="shared" si="48"/>
        <v>248.17359813993201</v>
      </c>
      <c r="FL53" s="15">
        <f>IF(ISNA(VLOOKUP(A53,'Données projet'!$A$217:$I$237,3,0)),0,VLOOKUP(A53,'Données projet'!$A$217:$I$237,3,0))</f>
        <v>5</v>
      </c>
      <c r="FM53" s="15">
        <f>IF(ISNA(VLOOKUP(A53,'Données projet'!$A$217:$I$237,4,0)),0,VLOOKUP(A53,'Données projet'!$A$217:$I$237,4,0))</f>
        <v>55.292307692307688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1.5685825090344316</v>
      </c>
      <c r="FR53" s="21">
        <f>EXP(-LN(2)/25)*FR52+(1-EXP(-LN(2)/25))/(LN(2)/25)*Calculateur!FM53*Calculateur!FO53*VLOOKUP('Données projet'!$B$16,Paramètres!$A$1:$I$89,3,0)*0.475*44/12</f>
        <v>4.3301522169754039</v>
      </c>
      <c r="FS53" s="21">
        <f>EXP(-LN(2)/2)*FS52+(1-EXP(-LN(2)/2))/(LN(2)/2)*FM53*FP53*VLOOKUP('Données projet'!$B$16,Paramètres!$A$1:$I$89,3,0)*0.475*44/12</f>
        <v>4.11161670097299E-3</v>
      </c>
      <c r="FT53" s="22">
        <f t="shared" si="24"/>
        <v>5.9028463427108084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104</v>
      </c>
      <c r="FX53" s="12">
        <f>VLOOKUP(A53,'Données projet'!$A$243:$I$263,9,0)</f>
        <v>3.8</v>
      </c>
      <c r="FY53" s="12">
        <f t="array" ref="FY53">INDEX(FX:FX,MIN(IF(ISNUMBER(FX53:FX249),ROW(FX53:FX249),"")))</f>
        <v>3.8</v>
      </c>
      <c r="FZ53" s="12">
        <f>IF('Données projet'!$A$244&gt;35,FZ52+FY53-GH52,IF(A53&lt;'Données projet'!$A$244,$FW$205^A53,IF(A53='Données projet'!$A$244,'Données projet'!$B$244,FZ52+FY53-GH52)))</f>
        <v>103.99999999999993</v>
      </c>
      <c r="GA53" s="17">
        <f>FZ53*VLOOKUP('Données projet'!$B$17,Paramètres!$A$1:$I$89,3,0)*VLOOKUP('Données projet'!$B$17,Paramètres!$A$1:$I$89,5,0)</f>
        <v>111.94559999999993</v>
      </c>
      <c r="GB53" s="13">
        <f t="shared" si="49"/>
        <v>29.788914309703735</v>
      </c>
      <c r="GC53" s="20">
        <f t="shared" si="25"/>
        <v>246.85427908940051</v>
      </c>
      <c r="GD53" s="59">
        <f t="shared" si="26"/>
        <v>501.97526061887061</v>
      </c>
      <c r="GE53" s="59">
        <f ca="1">AVERAGE(OFFSET($GD$3,0,0,'Données projet'!$E$17+1,1))-AVERAGE(OFFSET($H$3,0,0,'Données projet'!$E$17+1,1))</f>
        <v>313.51355235711543</v>
      </c>
      <c r="GF53" s="59">
        <f t="shared" si="50"/>
        <v>186.0840067781198</v>
      </c>
      <c r="GG53" s="15">
        <f>IF(ISNA(VLOOKUP(A53,'Données projet'!$A$243:$I$263,3,0)),0,VLOOKUP(A53,'Données projet'!$A$243:$I$263,3,0))</f>
        <v>3</v>
      </c>
      <c r="GH53" s="15">
        <f>IF(ISNA(VLOOKUP(A53,'Données projet'!$A$243:$I$263,4,0)),0,VLOOKUP(A53,'Données projet'!$A$243:$I$263,4,0))</f>
        <v>18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0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0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</v>
      </c>
      <c r="N54" s="13">
        <f>IF('Données projet'!$A$36&gt;35,N53+M54-V53,IF(A54&lt;'Données projet'!$A$36,$K$205^A54,IF(A54='Données projet'!$A$36,'Données projet'!$B$36,N53+M54-V53)))</f>
        <v>156.20000000000002</v>
      </c>
      <c r="O54" s="13">
        <f>N54*VLOOKUP('Données projet'!$B$9,Paramètres!$A$1:$I$89,3,0)*VLOOKUP('Données projet'!$B$9,Paramètres!$A$1:$I$89,5,0)</f>
        <v>158.38680000000002</v>
      </c>
      <c r="P54" s="13">
        <f t="shared" si="33"/>
        <v>40.478439323673413</v>
      </c>
      <c r="Q54" s="20">
        <f t="shared" si="53"/>
        <v>346.35695848873121</v>
      </c>
      <c r="R54" s="59">
        <f t="shared" si="0"/>
        <v>602.14083889197809</v>
      </c>
      <c r="S54" s="59">
        <f ca="1">AVERAGE(OFFSET($R$3,0,0,'Données projet'!$E$9+1,1))-AVERAGE(OFFSET($H$3,0,0,'Données projet'!$E$9+1,1))</f>
        <v>452.67426184967104</v>
      </c>
      <c r="T54" s="59">
        <f t="shared" si="34"/>
        <v>310.47823616327639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5.4487179487179471</v>
      </c>
      <c r="AI54" s="13">
        <f>IF('Données projet'!$A$62&gt;35,AI53+AH54-AQ53,IF(A54&lt;'Données projet'!$A$62,$AF$205^A54,IF(A54='Données projet'!$A$62,'Données projet'!$B$62,AI53+AH54-AQ53)))</f>
        <v>184.29487179487185</v>
      </c>
      <c r="AJ54" s="13">
        <f>AI54*VLOOKUP('Données projet'!$B$10,Paramètres!$A$1:$I$89,3,0)*VLOOKUP('Données projet'!$B$10,Paramètres!$A$1:$I$89,5,0)</f>
        <v>192.62500000000009</v>
      </c>
      <c r="AK54" s="13">
        <f t="shared" si="35"/>
        <v>48.119838815307965</v>
      </c>
      <c r="AL54" s="20">
        <f t="shared" si="4"/>
        <v>419.29726093666142</v>
      </c>
      <c r="AM54" s="59">
        <f t="shared" si="5"/>
        <v>675.0811413399083</v>
      </c>
      <c r="AN54" s="59">
        <f ca="1">AVERAGE(OFFSET($AM$3,0,0,'Données projet'!$E$10+1,1))-AVERAGE(OFFSET($H$3,0,0,'Données projet'!$E$10+1,1))</f>
        <v>528.45201982036087</v>
      </c>
      <c r="AO54" s="59">
        <f t="shared" si="36"/>
        <v>321.23004033257985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6.8207819717126282E-5</v>
      </c>
      <c r="AX54" s="21">
        <f t="shared" si="6"/>
        <v>6.8207819717126282E-5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3.9</v>
      </c>
      <c r="BD54" s="12">
        <f>IF('Données projet'!$A$88&gt;35,BD53+BC54-BL53,IF(A54&lt;'Données projet'!$A$88,$BA$205^A54,IF(A54='Données projet'!$A$88,'Données projet'!$B$88,BD53+BC54-BL53)))</f>
        <v>89.899999999999935</v>
      </c>
      <c r="BE54" s="13">
        <f>BD54*VLOOKUP('Données projet'!$B$11,Paramètres!$A$1:$I$89,3,0)*VLOOKUP('Données projet'!$B$11,Paramètres!$A$1:$I$89,5,0)</f>
        <v>86.95127999999994</v>
      </c>
      <c r="BF54" s="13">
        <f t="shared" si="37"/>
        <v>23.828478930374033</v>
      </c>
      <c r="BG54" s="20">
        <f t="shared" si="7"/>
        <v>192.94141347040133</v>
      </c>
      <c r="BH54" s="59">
        <f t="shared" si="8"/>
        <v>448.72529387364818</v>
      </c>
      <c r="BI54" s="59">
        <f ca="1">AVERAGE(OFFSET($BH$3,0,0,'Données projet'!$E$11+1,1))-AVERAGE(OFFSET($H$3,0,0,'Données projet'!$E$11+1,1))</f>
        <v>289.06522051625166</v>
      </c>
      <c r="BJ54" s="59">
        <f t="shared" si="38"/>
        <v>173.19148969173838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5.4</v>
      </c>
      <c r="BY54" s="12">
        <f>IF('Données projet'!$A$114&gt;35,BY53+BX54-CG53,IF(A54&lt;'Données projet'!$A$114,$BV$205^A54,IF(A54='Données projet'!$A$114,'Données projet'!$B$114,BY53+BX54-CG53)))</f>
        <v>162.40000000000018</v>
      </c>
      <c r="BZ54" s="13">
        <f>BY54*VLOOKUP('Données projet'!$B$12,Paramètres!$A$1:$I$89,3,0)*VLOOKUP('Données projet'!$B$12,Paramètres!$A$1:$I$89,5,0)</f>
        <v>131.73888000000014</v>
      </c>
      <c r="CA54" s="13">
        <f t="shared" si="39"/>
        <v>34.397852193895893</v>
      </c>
      <c r="CB54" s="20">
        <f t="shared" si="10"/>
        <v>289.35480857103556</v>
      </c>
      <c r="CC54" s="59">
        <f t="shared" si="11"/>
        <v>545.13868897428233</v>
      </c>
      <c r="CD54" s="59">
        <f ca="1">AVERAGE(OFFSET($CC$3,0,0,'Données projet'!$E$12+1,1))-AVERAGE(OFFSET($H$3,0,0,'Données projet'!$E$12+1,1))</f>
        <v>306.06916761900357</v>
      </c>
      <c r="CE54" s="59">
        <f t="shared" si="40"/>
        <v>258.90832875500337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1.2387354482358104E-4</v>
      </c>
      <c r="CN54" s="22">
        <f t="shared" si="12"/>
        <v>1.2387354482358104E-4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7.2</v>
      </c>
      <c r="CT54" s="12">
        <f>IF('Données projet'!$A$140&gt;35,CT53+CS54-DB53,IF(A54&lt;'Données projet'!$A$140,$CQ$205^A54,IF(A54='Données projet'!$A$140,'Données projet'!$B$140,CT53+CS54-DB53)))</f>
        <v>156.20000000000002</v>
      </c>
      <c r="CU54" s="17">
        <f>CT54*VLOOKUP('Données projet'!$B$13,Paramètres!$A$1:$I$89,3,0)*VLOOKUP('Données projet'!$B$13,Paramètres!$A$1:$I$89,5,0)</f>
        <v>104.77896000000003</v>
      </c>
      <c r="CV54" s="13">
        <f t="shared" si="41"/>
        <v>28.097407169263057</v>
      </c>
      <c r="CW54" s="20">
        <f t="shared" si="13"/>
        <v>231.42633948646653</v>
      </c>
      <c r="CX54" s="59">
        <f t="shared" si="14"/>
        <v>487.21021988971336</v>
      </c>
      <c r="CY54" s="59">
        <f ca="1">AVERAGE(OFFSET($CX$3,0,0,'Données projet'!$E$13+1,1))-AVERAGE(OFFSET($H$3,0,0,'Données projet'!$E$13+1,1))</f>
        <v>324.58754156328285</v>
      </c>
      <c r="CZ54" s="59">
        <f t="shared" si="42"/>
        <v>226.01037731977604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7.5118188078915135E-5</v>
      </c>
      <c r="DI54" s="22">
        <f t="shared" si="15"/>
        <v>7.5118188078915135E-5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14.668131868131875</v>
      </c>
      <c r="DO54" s="12">
        <f>IF('Données projet'!$A$166&gt;35,DO53+DN54-DW53,IF(A54&lt;'Données projet'!$A$166,$DL$205^A54,IF(A54='Données projet'!$A$166,'Données projet'!$B$166,DO53+DN54-DW53)))</f>
        <v>274.71318681318684</v>
      </c>
      <c r="DP54" s="17">
        <f>DO54*VLOOKUP('Données projet'!$B$14,Paramètres!$A$1:$I$89,3,0)*VLOOKUP('Données projet'!$B$14,Paramètres!$A$1:$I$89,5,0)</f>
        <v>128.56577142857145</v>
      </c>
      <c r="DQ54" s="13">
        <f t="shared" si="43"/>
        <v>33.664737545838108</v>
      </c>
      <c r="DR54" s="20">
        <f t="shared" si="16"/>
        <v>282.55146979709662</v>
      </c>
      <c r="DS54" s="59">
        <f t="shared" si="17"/>
        <v>538.33535020034344</v>
      </c>
      <c r="DT54" s="59">
        <f ca="1">AVERAGE(OFFSET($DS$3,0,0,'Données projet'!$E$14+1,1))-AVERAGE(OFFSET($H$3,0,0,'Données projet'!$E$14+1,1))</f>
        <v>325.93182817189722</v>
      </c>
      <c r="DU54" s="59">
        <f t="shared" si="44"/>
        <v>280.04509991782709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5.6</v>
      </c>
      <c r="EJ54" s="12">
        <f>IF('Données projet'!$A$192&gt;35,EJ53+EI54-ER53,IF(A54&lt;'Données projet'!$A$192,$EG$205^A54,IF(A54='Données projet'!$A$192,'Données projet'!$B$192,EJ53+EI54-ER53)))</f>
        <v>207.59999999999974</v>
      </c>
      <c r="EK54" s="17">
        <f>EJ54*VLOOKUP('Données projet'!$B$15,Paramètres!$A$1:$I$89,3,0)*VLOOKUP('Données projet'!$B$15,Paramètres!$A$1:$I$89,5,0)</f>
        <v>165.16655999999981</v>
      </c>
      <c r="EL54" s="13">
        <f t="shared" si="45"/>
        <v>42.005683261714502</v>
      </c>
      <c r="EM54" s="20">
        <f t="shared" si="19"/>
        <v>360.82499034748571</v>
      </c>
      <c r="EN54" s="59">
        <f t="shared" si="20"/>
        <v>616.60887075073254</v>
      </c>
      <c r="EO54" s="59">
        <f ca="1">AVERAGE(OFFSET($EN$3,0,0,'Données projet'!$E$15+1,1))-AVERAGE(OFFSET($H$3,0,0,'Données projet'!$E$15+1,1))</f>
        <v>333.52903437536651</v>
      </c>
      <c r="EP54" s="59">
        <f t="shared" si="46"/>
        <v>359.47288701414777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2.1131759820101146</v>
      </c>
      <c r="EX54" s="21">
        <f>EXP(-LN(2)/2)*EX53+(1-EXP(-LN(2)/2))/(LN(2)/2)*ER54*EU54*VLOOKUP('Données projet'!$B$15,Paramètres!$A$1:$I$89,3,0)*0.475*44/12</f>
        <v>1.7413761781930327E-4</v>
      </c>
      <c r="EY54" s="22">
        <f t="shared" si="21"/>
        <v>2.1133501196279338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10.66307692307692</v>
      </c>
      <c r="FE54" s="12">
        <f>IF('Données projet'!$A$218&gt;35,FE53+FD54-FM53,IF(A54&lt;'Données projet'!$A$218,$FB$205^A54,IF(A54='Données projet'!$A$218,'Données projet'!$B$218,FE53+FD54-FM53)))</f>
        <v>246.45538461538467</v>
      </c>
      <c r="FF54" s="17">
        <f>FE54*VLOOKUP('Données projet'!$B$16,Paramètres!$A$1:$I$89,3,0)*VLOOKUP('Données projet'!$B$16,Paramètres!$A$1:$I$89,5,0)</f>
        <v>147.38032000000004</v>
      </c>
      <c r="FG54" s="13">
        <f t="shared" si="47"/>
        <v>37.982644854557613</v>
      </c>
      <c r="FH54" s="20">
        <f t="shared" si="22"/>
        <v>322.84049712168786</v>
      </c>
      <c r="FI54" s="59">
        <f t="shared" si="23"/>
        <v>578.62437752493474</v>
      </c>
      <c r="FJ54" s="59">
        <f ca="1">AVERAGE(OFFSET($FI$3,0,0,'Données projet'!$E$16+1,1))-AVERAGE(OFFSET($H$3,0,0,'Données projet'!$E$16+1,1))</f>
        <v>313.26988717307376</v>
      </c>
      <c r="FK54" s="59">
        <f t="shared" si="48"/>
        <v>248.17359813993201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1.5378235627731267</v>
      </c>
      <c r="FR54" s="21">
        <f>EXP(-LN(2)/25)*FR53+(1-EXP(-LN(2)/25))/(LN(2)/25)*Calculateur!FM54*Calculateur!FO54*VLOOKUP('Données projet'!$B$16,Paramètres!$A$1:$I$89,3,0)*0.475*44/12</f>
        <v>4.2117439768894034</v>
      </c>
      <c r="FS54" s="21">
        <f>EXP(-LN(2)/2)*FS53+(1-EXP(-LN(2)/2))/(LN(2)/2)*FM54*FP54*VLOOKUP('Données projet'!$B$16,Paramètres!$A$1:$I$89,3,0)*0.475*44/12</f>
        <v>2.9073520508978625E-3</v>
      </c>
      <c r="FT54" s="22">
        <f t="shared" si="24"/>
        <v>5.7524748917134287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3.9</v>
      </c>
      <c r="FZ54" s="12">
        <f>IF('Données projet'!$A$244&gt;35,FZ53+FY54-GH53,IF(A54&lt;'Données projet'!$A$244,$FW$205^A54,IF(A54='Données projet'!$A$244,'Données projet'!$B$244,FZ53+FY54-GH53)))</f>
        <v>89.899999999999935</v>
      </c>
      <c r="GA54" s="17">
        <f>FZ54*VLOOKUP('Données projet'!$B$17,Paramètres!$A$1:$I$89,3,0)*VLOOKUP('Données projet'!$B$17,Paramètres!$A$1:$I$89,5,0)</f>
        <v>96.76835999999993</v>
      </c>
      <c r="GB54" s="13">
        <f t="shared" si="49"/>
        <v>26.1906381365431</v>
      </c>
      <c r="GC54" s="20">
        <f t="shared" si="25"/>
        <v>214.15358842114577</v>
      </c>
      <c r="GD54" s="59">
        <f t="shared" si="26"/>
        <v>469.93746882439257</v>
      </c>
      <c r="GE54" s="59">
        <f ca="1">AVERAGE(OFFSET($GD$3,0,0,'Données projet'!$E$17+1,1))-AVERAGE(OFFSET($H$3,0,0,'Données projet'!$E$17+1,1))</f>
        <v>313.51355235711543</v>
      </c>
      <c r="GF54" s="59">
        <f t="shared" si="50"/>
        <v>186.0840067781198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0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0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</v>
      </c>
      <c r="N55" s="13">
        <f>IF('Données projet'!$A$36&gt;35,N54+M55-V54,IF(A55&lt;'Données projet'!$A$36,$K$205^A55,IF(A55='Données projet'!$A$36,'Données projet'!$B$36,N54+M55-V54)))</f>
        <v>163.4</v>
      </c>
      <c r="O55" s="13">
        <f>N55*VLOOKUP('Données projet'!$B$9,Paramètres!$A$1:$I$89,3,0)*VLOOKUP('Données projet'!$B$9,Paramètres!$A$1:$I$89,5,0)</f>
        <v>165.68760000000003</v>
      </c>
      <c r="P55" s="13">
        <f t="shared" si="33"/>
        <v>42.122749874294207</v>
      </c>
      <c r="Q55" s="20">
        <f t="shared" si="53"/>
        <v>361.93635936439574</v>
      </c>
      <c r="R55" s="59">
        <f t="shared" si="0"/>
        <v>618.37163882797904</v>
      </c>
      <c r="S55" s="59">
        <f ca="1">AVERAGE(OFFSET($R$3,0,0,'Données projet'!$E$9+1,1))-AVERAGE(OFFSET($H$3,0,0,'Données projet'!$E$9+1,1))</f>
        <v>452.67426184967104</v>
      </c>
      <c r="T55" s="59">
        <f t="shared" si="34"/>
        <v>310.47823616327639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5.4487179487179471</v>
      </c>
      <c r="AI55" s="13">
        <f>IF('Données projet'!$A$62&gt;35,AI54+AH55-AQ54,IF(A55&lt;'Données projet'!$A$62,$AF$205^A55,IF(A55='Données projet'!$A$62,'Données projet'!$B$62,AI54+AH55-AQ54)))</f>
        <v>189.74358974358981</v>
      </c>
      <c r="AJ55" s="13">
        <f>AI55*VLOOKUP('Données projet'!$B$10,Paramètres!$A$1:$I$89,3,0)*VLOOKUP('Données projet'!$B$10,Paramètres!$A$1:$I$89,5,0)</f>
        <v>198.32000000000008</v>
      </c>
      <c r="AK55" s="13">
        <f t="shared" si="35"/>
        <v>49.374773506247315</v>
      </c>
      <c r="AL55" s="20">
        <f t="shared" si="4"/>
        <v>431.40173052338088</v>
      </c>
      <c r="AM55" s="59">
        <f t="shared" si="5"/>
        <v>687.83700998696418</v>
      </c>
      <c r="AN55" s="59">
        <f ca="1">AVERAGE(OFFSET($AM$3,0,0,'Données projet'!$E$10+1,1))-AVERAGE(OFFSET($H$3,0,0,'Données projet'!$E$10+1,1))</f>
        <v>528.45201982036087</v>
      </c>
      <c r="AO55" s="59">
        <f t="shared" si="36"/>
        <v>321.23004033257985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4.8230211851929497E-5</v>
      </c>
      <c r="AX55" s="21">
        <f t="shared" si="6"/>
        <v>4.8230211851929497E-5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3.9</v>
      </c>
      <c r="BD55" s="12">
        <f>IF('Données projet'!$A$88&gt;35,BD54+BC55-BL54,IF(A55&lt;'Données projet'!$A$88,$BA$205^A55,IF(A55='Données projet'!$A$88,'Données projet'!$B$88,BD54+BC55-BL54)))</f>
        <v>93.79999999999994</v>
      </c>
      <c r="BE55" s="13">
        <f>BD55*VLOOKUP('Données projet'!$B$11,Paramètres!$A$1:$I$89,3,0)*VLOOKUP('Données projet'!$B$11,Paramètres!$A$1:$I$89,5,0)</f>
        <v>90.723359999999943</v>
      </c>
      <c r="BF55" s="13">
        <f t="shared" si="37"/>
        <v>24.73960064424023</v>
      </c>
      <c r="BG55" s="20">
        <f t="shared" si="7"/>
        <v>201.09798978871825</v>
      </c>
      <c r="BH55" s="59">
        <f t="shared" si="8"/>
        <v>457.53326925230158</v>
      </c>
      <c r="BI55" s="59">
        <f ca="1">AVERAGE(OFFSET($BH$3,0,0,'Données projet'!$E$11+1,1))-AVERAGE(OFFSET($H$3,0,0,'Données projet'!$E$11+1,1))</f>
        <v>289.06522051625166</v>
      </c>
      <c r="BJ55" s="59">
        <f t="shared" si="38"/>
        <v>173.19148969173838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5.4</v>
      </c>
      <c r="BY55" s="12">
        <f>IF('Données projet'!$A$114&gt;35,BY54+BX55-CG54,IF(A55&lt;'Données projet'!$A$114,$BV$205^A55,IF(A55='Données projet'!$A$114,'Données projet'!$B$114,BY54+BX55-CG54)))</f>
        <v>167.80000000000018</v>
      </c>
      <c r="BZ55" s="13">
        <f>BY55*VLOOKUP('Données projet'!$B$12,Paramètres!$A$1:$I$89,3,0)*VLOOKUP('Données projet'!$B$12,Paramètres!$A$1:$I$89,5,0)</f>
        <v>136.11936000000017</v>
      </c>
      <c r="CA55" s="13">
        <f t="shared" si="39"/>
        <v>35.406556182020907</v>
      </c>
      <c r="CB55" s="20">
        <f t="shared" si="10"/>
        <v>298.74097068368673</v>
      </c>
      <c r="CC55" s="59">
        <f t="shared" si="11"/>
        <v>555.17625014727014</v>
      </c>
      <c r="CD55" s="59">
        <f ca="1">AVERAGE(OFFSET($CC$3,0,0,'Données projet'!$E$12+1,1))-AVERAGE(OFFSET($H$3,0,0,'Données projet'!$E$12+1,1))</f>
        <v>306.06916761900357</v>
      </c>
      <c r="CE55" s="59">
        <f t="shared" si="40"/>
        <v>258.90832875500337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8.7591823554369905E-5</v>
      </c>
      <c r="CN55" s="22">
        <f t="shared" si="12"/>
        <v>8.7591823554369905E-5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7.2</v>
      </c>
      <c r="CT55" s="12">
        <f>IF('Données projet'!$A$140&gt;35,CT54+CS55-DB54,IF(A55&lt;'Données projet'!$A$140,$CQ$205^A55,IF(A55='Données projet'!$A$140,'Données projet'!$B$140,CT54+CS55-DB54)))</f>
        <v>163.4</v>
      </c>
      <c r="CU55" s="17">
        <f>CT55*VLOOKUP('Données projet'!$B$13,Paramètres!$A$1:$I$89,3,0)*VLOOKUP('Données projet'!$B$13,Paramètres!$A$1:$I$89,5,0)</f>
        <v>109.60872000000001</v>
      </c>
      <c r="CV55" s="13">
        <f t="shared" si="41"/>
        <v>29.238776842240696</v>
      </c>
      <c r="CW55" s="20">
        <f t="shared" si="13"/>
        <v>241.82605700023589</v>
      </c>
      <c r="CX55" s="59">
        <f t="shared" si="14"/>
        <v>498.26133646381925</v>
      </c>
      <c r="CY55" s="59">
        <f ca="1">AVERAGE(OFFSET($CX$3,0,0,'Données projet'!$E$13+1,1))-AVERAGE(OFFSET($H$3,0,0,'Données projet'!$E$13+1,1))</f>
        <v>324.58754156328285</v>
      </c>
      <c r="CZ55" s="59">
        <f t="shared" si="42"/>
        <v>226.01037731977604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5.3116580181047368E-5</v>
      </c>
      <c r="DI55" s="22">
        <f t="shared" si="15"/>
        <v>5.3116580181047368E-5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14.668131868131875</v>
      </c>
      <c r="DO55" s="12">
        <f>IF('Données projet'!$A$166&gt;35,DO54+DN55-DW54,IF(A55&lt;'Données projet'!$A$166,$DL$205^A55,IF(A55='Données projet'!$A$166,'Données projet'!$B$166,DO54+DN55-DW54)))</f>
        <v>289.3813186813187</v>
      </c>
      <c r="DP55" s="17">
        <f>DO55*VLOOKUP('Données projet'!$B$14,Paramètres!$A$1:$I$89,3,0)*VLOOKUP('Données projet'!$B$14,Paramètres!$A$1:$I$89,5,0)</f>
        <v>135.43045714285716</v>
      </c>
      <c r="DQ55" s="13">
        <f t="shared" si="43"/>
        <v>35.248174253598229</v>
      </c>
      <c r="DR55" s="20">
        <f t="shared" si="16"/>
        <v>297.26528301549314</v>
      </c>
      <c r="DS55" s="59">
        <f t="shared" si="17"/>
        <v>553.70056247907655</v>
      </c>
      <c r="DT55" s="59">
        <f ca="1">AVERAGE(OFFSET($DS$3,0,0,'Données projet'!$E$14+1,1))-AVERAGE(OFFSET($H$3,0,0,'Données projet'!$E$14+1,1))</f>
        <v>325.93182817189722</v>
      </c>
      <c r="DU55" s="59">
        <f t="shared" si="44"/>
        <v>280.04509991782709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5.6</v>
      </c>
      <c r="EJ55" s="12">
        <f>IF('Données projet'!$A$192&gt;35,EJ54+EI55-ER54,IF(A55&lt;'Données projet'!$A$192,$EG$205^A55,IF(A55='Données projet'!$A$192,'Données projet'!$B$192,EJ54+EI55-ER54)))</f>
        <v>213.19999999999973</v>
      </c>
      <c r="EK55" s="17">
        <f>EJ55*VLOOKUP('Données projet'!$B$15,Paramètres!$A$1:$I$89,3,0)*VLOOKUP('Données projet'!$B$15,Paramètres!$A$1:$I$89,5,0)</f>
        <v>169.62191999999982</v>
      </c>
      <c r="EL55" s="13">
        <f t="shared" si="45"/>
        <v>43.005335272941906</v>
      </c>
      <c r="EM55" s="20">
        <f t="shared" si="19"/>
        <v>370.32580293370683</v>
      </c>
      <c r="EN55" s="59">
        <f t="shared" si="20"/>
        <v>626.76108239729024</v>
      </c>
      <c r="EO55" s="59">
        <f ca="1">AVERAGE(OFFSET($EN$3,0,0,'Données projet'!$E$15+1,1))-AVERAGE(OFFSET($H$3,0,0,'Données projet'!$E$15+1,1))</f>
        <v>333.52903437536651</v>
      </c>
      <c r="EP55" s="59">
        <f t="shared" si="46"/>
        <v>359.47288701414777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2.055391073654953</v>
      </c>
      <c r="EX55" s="21">
        <f>EXP(-LN(2)/2)*EX54+(1-EXP(-LN(2)/2))/(LN(2)/2)*ER55*EU55*VLOOKUP('Données projet'!$B$15,Paramètres!$A$1:$I$89,3,0)*0.475*44/12</f>
        <v>1.2313389041970072E-4</v>
      </c>
      <c r="EY55" s="22">
        <f t="shared" si="21"/>
        <v>2.0555142075453725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10.66307692307692</v>
      </c>
      <c r="FE55" s="12">
        <f>IF('Données projet'!$A$218&gt;35,FE54+FD55-FM54,IF(A55&lt;'Données projet'!$A$218,$FB$205^A55,IF(A55='Données projet'!$A$218,'Données projet'!$B$218,FE54+FD55-FM54)))</f>
        <v>257.11846153846159</v>
      </c>
      <c r="FF55" s="17">
        <f>FE55*VLOOKUP('Données projet'!$B$16,Paramètres!$A$1:$I$89,3,0)*VLOOKUP('Données projet'!$B$16,Paramètres!$A$1:$I$89,5,0)</f>
        <v>153.75684000000004</v>
      </c>
      <c r="FG55" s="13">
        <f t="shared" si="47"/>
        <v>39.431107959482766</v>
      </c>
      <c r="FH55" s="20">
        <f t="shared" si="22"/>
        <v>336.46900936276592</v>
      </c>
      <c r="FI55" s="59">
        <f t="shared" si="23"/>
        <v>592.90428882634933</v>
      </c>
      <c r="FJ55" s="59">
        <f ca="1">AVERAGE(OFFSET($FI$3,0,0,'Données projet'!$E$16+1,1))-AVERAGE(OFFSET($H$3,0,0,'Données projet'!$E$16+1,1))</f>
        <v>313.26988717307376</v>
      </c>
      <c r="FK55" s="59">
        <f t="shared" si="48"/>
        <v>248.17359813993201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1.5076677806869012</v>
      </c>
      <c r="FR55" s="21">
        <f>EXP(-LN(2)/25)*FR54+(1-EXP(-LN(2)/25))/(LN(2)/25)*Calculateur!FM55*Calculateur!FO55*VLOOKUP('Données projet'!$B$16,Paramètres!$A$1:$I$89,3,0)*0.475*44/12</f>
        <v>4.0965736163553732</v>
      </c>
      <c r="FS55" s="21">
        <f>EXP(-LN(2)/2)*FS54+(1-EXP(-LN(2)/2))/(LN(2)/2)*FM55*FP55*VLOOKUP('Données projet'!$B$16,Paramètres!$A$1:$I$89,3,0)*0.475*44/12</f>
        <v>2.055808350486495E-3</v>
      </c>
      <c r="FT55" s="22">
        <f t="shared" si="24"/>
        <v>5.6062972053927611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3.9</v>
      </c>
      <c r="FZ55" s="12">
        <f>IF('Données projet'!$A$244&gt;35,FZ54+FY55-GH54,IF(A55&lt;'Données projet'!$A$244,$FW$205^A55,IF(A55='Données projet'!$A$244,'Données projet'!$B$244,FZ54+FY55-GH54)))</f>
        <v>93.79999999999994</v>
      </c>
      <c r="GA55" s="17">
        <f>FZ55*VLOOKUP('Données projet'!$B$17,Paramètres!$A$1:$I$89,3,0)*VLOOKUP('Données projet'!$B$17,Paramètres!$A$1:$I$89,5,0)</f>
        <v>100.96631999999993</v>
      </c>
      <c r="GB55" s="13">
        <f t="shared" si="49"/>
        <v>27.192080955278737</v>
      </c>
      <c r="GC55" s="20">
        <f t="shared" si="25"/>
        <v>223.20921499711031</v>
      </c>
      <c r="GD55" s="59">
        <f t="shared" si="26"/>
        <v>479.64449446069364</v>
      </c>
      <c r="GE55" s="59">
        <f ca="1">AVERAGE(OFFSET($GD$3,0,0,'Données projet'!$E$17+1,1))-AVERAGE(OFFSET($H$3,0,0,'Données projet'!$E$17+1,1))</f>
        <v>313.51355235711543</v>
      </c>
      <c r="GF55" s="59">
        <f t="shared" si="50"/>
        <v>186.0840067781198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0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0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</v>
      </c>
      <c r="N56" s="13">
        <f>IF('Données projet'!$A$36&gt;35,N55+M56-V55,IF(A56&lt;'Données projet'!$A$36,$K$205^A56,IF(A56='Données projet'!$A$36,'Données projet'!$B$36,N55+M56-V55)))</f>
        <v>170.6</v>
      </c>
      <c r="O56" s="13">
        <f>N56*VLOOKUP('Données projet'!$B$9,Paramètres!$A$1:$I$89,3,0)*VLOOKUP('Données projet'!$B$9,Paramètres!$A$1:$I$89,5,0)</f>
        <v>172.98840000000001</v>
      </c>
      <c r="P56" s="13">
        <f t="shared" si="33"/>
        <v>43.758645457754049</v>
      </c>
      <c r="Q56" s="20">
        <f t="shared" si="53"/>
        <v>377.501104172255</v>
      </c>
      <c r="R56" s="59">
        <f t="shared" si="0"/>
        <v>634.57648237878823</v>
      </c>
      <c r="S56" s="59">
        <f ca="1">AVERAGE(OFFSET($R$3,0,0,'Données projet'!$E$9+1,1))-AVERAGE(OFFSET($H$3,0,0,'Données projet'!$E$9+1,1))</f>
        <v>452.67426184967104</v>
      </c>
      <c r="T56" s="59">
        <f t="shared" si="34"/>
        <v>310.47823616327639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5.4487179487179471</v>
      </c>
      <c r="AI56" s="13">
        <f>IF('Données projet'!$A$62&gt;35,AI55+AH56-AQ55,IF(A56&lt;'Données projet'!$A$62,$AF$205^A56,IF(A56='Données projet'!$A$62,'Données projet'!$B$62,AI55+AH56-AQ55)))</f>
        <v>195.19230769230776</v>
      </c>
      <c r="AJ56" s="13">
        <f>AI56*VLOOKUP('Données projet'!$B$10,Paramètres!$A$1:$I$89,3,0)*VLOOKUP('Données projet'!$B$10,Paramètres!$A$1:$I$89,5,0)</f>
        <v>204.0150000000001</v>
      </c>
      <c r="AK56" s="13">
        <f t="shared" si="35"/>
        <v>50.625519887691787</v>
      </c>
      <c r="AL56" s="20">
        <f t="shared" si="4"/>
        <v>443.49890547106338</v>
      </c>
      <c r="AM56" s="59">
        <f t="shared" si="5"/>
        <v>700.57428367759667</v>
      </c>
      <c r="AN56" s="59">
        <f ca="1">AVERAGE(OFFSET($AM$3,0,0,'Données projet'!$E$10+1,1))-AVERAGE(OFFSET($H$3,0,0,'Données projet'!$E$10+1,1))</f>
        <v>528.45201982036087</v>
      </c>
      <c r="AO56" s="59">
        <f t="shared" si="36"/>
        <v>321.23004033257985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3.4103909858563141E-5</v>
      </c>
      <c r="AX56" s="21">
        <f t="shared" si="6"/>
        <v>3.4103909858563141E-5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3.9</v>
      </c>
      <c r="BD56" s="12">
        <f>IF('Données projet'!$A$88&gt;35,BD55+BC56-BL55,IF(A56&lt;'Données projet'!$A$88,$BA$205^A56,IF(A56='Données projet'!$A$88,'Données projet'!$B$88,BD55+BC56-BL55)))</f>
        <v>97.699999999999946</v>
      </c>
      <c r="BE56" s="13">
        <f>BD56*VLOOKUP('Données projet'!$B$11,Paramètres!$A$1:$I$89,3,0)*VLOOKUP('Données projet'!$B$11,Paramètres!$A$1:$I$89,5,0)</f>
        <v>94.495439999999945</v>
      </c>
      <c r="BF56" s="13">
        <f t="shared" si="37"/>
        <v>25.646322154045109</v>
      </c>
      <c r="BG56" s="20">
        <f t="shared" si="7"/>
        <v>209.24690241829512</v>
      </c>
      <c r="BH56" s="59">
        <f t="shared" si="8"/>
        <v>466.32228062482835</v>
      </c>
      <c r="BI56" s="59">
        <f ca="1">AVERAGE(OFFSET($BH$3,0,0,'Données projet'!$E$11+1,1))-AVERAGE(OFFSET($H$3,0,0,'Données projet'!$E$11+1,1))</f>
        <v>289.06522051625166</v>
      </c>
      <c r="BJ56" s="59">
        <f t="shared" si="38"/>
        <v>173.19148969173838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5.4</v>
      </c>
      <c r="BY56" s="12">
        <f>IF('Données projet'!$A$114&gt;35,BY55+BX56-CG55,IF(A56&lt;'Données projet'!$A$114,$BV$205^A56,IF(A56='Données projet'!$A$114,'Données projet'!$B$114,BY55+BX56-CG55)))</f>
        <v>173.20000000000019</v>
      </c>
      <c r="BZ56" s="13">
        <f>BY56*VLOOKUP('Données projet'!$B$12,Paramètres!$A$1:$I$89,3,0)*VLOOKUP('Données projet'!$B$12,Paramètres!$A$1:$I$89,5,0)</f>
        <v>140.49984000000018</v>
      </c>
      <c r="CA56" s="13">
        <f t="shared" si="39"/>
        <v>36.411488058235619</v>
      </c>
      <c r="CB56" s="20">
        <f t="shared" si="10"/>
        <v>308.12056303476066</v>
      </c>
      <c r="CC56" s="59">
        <f t="shared" si="11"/>
        <v>565.19594124129389</v>
      </c>
      <c r="CD56" s="59">
        <f ca="1">AVERAGE(OFFSET($CC$3,0,0,'Données projet'!$E$12+1,1))-AVERAGE(OFFSET($H$3,0,0,'Données projet'!$E$12+1,1))</f>
        <v>306.06916761900357</v>
      </c>
      <c r="CE56" s="59">
        <f t="shared" si="40"/>
        <v>258.90832875500337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6.1936772411790519E-5</v>
      </c>
      <c r="CN56" s="22">
        <f t="shared" si="12"/>
        <v>6.1936772411790519E-5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7.2</v>
      </c>
      <c r="CT56" s="12">
        <f>IF('Données projet'!$A$140&gt;35,CT55+CS56-DB55,IF(A56&lt;'Données projet'!$A$140,$CQ$205^A56,IF(A56='Données projet'!$A$140,'Données projet'!$B$140,CT55+CS56-DB55)))</f>
        <v>170.6</v>
      </c>
      <c r="CU56" s="17">
        <f>CT56*VLOOKUP('Données projet'!$B$13,Paramètres!$A$1:$I$89,3,0)*VLOOKUP('Données projet'!$B$13,Paramètres!$A$1:$I$89,5,0)</f>
        <v>114.43847999999998</v>
      </c>
      <c r="CV56" s="13">
        <f t="shared" si="41"/>
        <v>30.374305411594122</v>
      </c>
      <c r="CW56" s="20">
        <f t="shared" si="13"/>
        <v>252.21560125852639</v>
      </c>
      <c r="CX56" s="59">
        <f t="shared" si="14"/>
        <v>509.29097946505965</v>
      </c>
      <c r="CY56" s="59">
        <f ca="1">AVERAGE(OFFSET($CX$3,0,0,'Données projet'!$E$13+1,1))-AVERAGE(OFFSET($H$3,0,0,'Données projet'!$E$13+1,1))</f>
        <v>324.58754156328285</v>
      </c>
      <c r="CZ56" s="59">
        <f t="shared" si="42"/>
        <v>226.01037731977604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3.7559094039457567E-5</v>
      </c>
      <c r="DI56" s="22">
        <f t="shared" si="15"/>
        <v>3.7559094039457567E-5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14.668131868131875</v>
      </c>
      <c r="DO56" s="12">
        <f>IF('Données projet'!$A$166&gt;35,DO55+DN56-DW55,IF(A56&lt;'Données projet'!$A$166,$DL$205^A56,IF(A56='Données projet'!$A$166,'Données projet'!$B$166,DO55+DN56-DW55)))</f>
        <v>304.04945054945057</v>
      </c>
      <c r="DP56" s="17">
        <f>DO56*VLOOKUP('Données projet'!$B$14,Paramètres!$A$1:$I$89,3,0)*VLOOKUP('Données projet'!$B$14,Paramètres!$A$1:$I$89,5,0)</f>
        <v>142.29514285714285</v>
      </c>
      <c r="DQ56" s="13">
        <f t="shared" si="43"/>
        <v>36.822291864436032</v>
      </c>
      <c r="DR56" s="20">
        <f t="shared" si="16"/>
        <v>311.96286547341651</v>
      </c>
      <c r="DS56" s="59">
        <f t="shared" si="17"/>
        <v>569.0382436799498</v>
      </c>
      <c r="DT56" s="59">
        <f ca="1">AVERAGE(OFFSET($DS$3,0,0,'Données projet'!$E$14+1,1))-AVERAGE(OFFSET($H$3,0,0,'Données projet'!$E$14+1,1))</f>
        <v>325.93182817189722</v>
      </c>
      <c r="DU56" s="59">
        <f t="shared" si="44"/>
        <v>280.04509991782709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5.6</v>
      </c>
      <c r="EJ56" s="12">
        <f>IF('Données projet'!$A$192&gt;35,EJ55+EI56-ER55,IF(A56&lt;'Données projet'!$A$192,$EG$205^A56,IF(A56='Données projet'!$A$192,'Données projet'!$B$192,EJ55+EI56-ER55)))</f>
        <v>218.79999999999973</v>
      </c>
      <c r="EK56" s="17">
        <f>EJ56*VLOOKUP('Données projet'!$B$15,Paramètres!$A$1:$I$89,3,0)*VLOOKUP('Données projet'!$B$15,Paramètres!$A$1:$I$89,5,0)</f>
        <v>174.0772799999998</v>
      </c>
      <c r="EL56" s="13">
        <f t="shared" si="45"/>
        <v>44.001935233861104</v>
      </c>
      <c r="EM56" s="20">
        <f t="shared" si="19"/>
        <v>379.82129986564109</v>
      </c>
      <c r="EN56" s="59">
        <f t="shared" si="20"/>
        <v>636.89667807217438</v>
      </c>
      <c r="EO56" s="59">
        <f ca="1">AVERAGE(OFFSET($EN$3,0,0,'Données projet'!$E$15+1,1))-AVERAGE(OFFSET($H$3,0,0,'Données projet'!$E$15+1,1))</f>
        <v>333.52903437536651</v>
      </c>
      <c r="EP56" s="59">
        <f t="shared" si="46"/>
        <v>359.47288701414777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1.9991862966575393</v>
      </c>
      <c r="EX56" s="21">
        <f>EXP(-LN(2)/2)*EX55+(1-EXP(-LN(2)/2))/(LN(2)/2)*ER56*EU56*VLOOKUP('Données projet'!$B$15,Paramètres!$A$1:$I$89,3,0)*0.475*44/12</f>
        <v>8.7068808909651637E-5</v>
      </c>
      <c r="EY56" s="22">
        <f t="shared" si="21"/>
        <v>1.999273365466449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10.66307692307692</v>
      </c>
      <c r="FE56" s="12">
        <f>IF('Données projet'!$A$218&gt;35,FE55+FD56-FM55,IF(A56&lt;'Données projet'!$A$218,$FB$205^A56,IF(A56='Données projet'!$A$218,'Données projet'!$B$218,FE55+FD56-FM55)))</f>
        <v>267.7815384615385</v>
      </c>
      <c r="FF56" s="17">
        <f>FE56*VLOOKUP('Données projet'!$B$16,Paramètres!$A$1:$I$89,3,0)*VLOOKUP('Données projet'!$B$16,Paramètres!$A$1:$I$89,5,0)</f>
        <v>160.13336000000004</v>
      </c>
      <c r="FG56" s="13">
        <f t="shared" si="47"/>
        <v>40.872593668242253</v>
      </c>
      <c r="FH56" s="20">
        <f t="shared" si="22"/>
        <v>350.08536930552197</v>
      </c>
      <c r="FI56" s="59">
        <f t="shared" si="23"/>
        <v>607.1607475120552</v>
      </c>
      <c r="FJ56" s="59">
        <f ca="1">AVERAGE(OFFSET($FI$3,0,0,'Données projet'!$E$16+1,1))-AVERAGE(OFFSET($H$3,0,0,'Données projet'!$E$16+1,1))</f>
        <v>313.26988717307376</v>
      </c>
      <c r="FK56" s="59">
        <f t="shared" si="48"/>
        <v>248.17359813993201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1.4781033350941757</v>
      </c>
      <c r="FR56" s="21">
        <f>EXP(-LN(2)/25)*FR55+(1-EXP(-LN(2)/25))/(LN(2)/25)*Calculateur!FM56*Calculateur!FO56*VLOOKUP('Données projet'!$B$16,Paramètres!$A$1:$I$89,3,0)*0.475*44/12</f>
        <v>3.9845525953866918</v>
      </c>
      <c r="FS56" s="21">
        <f>EXP(-LN(2)/2)*FS55+(1-EXP(-LN(2)/2))/(LN(2)/2)*FM56*FP56*VLOOKUP('Données projet'!$B$16,Paramètres!$A$1:$I$89,3,0)*0.475*44/12</f>
        <v>1.4536760254489313E-3</v>
      </c>
      <c r="FT56" s="22">
        <f t="shared" si="24"/>
        <v>5.4641096065063159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3.9</v>
      </c>
      <c r="FZ56" s="12">
        <f>IF('Données projet'!$A$244&gt;35,FZ55+FY56-GH55,IF(A56&lt;'Données projet'!$A$244,$FW$205^A56,IF(A56='Données projet'!$A$244,'Données projet'!$B$244,FZ55+FY56-GH55)))</f>
        <v>97.699999999999946</v>
      </c>
      <c r="GA56" s="17">
        <f>FZ56*VLOOKUP('Données projet'!$B$17,Paramètres!$A$1:$I$89,3,0)*VLOOKUP('Données projet'!$B$17,Paramètres!$A$1:$I$89,5,0)</f>
        <v>105.16427999999993</v>
      </c>
      <c r="GB56" s="13">
        <f t="shared" si="49"/>
        <v>28.188687369952092</v>
      </c>
      <c r="GC56" s="20">
        <f t="shared" si="25"/>
        <v>232.25641816933307</v>
      </c>
      <c r="GD56" s="59">
        <f t="shared" si="26"/>
        <v>489.3317963758663</v>
      </c>
      <c r="GE56" s="59">
        <f ca="1">AVERAGE(OFFSET($GD$3,0,0,'Données projet'!$E$17+1,1))-AVERAGE(OFFSET($H$3,0,0,'Données projet'!$E$17+1,1))</f>
        <v>313.51355235711543</v>
      </c>
      <c r="GF56" s="59">
        <f t="shared" si="50"/>
        <v>186.0840067781198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0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0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7.2</v>
      </c>
      <c r="N57" s="13">
        <f>IF('Données projet'!$A$36&gt;35,N56+M57-V56,IF(A57&lt;'Données projet'!$A$36,$K$205^A57,IF(A57='Données projet'!$A$36,'Données projet'!$B$36,N56+M57-V56)))</f>
        <v>177.79999999999998</v>
      </c>
      <c r="O57" s="13">
        <f>N57*VLOOKUP('Données projet'!$B$9,Paramètres!$A$1:$I$89,3,0)*VLOOKUP('Données projet'!$B$9,Paramètres!$A$1:$I$89,5,0)</f>
        <v>180.28919999999999</v>
      </c>
      <c r="P57" s="13">
        <f t="shared" si="33"/>
        <v>45.386521825503259</v>
      </c>
      <c r="Q57" s="20">
        <f t="shared" si="53"/>
        <v>393.0518821794181</v>
      </c>
      <c r="R57" s="59">
        <f t="shared" si="0"/>
        <v>650.75625484675743</v>
      </c>
      <c r="S57" s="59">
        <f ca="1">AVERAGE(OFFSET($R$3,0,0,'Données projet'!$E$9+1,1))-AVERAGE(OFFSET($H$3,0,0,'Données projet'!$E$9+1,1))</f>
        <v>452.67426184967104</v>
      </c>
      <c r="T57" s="59">
        <f t="shared" si="34"/>
        <v>310.47823616327639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5.4487179487179471</v>
      </c>
      <c r="AI57" s="13">
        <f>IF('Données projet'!$A$62&gt;35,AI56+AH57-AQ56,IF(A57&lt;'Données projet'!$A$62,$AF$205^A57,IF(A57='Données projet'!$A$62,'Données projet'!$B$62,AI56+AH57-AQ56)))</f>
        <v>200.64102564102572</v>
      </c>
      <c r="AJ57" s="13">
        <f>AI57*VLOOKUP('Données projet'!$B$10,Paramètres!$A$1:$I$89,3,0)*VLOOKUP('Données projet'!$B$10,Paramètres!$A$1:$I$89,5,0)</f>
        <v>209.71000000000009</v>
      </c>
      <c r="AK57" s="13">
        <f t="shared" si="35"/>
        <v>51.872208306065914</v>
      </c>
      <c r="AL57" s="20">
        <f t="shared" si="4"/>
        <v>455.58901279973162</v>
      </c>
      <c r="AM57" s="59">
        <f t="shared" si="5"/>
        <v>713.29338546707095</v>
      </c>
      <c r="AN57" s="59">
        <f ca="1">AVERAGE(OFFSET($AM$3,0,0,'Données projet'!$E$10+1,1))-AVERAGE(OFFSET($H$3,0,0,'Données projet'!$E$10+1,1))</f>
        <v>528.45201982036087</v>
      </c>
      <c r="AO57" s="59">
        <f t="shared" si="36"/>
        <v>321.23004033257985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2.4115105925964748E-5</v>
      </c>
      <c r="AX57" s="21">
        <f t="shared" si="6"/>
        <v>2.4115105925964748E-5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3.9</v>
      </c>
      <c r="BD57" s="12">
        <f>IF('Données projet'!$A$88&gt;35,BD56+BC57-BL56,IF(A57&lt;'Données projet'!$A$88,$BA$205^A57,IF(A57='Données projet'!$A$88,'Données projet'!$B$88,BD56+BC57-BL56)))</f>
        <v>101.59999999999995</v>
      </c>
      <c r="BE57" s="13">
        <f>BD57*VLOOKUP('Données projet'!$B$11,Paramètres!$A$1:$I$89,3,0)*VLOOKUP('Données projet'!$B$11,Paramètres!$A$1:$I$89,5,0)</f>
        <v>98.267519999999948</v>
      </c>
      <c r="BF57" s="13">
        <f t="shared" si="37"/>
        <v>26.548839204125994</v>
      </c>
      <c r="BG57" s="20">
        <f t="shared" si="7"/>
        <v>217.38849228051936</v>
      </c>
      <c r="BH57" s="59">
        <f t="shared" si="8"/>
        <v>475.09286494785869</v>
      </c>
      <c r="BI57" s="59">
        <f ca="1">AVERAGE(OFFSET($BH$3,0,0,'Données projet'!$E$11+1,1))-AVERAGE(OFFSET($H$3,0,0,'Données projet'!$E$11+1,1))</f>
        <v>289.06522051625166</v>
      </c>
      <c r="BJ57" s="59">
        <f t="shared" si="38"/>
        <v>173.19148969173838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5.4</v>
      </c>
      <c r="BY57" s="12">
        <f>IF('Données projet'!$A$114&gt;35,BY56+BX57-CG56,IF(A57&lt;'Données projet'!$A$114,$BV$205^A57,IF(A57='Données projet'!$A$114,'Données projet'!$B$114,BY56+BX57-CG56)))</f>
        <v>178.60000000000019</v>
      </c>
      <c r="BZ57" s="13">
        <f>BY57*VLOOKUP('Données projet'!$B$12,Paramètres!$A$1:$I$89,3,0)*VLOOKUP('Données projet'!$B$12,Paramètres!$A$1:$I$89,5,0)</f>
        <v>144.88032000000015</v>
      </c>
      <c r="CA57" s="13">
        <f t="shared" si="39"/>
        <v>37.412778923310448</v>
      </c>
      <c r="CB57" s="20">
        <f t="shared" si="10"/>
        <v>317.49381395809928</v>
      </c>
      <c r="CC57" s="59">
        <f t="shared" si="11"/>
        <v>575.19818662543867</v>
      </c>
      <c r="CD57" s="59">
        <f ca="1">AVERAGE(OFFSET($CC$3,0,0,'Données projet'!$E$12+1,1))-AVERAGE(OFFSET($H$3,0,0,'Données projet'!$E$12+1,1))</f>
        <v>306.06916761900357</v>
      </c>
      <c r="CE57" s="59">
        <f t="shared" si="40"/>
        <v>258.90832875500337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4.3795911777184952E-5</v>
      </c>
      <c r="CN57" s="22">
        <f t="shared" si="12"/>
        <v>4.3795911777184952E-5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7.2</v>
      </c>
      <c r="CT57" s="12">
        <f>IF('Données projet'!$A$140&gt;35,CT56+CS57-DB56,IF(A57&lt;'Données projet'!$A$140,$CQ$205^A57,IF(A57='Données projet'!$A$140,'Données projet'!$B$140,CT56+CS57-DB56)))</f>
        <v>177.79999999999998</v>
      </c>
      <c r="CU57" s="17">
        <f>CT57*VLOOKUP('Données projet'!$B$13,Paramètres!$A$1:$I$89,3,0)*VLOOKUP('Données projet'!$B$13,Paramètres!$A$1:$I$89,5,0)</f>
        <v>119.26823999999999</v>
      </c>
      <c r="CV57" s="13">
        <f t="shared" si="41"/>
        <v>31.504267581334208</v>
      </c>
      <c r="CW57" s="20">
        <f t="shared" si="13"/>
        <v>262.59545070415703</v>
      </c>
      <c r="CX57" s="59">
        <f t="shared" si="14"/>
        <v>520.29982337149636</v>
      </c>
      <c r="CY57" s="59">
        <f ca="1">AVERAGE(OFFSET($CX$3,0,0,'Données projet'!$E$13+1,1))-AVERAGE(OFFSET($H$3,0,0,'Données projet'!$E$13+1,1))</f>
        <v>324.58754156328285</v>
      </c>
      <c r="CZ57" s="59">
        <f t="shared" si="42"/>
        <v>226.01037731977604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2.6558290090523684E-5</v>
      </c>
      <c r="DI57" s="22">
        <f t="shared" si="15"/>
        <v>2.6558290090523684E-5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14.668131868131875</v>
      </c>
      <c r="DO57" s="12">
        <f>IF('Données projet'!$A$166&gt;35,DO56+DN57-DW56,IF(A57&lt;'Données projet'!$A$166,$DL$205^A57,IF(A57='Données projet'!$A$166,'Données projet'!$B$166,DO56+DN57-DW56)))</f>
        <v>318.71758241758243</v>
      </c>
      <c r="DP57" s="17">
        <f>DO57*VLOOKUP('Données projet'!$B$14,Paramètres!$A$1:$I$89,3,0)*VLOOKUP('Données projet'!$B$14,Paramètres!$A$1:$I$89,5,0)</f>
        <v>149.15982857142859</v>
      </c>
      <c r="DQ57" s="13">
        <f t="shared" si="43"/>
        <v>38.387591277502224</v>
      </c>
      <c r="DR57" s="20">
        <f t="shared" si="16"/>
        <v>326.64508957022116</v>
      </c>
      <c r="DS57" s="59">
        <f t="shared" si="17"/>
        <v>584.34946223756049</v>
      </c>
      <c r="DT57" s="59">
        <f ca="1">AVERAGE(OFFSET($DS$3,0,0,'Données projet'!$E$14+1,1))-AVERAGE(OFFSET($H$3,0,0,'Données projet'!$E$14+1,1))</f>
        <v>325.93182817189722</v>
      </c>
      <c r="DU57" s="59">
        <f t="shared" si="44"/>
        <v>280.04509991782709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5.6</v>
      </c>
      <c r="EJ57" s="12">
        <f>IF('Données projet'!$A$192&gt;35,EJ56+EI57-ER56,IF(A57&lt;'Données projet'!$A$192,$EG$205^A57,IF(A57='Données projet'!$A$192,'Données projet'!$B$192,EJ56+EI57-ER56)))</f>
        <v>224.39999999999972</v>
      </c>
      <c r="EK57" s="17">
        <f>EJ57*VLOOKUP('Données projet'!$B$15,Paramètres!$A$1:$I$89,3,0)*VLOOKUP('Données projet'!$B$15,Paramètres!$A$1:$I$89,5,0)</f>
        <v>178.53263999999979</v>
      </c>
      <c r="EL57" s="13">
        <f t="shared" si="45"/>
        <v>44.99557024111764</v>
      </c>
      <c r="EM57" s="20">
        <f t="shared" si="19"/>
        <v>389.31163283661289</v>
      </c>
      <c r="EN57" s="59">
        <f t="shared" si="20"/>
        <v>647.01600550395221</v>
      </c>
      <c r="EO57" s="59">
        <f ca="1">AVERAGE(OFFSET($EN$3,0,0,'Données projet'!$E$15+1,1))-AVERAGE(OFFSET($H$3,0,0,'Données projet'!$E$15+1,1))</f>
        <v>333.52903437536651</v>
      </c>
      <c r="EP57" s="59">
        <f t="shared" si="46"/>
        <v>359.47288701414777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1.9445184422428008</v>
      </c>
      <c r="EX57" s="21">
        <f>EXP(-LN(2)/2)*EX56+(1-EXP(-LN(2)/2))/(LN(2)/2)*ER57*EU57*VLOOKUP('Données projet'!$B$15,Paramètres!$A$1:$I$89,3,0)*0.475*44/12</f>
        <v>6.1566945209850358E-5</v>
      </c>
      <c r="EY57" s="22">
        <f t="shared" si="21"/>
        <v>1.9445800091880105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10.66307692307692</v>
      </c>
      <c r="FE57" s="12">
        <f>IF('Données projet'!$A$218&gt;35,FE56+FD57-FM56,IF(A57&lt;'Données projet'!$A$218,$FB$205^A57,IF(A57='Données projet'!$A$218,'Données projet'!$B$218,FE56+FD57-FM56)))</f>
        <v>278.44461538461542</v>
      </c>
      <c r="FF57" s="17">
        <f>FE57*VLOOKUP('Données projet'!$B$16,Paramètres!$A$1:$I$89,3,0)*VLOOKUP('Données projet'!$B$16,Paramètres!$A$1:$I$89,5,0)</f>
        <v>166.50988000000001</v>
      </c>
      <c r="FG57" s="13">
        <f t="shared" si="47"/>
        <v>42.307411610776938</v>
      </c>
      <c r="FH57" s="20">
        <f t="shared" si="22"/>
        <v>363.69011622210314</v>
      </c>
      <c r="FI57" s="59">
        <f t="shared" si="23"/>
        <v>621.39448888944253</v>
      </c>
      <c r="FJ57" s="59">
        <f ca="1">AVERAGE(OFFSET($FI$3,0,0,'Données projet'!$E$16+1,1))-AVERAGE(OFFSET($H$3,0,0,'Données projet'!$E$16+1,1))</f>
        <v>313.26988717307376</v>
      </c>
      <c r="FK57" s="59">
        <f t="shared" si="48"/>
        <v>248.17359813993201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1.4491186302469923</v>
      </c>
      <c r="FR57" s="21">
        <f>EXP(-LN(2)/25)*FR56+(1-EXP(-LN(2)/25))/(LN(2)/25)*Calculateur!FM57*Calculateur!FO57*VLOOKUP('Données projet'!$B$16,Paramètres!$A$1:$I$89,3,0)*0.475*44/12</f>
        <v>3.8755947951273284</v>
      </c>
      <c r="FS57" s="21">
        <f>EXP(-LN(2)/2)*FS56+(1-EXP(-LN(2)/2))/(LN(2)/2)*FM57*FP57*VLOOKUP('Données projet'!$B$16,Paramètres!$A$1:$I$89,3,0)*0.475*44/12</f>
        <v>1.0279041752432475E-3</v>
      </c>
      <c r="FT57" s="22">
        <f t="shared" si="24"/>
        <v>5.3257413295495644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3.9</v>
      </c>
      <c r="FZ57" s="12">
        <f>IF('Données projet'!$A$244&gt;35,FZ56+FY57-GH56,IF(A57&lt;'Données projet'!$A$244,$FW$205^A57,IF(A57='Données projet'!$A$244,'Données projet'!$B$244,FZ56+FY57-GH56)))</f>
        <v>101.59999999999995</v>
      </c>
      <c r="GA57" s="17">
        <f>FZ57*VLOOKUP('Données projet'!$B$17,Paramètres!$A$1:$I$89,3,0)*VLOOKUP('Données projet'!$B$17,Paramètres!$A$1:$I$89,5,0)</f>
        <v>109.36223999999994</v>
      </c>
      <c r="GB57" s="13">
        <f t="shared" si="49"/>
        <v>29.180672529382424</v>
      </c>
      <c r="GC57" s="20">
        <f t="shared" si="25"/>
        <v>241.29557265534095</v>
      </c>
      <c r="GD57" s="59">
        <f t="shared" si="26"/>
        <v>498.99994532268028</v>
      </c>
      <c r="GE57" s="59">
        <f ca="1">AVERAGE(OFFSET($GD$3,0,0,'Données projet'!$E$17+1,1))-AVERAGE(OFFSET($H$3,0,0,'Données projet'!$E$17+1,1))</f>
        <v>313.51355235711543</v>
      </c>
      <c r="GF57" s="59">
        <f t="shared" si="50"/>
        <v>186.0840067781198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0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0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7.2</v>
      </c>
      <c r="N58" s="13">
        <f>IF('Données projet'!$A$36&gt;35,N57+M58-V57,IF(A58&lt;'Données projet'!$A$36,$K$205^A58,IF(A58='Données projet'!$A$36,'Données projet'!$B$36,N57+M58-V57)))</f>
        <v>184.99999999999997</v>
      </c>
      <c r="O58" s="13">
        <f>N58*VLOOKUP('Données projet'!$B$9,Paramètres!$A$1:$I$89,3,0)*VLOOKUP('Données projet'!$B$9,Paramètres!$A$1:$I$89,5,0)</f>
        <v>187.58999999999997</v>
      </c>
      <c r="P58" s="13">
        <f t="shared" si="33"/>
        <v>47.006740863164012</v>
      </c>
      <c r="Q58" s="20">
        <f t="shared" si="53"/>
        <v>408.58932367001057</v>
      </c>
      <c r="R58" s="59">
        <f t="shared" si="0"/>
        <v>666.91177915048195</v>
      </c>
      <c r="S58" s="59">
        <f ca="1">AVERAGE(OFFSET($R$3,0,0,'Données projet'!$E$9+1,1))-AVERAGE(OFFSET($H$3,0,0,'Données projet'!$E$9+1,1))</f>
        <v>452.67426184967104</v>
      </c>
      <c r="T58" s="59">
        <f t="shared" si="34"/>
        <v>310.47823616327639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5.4487179487179471</v>
      </c>
      <c r="AI58" s="13">
        <f>IF('Données projet'!$A$62&gt;35,AI57+AH58-AQ57,IF(A58&lt;'Données projet'!$A$62,$AF$205^A58,IF(A58='Données projet'!$A$62,'Données projet'!$B$62,AI57+AH58-AQ57)))</f>
        <v>206.08974358974368</v>
      </c>
      <c r="AJ58" s="13">
        <f>AI58*VLOOKUP('Données projet'!$B$10,Paramètres!$A$1:$I$89,3,0)*VLOOKUP('Données projet'!$B$10,Paramètres!$A$1:$I$89,5,0)</f>
        <v>215.40500000000009</v>
      </c>
      <c r="AK58" s="13">
        <f t="shared" si="35"/>
        <v>53.114961625297305</v>
      </c>
      <c r="AL58" s="20">
        <f t="shared" si="4"/>
        <v>467.67226649739297</v>
      </c>
      <c r="AM58" s="59">
        <f t="shared" si="5"/>
        <v>725.9947219778644</v>
      </c>
      <c r="AN58" s="59">
        <f ca="1">AVERAGE(OFFSET($AM$3,0,0,'Données projet'!$E$10+1,1))-AVERAGE(OFFSET($H$3,0,0,'Données projet'!$E$10+1,1))</f>
        <v>528.45201982036087</v>
      </c>
      <c r="AO58" s="59">
        <f t="shared" si="36"/>
        <v>321.23004033257985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1.7051954929281571E-5</v>
      </c>
      <c r="AX58" s="21">
        <f t="shared" si="6"/>
        <v>1.7051954929281571E-5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3.9</v>
      </c>
      <c r="BD58" s="12">
        <f>IF('Données projet'!$A$88&gt;35,BD57+BC58-BL57,IF(A58&lt;'Données projet'!$A$88,$BA$205^A58,IF(A58='Données projet'!$A$88,'Données projet'!$B$88,BD57+BC58-BL57)))</f>
        <v>105.49999999999996</v>
      </c>
      <c r="BE58" s="13">
        <f>BD58*VLOOKUP('Données projet'!$B$11,Paramètres!$A$1:$I$89,3,0)*VLOOKUP('Données projet'!$B$11,Paramètres!$A$1:$I$89,5,0)</f>
        <v>102.03959999999995</v>
      </c>
      <c r="BF58" s="13">
        <f t="shared" si="37"/>
        <v>27.447331660149093</v>
      </c>
      <c r="BG58" s="20">
        <f t="shared" si="7"/>
        <v>225.52307264142624</v>
      </c>
      <c r="BH58" s="59">
        <f t="shared" si="8"/>
        <v>483.84552812189759</v>
      </c>
      <c r="BI58" s="59">
        <f ca="1">AVERAGE(OFFSET($BH$3,0,0,'Données projet'!$E$11+1,1))-AVERAGE(OFFSET($H$3,0,0,'Données projet'!$E$11+1,1))</f>
        <v>289.06522051625166</v>
      </c>
      <c r="BJ58" s="59">
        <f t="shared" si="38"/>
        <v>173.19148969173838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5.4</v>
      </c>
      <c r="BY58" s="12">
        <f>IF('Données projet'!$A$114&gt;35,BY57+BX58-CG57,IF(A58&lt;'Données projet'!$A$114,$BV$205^A58,IF(A58='Données projet'!$A$114,'Données projet'!$B$114,BY57+BX58-CG57)))</f>
        <v>184.0000000000002</v>
      </c>
      <c r="BZ58" s="13">
        <f>BY58*VLOOKUP('Données projet'!$B$12,Paramètres!$A$1:$I$89,3,0)*VLOOKUP('Données projet'!$B$12,Paramètres!$A$1:$I$89,5,0)</f>
        <v>149.26080000000016</v>
      </c>
      <c r="CA58" s="13">
        <f t="shared" si="39"/>
        <v>38.410551499792945</v>
      </c>
      <c r="CB58" s="20">
        <f t="shared" si="10"/>
        <v>326.86093719547301</v>
      </c>
      <c r="CC58" s="59">
        <f t="shared" si="11"/>
        <v>585.18339267594433</v>
      </c>
      <c r="CD58" s="59">
        <f ca="1">AVERAGE(OFFSET($CC$3,0,0,'Données projet'!$E$12+1,1))-AVERAGE(OFFSET($H$3,0,0,'Données projet'!$E$12+1,1))</f>
        <v>306.06916761900357</v>
      </c>
      <c r="CE58" s="59">
        <f t="shared" si="40"/>
        <v>258.90832875500337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3.0968386205895259E-5</v>
      </c>
      <c r="CN58" s="22">
        <f t="shared" si="12"/>
        <v>3.0968386205895259E-5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7.2</v>
      </c>
      <c r="CT58" s="12">
        <f>IF('Données projet'!$A$140&gt;35,CT57+CS58-DB57,IF(A58&lt;'Données projet'!$A$140,$CQ$205^A58,IF(A58='Données projet'!$A$140,'Données projet'!$B$140,CT57+CS58-DB57)))</f>
        <v>184.99999999999997</v>
      </c>
      <c r="CU58" s="17">
        <f>CT58*VLOOKUP('Données projet'!$B$13,Paramètres!$A$1:$I$89,3,0)*VLOOKUP('Données projet'!$B$13,Paramètres!$A$1:$I$89,5,0)</f>
        <v>124.09799999999997</v>
      </c>
      <c r="CV58" s="13">
        <f t="shared" si="41"/>
        <v>32.62891454809418</v>
      </c>
      <c r="CW58" s="20">
        <f t="shared" si="13"/>
        <v>272.96604283793067</v>
      </c>
      <c r="CX58" s="59">
        <f t="shared" si="14"/>
        <v>531.28849831840205</v>
      </c>
      <c r="CY58" s="59">
        <f ca="1">AVERAGE(OFFSET($CX$3,0,0,'Données projet'!$E$13+1,1))-AVERAGE(OFFSET($H$3,0,0,'Données projet'!$E$13+1,1))</f>
        <v>324.58754156328285</v>
      </c>
      <c r="CZ58" s="59">
        <f t="shared" si="42"/>
        <v>226.01037731977604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1.8779547019728784E-5</v>
      </c>
      <c r="DI58" s="22">
        <f t="shared" si="15"/>
        <v>1.8779547019728784E-5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14.668131868131875</v>
      </c>
      <c r="DO58" s="12">
        <f>IF('Données projet'!$A$166&gt;35,DO57+DN58-DW57,IF(A58&lt;'Données projet'!$A$166,$DL$205^A58,IF(A58='Données projet'!$A$166,'Données projet'!$B$166,DO57+DN58-DW57)))</f>
        <v>333.3857142857143</v>
      </c>
      <c r="DP58" s="17">
        <f>DO58*VLOOKUP('Données projet'!$B$14,Paramètres!$A$1:$I$89,3,0)*VLOOKUP('Données projet'!$B$14,Paramètres!$A$1:$I$89,5,0)</f>
        <v>156.0245142857143</v>
      </c>
      <c r="DQ58" s="13">
        <f t="shared" si="43"/>
        <v>39.944524680961258</v>
      </c>
      <c r="DR58" s="20">
        <f t="shared" si="16"/>
        <v>341.31274286695992</v>
      </c>
      <c r="DS58" s="59">
        <f t="shared" si="17"/>
        <v>599.63519834743124</v>
      </c>
      <c r="DT58" s="59">
        <f ca="1">AVERAGE(OFFSET($DS$3,0,0,'Données projet'!$E$14+1,1))-AVERAGE(OFFSET($H$3,0,0,'Données projet'!$E$14+1,1))</f>
        <v>325.93182817189722</v>
      </c>
      <c r="DU58" s="59">
        <f t="shared" si="44"/>
        <v>280.04509991782709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5.6</v>
      </c>
      <c r="EJ58" s="12">
        <f>IF('Données projet'!$A$192&gt;35,EJ57+EI58-ER57,IF(A58&lt;'Données projet'!$A$192,$EG$205^A58,IF(A58='Données projet'!$A$192,'Données projet'!$B$192,EJ57+EI58-ER57)))</f>
        <v>229.99999999999972</v>
      </c>
      <c r="EK58" s="17">
        <f>EJ58*VLOOKUP('Données projet'!$B$15,Paramètres!$A$1:$I$89,3,0)*VLOOKUP('Données projet'!$B$15,Paramètres!$A$1:$I$89,5,0)</f>
        <v>182.98799999999977</v>
      </c>
      <c r="EL58" s="13">
        <f t="shared" si="45"/>
        <v>45.986322796524796</v>
      </c>
      <c r="EM58" s="20">
        <f t="shared" si="19"/>
        <v>398.79694553728024</v>
      </c>
      <c r="EN58" s="59">
        <f t="shared" si="20"/>
        <v>657.11940101775167</v>
      </c>
      <c r="EO58" s="59">
        <f ca="1">AVERAGE(OFFSET($EN$3,0,0,'Données projet'!$E$15+1,1))-AVERAGE(OFFSET($H$3,0,0,'Données projet'!$E$15+1,1))</f>
        <v>333.52903437536651</v>
      </c>
      <c r="EP58" s="59">
        <f t="shared" si="46"/>
        <v>359.47288701414777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1.8913454831818908</v>
      </c>
      <c r="EX58" s="21">
        <f>EXP(-LN(2)/2)*EX57+(1-EXP(-LN(2)/2))/(LN(2)/2)*ER58*EU58*VLOOKUP('Données projet'!$B$15,Paramètres!$A$1:$I$89,3,0)*0.475*44/12</f>
        <v>4.3534404454825819E-5</v>
      </c>
      <c r="EY58" s="22">
        <f t="shared" si="21"/>
        <v>1.8913890175863457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10.66307692307692</v>
      </c>
      <c r="FE58" s="12">
        <f>IF('Données projet'!$A$218&gt;35,FE57+FD58-FM57,IF(A58&lt;'Données projet'!$A$218,$FB$205^A58,IF(A58='Données projet'!$A$218,'Données projet'!$B$218,FE57+FD58-FM57)))</f>
        <v>289.10769230769233</v>
      </c>
      <c r="FF58" s="17">
        <f>FE58*VLOOKUP('Données projet'!$B$16,Paramètres!$A$1:$I$89,3,0)*VLOOKUP('Données projet'!$B$16,Paramètres!$A$1:$I$89,5,0)</f>
        <v>172.88640000000001</v>
      </c>
      <c r="FG58" s="13">
        <f t="shared" si="47"/>
        <v>43.735846359314351</v>
      </c>
      <c r="FH58" s="20">
        <f t="shared" si="22"/>
        <v>377.28374574247255</v>
      </c>
      <c r="FI58" s="59">
        <f t="shared" si="23"/>
        <v>635.60620122294392</v>
      </c>
      <c r="FJ58" s="59">
        <f ca="1">AVERAGE(OFFSET($FI$3,0,0,'Données projet'!$E$16+1,1))-AVERAGE(OFFSET($H$3,0,0,'Données projet'!$E$16+1,1))</f>
        <v>313.26988717307376</v>
      </c>
      <c r="FK58" s="59">
        <f t="shared" si="48"/>
        <v>248.17359813993201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1.4207022977829378</v>
      </c>
      <c r="FR58" s="21">
        <f>EXP(-LN(2)/25)*FR57+(1-EXP(-LN(2)/25))/(LN(2)/25)*Calculateur!FM58*Calculateur!FO58*VLOOKUP('Données projet'!$B$16,Paramètres!$A$1:$I$89,3,0)*0.475*44/12</f>
        <v>3.769616451645899</v>
      </c>
      <c r="FS58" s="21">
        <f>EXP(-LN(2)/2)*FS57+(1-EXP(-LN(2)/2))/(LN(2)/2)*FM58*FP58*VLOOKUP('Données projet'!$B$16,Paramètres!$A$1:$I$89,3,0)*0.475*44/12</f>
        <v>7.2683801272446563E-4</v>
      </c>
      <c r="FT58" s="22">
        <f t="shared" si="24"/>
        <v>5.1910455874415611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3.9</v>
      </c>
      <c r="FZ58" s="12">
        <f>IF('Données projet'!$A$244&gt;35,FZ57+FY58-GH57,IF(A58&lt;'Données projet'!$A$244,$FW$205^A58,IF(A58='Données projet'!$A$244,'Données projet'!$B$244,FZ57+FY58-GH57)))</f>
        <v>105.49999999999996</v>
      </c>
      <c r="GA58" s="17">
        <f>FZ58*VLOOKUP('Données projet'!$B$17,Paramètres!$A$1:$I$89,3,0)*VLOOKUP('Données projet'!$B$17,Paramètres!$A$1:$I$89,5,0)</f>
        <v>113.56019999999994</v>
      </c>
      <c r="GB58" s="13">
        <f t="shared" si="49"/>
        <v>30.168234129637092</v>
      </c>
      <c r="GC58" s="20">
        <f t="shared" si="25"/>
        <v>250.32702277578449</v>
      </c>
      <c r="GD58" s="59">
        <f t="shared" si="26"/>
        <v>508.64947825625586</v>
      </c>
      <c r="GE58" s="59">
        <f ca="1">AVERAGE(OFFSET($GD$3,0,0,'Données projet'!$E$17+1,1))-AVERAGE(OFFSET($H$3,0,0,'Données projet'!$E$17+1,1))</f>
        <v>313.51355235711543</v>
      </c>
      <c r="GF58" s="59">
        <f t="shared" si="50"/>
        <v>186.0840067781198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0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0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7.2</v>
      </c>
      <c r="N59" s="13">
        <f>IF('Données projet'!$A$36&gt;35,N58+M59-V58,IF(A59&lt;'Données projet'!$A$36,$K$205^A59,IF(A59='Données projet'!$A$36,'Données projet'!$B$36,N58+M59-V58)))</f>
        <v>192.19999999999996</v>
      </c>
      <c r="O59" s="13">
        <f>N59*VLOOKUP('Données projet'!$B$9,Paramètres!$A$1:$I$89,3,0)*VLOOKUP('Données projet'!$B$9,Paramètres!$A$1:$I$89,5,0)</f>
        <v>194.89079999999998</v>
      </c>
      <c r="P59" s="13">
        <f t="shared" si="33"/>
        <v>48.619634692995454</v>
      </c>
      <c r="Q59" s="20">
        <f t="shared" si="53"/>
        <v>424.11400709030039</v>
      </c>
      <c r="R59" s="59">
        <f t="shared" si="0"/>
        <v>683.04382302892213</v>
      </c>
      <c r="S59" s="59">
        <f ca="1">AVERAGE(OFFSET($R$3,0,0,'Données projet'!$E$9+1,1))-AVERAGE(OFFSET($H$3,0,0,'Données projet'!$E$9+1,1))</f>
        <v>452.67426184967104</v>
      </c>
      <c r="T59" s="59">
        <f t="shared" si="34"/>
        <v>310.47823616327639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5.4487179487179471</v>
      </c>
      <c r="AI59" s="13">
        <f>IF('Données projet'!$A$62&gt;35,AI58+AH59-AQ58,IF(A59&lt;'Données projet'!$A$62,$AF$205^A59,IF(A59='Données projet'!$A$62,'Données projet'!$B$62,AI58+AH59-AQ58)))</f>
        <v>211.53846153846163</v>
      </c>
      <c r="AJ59" s="13">
        <f>AI59*VLOOKUP('Données projet'!$B$10,Paramètres!$A$1:$I$89,3,0)*VLOOKUP('Données projet'!$B$10,Paramètres!$A$1:$I$89,5,0)</f>
        <v>221.10000000000014</v>
      </c>
      <c r="AK59" s="13">
        <f t="shared" si="35"/>
        <v>54.353895842665359</v>
      </c>
      <c r="AL59" s="20">
        <f t="shared" si="4"/>
        <v>479.74886859264234</v>
      </c>
      <c r="AM59" s="59">
        <f t="shared" si="5"/>
        <v>738.67868453126403</v>
      </c>
      <c r="AN59" s="59">
        <f ca="1">AVERAGE(OFFSET($AM$3,0,0,'Données projet'!$E$10+1,1))-AVERAGE(OFFSET($H$3,0,0,'Données projet'!$E$10+1,1))</f>
        <v>528.45201982036087</v>
      </c>
      <c r="AO59" s="59">
        <f t="shared" si="36"/>
        <v>321.23004033257985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1.2057552962982374E-5</v>
      </c>
      <c r="AX59" s="21">
        <f t="shared" si="6"/>
        <v>1.2057552962982374E-5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3.9</v>
      </c>
      <c r="BD59" s="12">
        <f>IF('Données projet'!$A$88&gt;35,BD58+BC59-BL58,IF(A59&lt;'Données projet'!$A$88,$BA$205^A59,IF(A59='Données projet'!$A$88,'Données projet'!$B$88,BD58+BC59-BL58)))</f>
        <v>109.39999999999996</v>
      </c>
      <c r="BE59" s="13">
        <f>BD59*VLOOKUP('Données projet'!$B$11,Paramètres!$A$1:$I$89,3,0)*VLOOKUP('Données projet'!$B$11,Paramètres!$A$1:$I$89,5,0)</f>
        <v>105.81167999999997</v>
      </c>
      <c r="BF59" s="13">
        <f t="shared" si="37"/>
        <v>28.341965336167817</v>
      </c>
      <c r="BG59" s="20">
        <f t="shared" si="7"/>
        <v>233.65093229382555</v>
      </c>
      <c r="BH59" s="59">
        <f t="shared" si="8"/>
        <v>492.58074823244726</v>
      </c>
      <c r="BI59" s="59">
        <f ca="1">AVERAGE(OFFSET($BH$3,0,0,'Données projet'!$E$11+1,1))-AVERAGE(OFFSET($H$3,0,0,'Données projet'!$E$11+1,1))</f>
        <v>289.06522051625166</v>
      </c>
      <c r="BJ59" s="59">
        <f t="shared" si="38"/>
        <v>173.19148969173838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5.4</v>
      </c>
      <c r="BY59" s="12">
        <f>IF('Données projet'!$A$114&gt;35,BY58+BX59-CG58,IF(A59&lt;'Données projet'!$A$114,$BV$205^A59,IF(A59='Données projet'!$A$114,'Données projet'!$B$114,BY58+BX59-CG58)))</f>
        <v>189.4000000000002</v>
      </c>
      <c r="BZ59" s="13">
        <f>BY59*VLOOKUP('Données projet'!$B$12,Paramètres!$A$1:$I$89,3,0)*VLOOKUP('Données projet'!$B$12,Paramètres!$A$1:$I$89,5,0)</f>
        <v>153.64128000000019</v>
      </c>
      <c r="CA59" s="13">
        <f t="shared" si="39"/>
        <v>39.404920897415366</v>
      </c>
      <c r="CB59" s="20">
        <f t="shared" si="10"/>
        <v>336.22213322966542</v>
      </c>
      <c r="CC59" s="59">
        <f t="shared" si="11"/>
        <v>595.15194916828716</v>
      </c>
      <c r="CD59" s="59">
        <f ca="1">AVERAGE(OFFSET($CC$3,0,0,'Données projet'!$E$12+1,1))-AVERAGE(OFFSET($H$3,0,0,'Données projet'!$E$12+1,1))</f>
        <v>306.06916761900357</v>
      </c>
      <c r="CE59" s="59">
        <f t="shared" si="40"/>
        <v>258.90832875500337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2.1897955888592476E-5</v>
      </c>
      <c r="CN59" s="22">
        <f t="shared" si="12"/>
        <v>2.1897955888592476E-5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7.2</v>
      </c>
      <c r="CT59" s="12">
        <f>IF('Données projet'!$A$140&gt;35,CT58+CS59-DB58,IF(A59&lt;'Données projet'!$A$140,$CQ$205^A59,IF(A59='Données projet'!$A$140,'Données projet'!$B$140,CT58+CS59-DB58)))</f>
        <v>192.19999999999996</v>
      </c>
      <c r="CU59" s="17">
        <f>CT59*VLOOKUP('Données projet'!$B$13,Paramètres!$A$1:$I$89,3,0)*VLOOKUP('Données projet'!$B$13,Paramètres!$A$1:$I$89,5,0)</f>
        <v>128.92775999999998</v>
      </c>
      <c r="CV59" s="13">
        <f t="shared" si="41"/>
        <v>33.74847684878452</v>
      </c>
      <c r="CW59" s="20">
        <f t="shared" si="13"/>
        <v>283.32777917829964</v>
      </c>
      <c r="CX59" s="59">
        <f t="shared" si="14"/>
        <v>542.25759511692138</v>
      </c>
      <c r="CY59" s="59">
        <f ca="1">AVERAGE(OFFSET($CX$3,0,0,'Données projet'!$E$13+1,1))-AVERAGE(OFFSET($H$3,0,0,'Données projet'!$E$13+1,1))</f>
        <v>324.58754156328285</v>
      </c>
      <c r="CZ59" s="59">
        <f t="shared" si="42"/>
        <v>226.01037731977604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1.3279145045261842E-5</v>
      </c>
      <c r="DI59" s="22">
        <f t="shared" si="15"/>
        <v>1.3279145045261842E-5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>
        <f>VLOOKUP(A59,'Données projet'!$A$165:$I$185,2,0)</f>
        <v>348.05384615384617</v>
      </c>
      <c r="DM59" s="12">
        <f>VLOOKUP(A59,'Données projet'!$A$165:$I$185,9,0)</f>
        <v>14.668131868131875</v>
      </c>
      <c r="DN59" s="12">
        <f t="array" ref="DN59">INDEX(DM:DM,MIN(IF(ISNUMBER(DM59:DM255),ROW(DM59:DM255),"")))</f>
        <v>14.668131868131875</v>
      </c>
      <c r="DO59" s="12">
        <f>IF('Données projet'!$A$166&gt;35,DO58+DN59-DW58,IF(A59&lt;'Données projet'!$A$166,$DL$205^A59,IF(A59='Données projet'!$A$166,'Données projet'!$B$166,DO58+DN59-DW58)))</f>
        <v>348.05384615384617</v>
      </c>
      <c r="DP59" s="17">
        <f>DO59*VLOOKUP('Données projet'!$B$14,Paramètres!$A$1:$I$89,3,0)*VLOOKUP('Données projet'!$B$14,Paramètres!$A$1:$I$89,5,0)</f>
        <v>162.88919999999999</v>
      </c>
      <c r="DQ59" s="13">
        <f t="shared" si="43"/>
        <v>41.493502222820894</v>
      </c>
      <c r="DR59" s="20">
        <f t="shared" si="16"/>
        <v>355.96653970474637</v>
      </c>
      <c r="DS59" s="59">
        <f t="shared" si="17"/>
        <v>614.89635564336811</v>
      </c>
      <c r="DT59" s="59">
        <f ca="1">AVERAGE(OFFSET($DS$3,0,0,'Données projet'!$E$14+1,1))-AVERAGE(OFFSET($H$3,0,0,'Données projet'!$E$14+1,1))</f>
        <v>325.93182817189722</v>
      </c>
      <c r="DU59" s="59">
        <f t="shared" si="44"/>
        <v>280.04509991782709</v>
      </c>
      <c r="DV59" s="15">
        <f>IF(ISNA(VLOOKUP(A59,'Données projet'!$A$165:$I$185,3,0)),0,VLOOKUP(A59,'Données projet'!$A$165:$I$185,3,0))</f>
        <v>3</v>
      </c>
      <c r="DW59" s="15">
        <f>IF(ISNA(VLOOKUP(A59,'Données projet'!$A$165:$I$185,4,0)),0,VLOOKUP(A59,'Données projet'!$A$165:$I$185,4,0))</f>
        <v>72.769230769230759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5.6</v>
      </c>
      <c r="EJ59" s="12">
        <f>IF('Données projet'!$A$192&gt;35,EJ58+EI59-ER58,IF(A59&lt;'Données projet'!$A$192,$EG$205^A59,IF(A59='Données projet'!$A$192,'Données projet'!$B$192,EJ58+EI59-ER58)))</f>
        <v>235.59999999999971</v>
      </c>
      <c r="EK59" s="17">
        <f>EJ59*VLOOKUP('Données projet'!$B$15,Paramètres!$A$1:$I$89,3,0)*VLOOKUP('Données projet'!$B$15,Paramètres!$A$1:$I$89,5,0)</f>
        <v>187.44335999999979</v>
      </c>
      <c r="EL59" s="13">
        <f t="shared" si="45"/>
        <v>46.974271155353591</v>
      </c>
      <c r="EM59" s="20">
        <f t="shared" si="19"/>
        <v>408.27737426224047</v>
      </c>
      <c r="EN59" s="59">
        <f t="shared" si="20"/>
        <v>667.20719020086221</v>
      </c>
      <c r="EO59" s="59">
        <f ca="1">AVERAGE(OFFSET($EN$3,0,0,'Données projet'!$E$15+1,1))-AVERAGE(OFFSET($H$3,0,0,'Données projet'!$E$15+1,1))</f>
        <v>333.52903437536651</v>
      </c>
      <c r="EP59" s="59">
        <f t="shared" si="46"/>
        <v>359.47288701414777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1.8396265414827457</v>
      </c>
      <c r="EX59" s="21">
        <f>EXP(-LN(2)/2)*EX58+(1-EXP(-LN(2)/2))/(LN(2)/2)*ER59*EU59*VLOOKUP('Données projet'!$B$15,Paramètres!$A$1:$I$89,3,0)*0.475*44/12</f>
        <v>3.0783472604925179E-5</v>
      </c>
      <c r="EY59" s="22">
        <f t="shared" si="21"/>
        <v>1.8396573249553507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10.66307692307692</v>
      </c>
      <c r="FE59" s="12">
        <f>IF('Données projet'!$A$218&gt;35,FE58+FD59-FM58,IF(A59&lt;'Données projet'!$A$218,$FB$205^A59,IF(A59='Données projet'!$A$218,'Données projet'!$B$218,FE58+FD59-FM58)))</f>
        <v>299.77076923076925</v>
      </c>
      <c r="FF59" s="17">
        <f>FE59*VLOOKUP('Données projet'!$B$16,Paramètres!$A$1:$I$89,3,0)*VLOOKUP('Données projet'!$B$16,Paramètres!$A$1:$I$89,5,0)</f>
        <v>179.26292000000001</v>
      </c>
      <c r="FG59" s="13">
        <f t="shared" si="47"/>
        <v>45.158160305042841</v>
      </c>
      <c r="FH59" s="20">
        <f t="shared" si="22"/>
        <v>390.8667148646162</v>
      </c>
      <c r="FI59" s="59">
        <f t="shared" si="23"/>
        <v>649.79653080323794</v>
      </c>
      <c r="FJ59" s="59">
        <f ca="1">AVERAGE(OFFSET($FI$3,0,0,'Données projet'!$E$16+1,1))-AVERAGE(OFFSET($H$3,0,0,'Données projet'!$E$16+1,1))</f>
        <v>313.26988717307376</v>
      </c>
      <c r="FK59" s="59">
        <f t="shared" si="48"/>
        <v>248.17359813993201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1.3928431922662521</v>
      </c>
      <c r="FR59" s="21">
        <f>EXP(-LN(2)/25)*FR58+(1-EXP(-LN(2)/25))/(LN(2)/25)*Calculateur!FM59*Calculateur!FO59*VLOOKUP('Données projet'!$B$16,Paramètres!$A$1:$I$89,3,0)*0.475*44/12</f>
        <v>3.6665360915401282</v>
      </c>
      <c r="FS59" s="21">
        <f>EXP(-LN(2)/2)*FS58+(1-EXP(-LN(2)/2))/(LN(2)/2)*FM59*FP59*VLOOKUP('Données projet'!$B$16,Paramètres!$A$1:$I$89,3,0)*0.475*44/12</f>
        <v>5.1395208762162374E-4</v>
      </c>
      <c r="FT59" s="22">
        <f t="shared" si="24"/>
        <v>5.0598932358940019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3.9</v>
      </c>
      <c r="FZ59" s="12">
        <f>IF('Données projet'!$A$244&gt;35,FZ58+FY59-GH58,IF(A59&lt;'Données projet'!$A$244,$FW$205^A59,IF(A59='Données projet'!$A$244,'Données projet'!$B$244,FZ58+FY59-GH58)))</f>
        <v>109.39999999999996</v>
      </c>
      <c r="GA59" s="17">
        <f>FZ59*VLOOKUP('Données projet'!$B$17,Paramètres!$A$1:$I$89,3,0)*VLOOKUP('Données projet'!$B$17,Paramètres!$A$1:$I$89,5,0)</f>
        <v>117.75815999999995</v>
      </c>
      <c r="GB59" s="13">
        <f t="shared" si="49"/>
        <v>31.151554422209482</v>
      </c>
      <c r="GC59" s="20">
        <f t="shared" si="25"/>
        <v>259.35108595201473</v>
      </c>
      <c r="GD59" s="59">
        <f t="shared" si="26"/>
        <v>518.28090189063641</v>
      </c>
      <c r="GE59" s="59">
        <f ca="1">AVERAGE(OFFSET($GD$3,0,0,'Données projet'!$E$17+1,1))-AVERAGE(OFFSET($H$3,0,0,'Données projet'!$E$17+1,1))</f>
        <v>313.51355235711543</v>
      </c>
      <c r="GF59" s="59">
        <f t="shared" si="50"/>
        <v>186.0840067781198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0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0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7.2</v>
      </c>
      <c r="N60" s="13">
        <f>IF('Données projet'!$A$36&gt;35,N59+M60-V59,IF(A60&lt;'Données projet'!$A$36,$K$205^A60,IF(A60='Données projet'!$A$36,'Données projet'!$B$36,N59+M60-V59)))</f>
        <v>199.39999999999995</v>
      </c>
      <c r="O60" s="13">
        <f>N60*VLOOKUP('Données projet'!$B$9,Paramètres!$A$1:$I$89,3,0)*VLOOKUP('Données projet'!$B$9,Paramètres!$A$1:$I$89,5,0)</f>
        <v>202.19159999999999</v>
      </c>
      <c r="P60" s="13">
        <f t="shared" si="33"/>
        <v>50.225509144346276</v>
      </c>
      <c r="Q60" s="20">
        <f t="shared" si="53"/>
        <v>439.62646509306978</v>
      </c>
      <c r="R60" s="59">
        <f t="shared" si="0"/>
        <v>699.15310514374755</v>
      </c>
      <c r="S60" s="59">
        <f ca="1">AVERAGE(OFFSET($R$3,0,0,'Données projet'!$E$9+1,1))-AVERAGE(OFFSET($H$3,0,0,'Données projet'!$E$9+1,1))</f>
        <v>452.67426184967104</v>
      </c>
      <c r="T60" s="59">
        <f t="shared" si="34"/>
        <v>310.47823616327639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5.4487179487179471</v>
      </c>
      <c r="AI60" s="13">
        <f>IF('Données projet'!$A$62&gt;35,AI59+AH60-AQ59,IF(A60&lt;'Données projet'!$A$62,$AF$205^A60,IF(A60='Données projet'!$A$62,'Données projet'!$B$62,AI59+AH60-AQ59)))</f>
        <v>216.98717948717959</v>
      </c>
      <c r="AJ60" s="13">
        <f>AI60*VLOOKUP('Données projet'!$B$10,Paramètres!$A$1:$I$89,3,0)*VLOOKUP('Données projet'!$B$10,Paramètres!$A$1:$I$89,5,0)</f>
        <v>226.79500000000013</v>
      </c>
      <c r="AK60" s="13">
        <f t="shared" si="35"/>
        <v>55.589120639414134</v>
      </c>
      <c r="AL60" s="20">
        <f t="shared" si="4"/>
        <v>491.81901011364647</v>
      </c>
      <c r="AM60" s="59">
        <f t="shared" si="5"/>
        <v>751.34565016432418</v>
      </c>
      <c r="AN60" s="59">
        <f ca="1">AVERAGE(OFFSET($AM$3,0,0,'Données projet'!$E$10+1,1))-AVERAGE(OFFSET($H$3,0,0,'Données projet'!$E$10+1,1))</f>
        <v>528.45201982036087</v>
      </c>
      <c r="AO60" s="59">
        <f t="shared" si="36"/>
        <v>321.23004033257985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8.5259774646407853E-6</v>
      </c>
      <c r="AX60" s="21">
        <f t="shared" si="6"/>
        <v>8.5259774646407853E-6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3.9</v>
      </c>
      <c r="BD60" s="12">
        <f>IF('Données projet'!$A$88&gt;35,BD59+BC60-BL59,IF(A60&lt;'Données projet'!$A$88,$BA$205^A60,IF(A60='Données projet'!$A$88,'Données projet'!$B$88,BD59+BC60-BL59)))</f>
        <v>113.29999999999997</v>
      </c>
      <c r="BE60" s="13">
        <f>BD60*VLOOKUP('Données projet'!$B$11,Paramètres!$A$1:$I$89,3,0)*VLOOKUP('Données projet'!$B$11,Paramètres!$A$1:$I$89,5,0)</f>
        <v>109.58375999999997</v>
      </c>
      <c r="BF60" s="13">
        <f t="shared" si="37"/>
        <v>29.23289355382882</v>
      </c>
      <c r="BG60" s="20">
        <f t="shared" si="7"/>
        <v>241.77233827291846</v>
      </c>
      <c r="BH60" s="59">
        <f t="shared" si="8"/>
        <v>501.2989783235962</v>
      </c>
      <c r="BI60" s="59">
        <f ca="1">AVERAGE(OFFSET($BH$3,0,0,'Données projet'!$E$11+1,1))-AVERAGE(OFFSET($H$3,0,0,'Données projet'!$E$11+1,1))</f>
        <v>289.06522051625166</v>
      </c>
      <c r="BJ60" s="59">
        <f t="shared" si="38"/>
        <v>173.19148969173838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5.4</v>
      </c>
      <c r="BY60" s="12">
        <f>IF('Données projet'!$A$114&gt;35,BY59+BX60-CG59,IF(A60&lt;'Données projet'!$A$114,$BV$205^A60,IF(A60='Données projet'!$A$114,'Données projet'!$B$114,BY59+BX60-CG59)))</f>
        <v>194.80000000000021</v>
      </c>
      <c r="BZ60" s="13">
        <f>BY60*VLOOKUP('Données projet'!$B$12,Paramètres!$A$1:$I$89,3,0)*VLOOKUP('Données projet'!$B$12,Paramètres!$A$1:$I$89,5,0)</f>
        <v>158.02176000000017</v>
      </c>
      <c r="CA60" s="13">
        <f t="shared" si="39"/>
        <v>40.395995288758165</v>
      </c>
      <c r="CB60" s="20">
        <f t="shared" si="10"/>
        <v>345.57759046125403</v>
      </c>
      <c r="CC60" s="59">
        <f t="shared" si="11"/>
        <v>605.10423051193175</v>
      </c>
      <c r="CD60" s="59">
        <f ca="1">AVERAGE(OFFSET($CC$3,0,0,'Données projet'!$E$12+1,1))-AVERAGE(OFFSET($H$3,0,0,'Données projet'!$E$12+1,1))</f>
        <v>306.06916761900357</v>
      </c>
      <c r="CE60" s="59">
        <f t="shared" si="40"/>
        <v>258.90832875500337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1.548419310294763E-5</v>
      </c>
      <c r="CN60" s="22">
        <f t="shared" si="12"/>
        <v>1.548419310294763E-5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7.2</v>
      </c>
      <c r="CT60" s="12">
        <f>IF('Données projet'!$A$140&gt;35,CT59+CS60-DB59,IF(A60&lt;'Données projet'!$A$140,$CQ$205^A60,IF(A60='Données projet'!$A$140,'Données projet'!$B$140,CT59+CS60-DB59)))</f>
        <v>199.39999999999995</v>
      </c>
      <c r="CU60" s="17">
        <f>CT60*VLOOKUP('Données projet'!$B$13,Paramètres!$A$1:$I$89,3,0)*VLOOKUP('Données projet'!$B$13,Paramètres!$A$1:$I$89,5,0)</f>
        <v>133.75751999999997</v>
      </c>
      <c r="CV60" s="13">
        <f t="shared" si="41"/>
        <v>34.863166769547625</v>
      </c>
      <c r="CW60" s="20">
        <f t="shared" si="13"/>
        <v>293.68102945696205</v>
      </c>
      <c r="CX60" s="59">
        <f t="shared" si="14"/>
        <v>553.20766950763982</v>
      </c>
      <c r="CY60" s="59">
        <f ca="1">AVERAGE(OFFSET($CX$3,0,0,'Données projet'!$E$13+1,1))-AVERAGE(OFFSET($H$3,0,0,'Données projet'!$E$13+1,1))</f>
        <v>324.58754156328285</v>
      </c>
      <c r="CZ60" s="59">
        <f t="shared" si="42"/>
        <v>226.01037731977604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9.3897735098643918E-6</v>
      </c>
      <c r="DI60" s="22">
        <f t="shared" si="15"/>
        <v>9.3897735098643918E-6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14.270329670329668</v>
      </c>
      <c r="DO60" s="12">
        <f>IF('Données projet'!$A$166&gt;35,DO59+DN60-DW59,IF(A60&lt;'Données projet'!$A$166,$DL$205^A60,IF(A60='Données projet'!$A$166,'Données projet'!$B$166,DO59+DN60-DW59)))</f>
        <v>289.55494505494505</v>
      </c>
      <c r="DP60" s="17">
        <f>DO60*VLOOKUP('Données projet'!$B$14,Paramètres!$A$1:$I$89,3,0)*VLOOKUP('Données projet'!$B$14,Paramètres!$A$1:$I$89,5,0)</f>
        <v>135.51171428571428</v>
      </c>
      <c r="DQ60" s="13">
        <f t="shared" si="43"/>
        <v>35.26686051307076</v>
      </c>
      <c r="DR60" s="20">
        <f t="shared" si="16"/>
        <v>297.43935110788397</v>
      </c>
      <c r="DS60" s="59">
        <f t="shared" si="17"/>
        <v>556.96599115856168</v>
      </c>
      <c r="DT60" s="59">
        <f ca="1">AVERAGE(OFFSET($DS$3,0,0,'Données projet'!$E$14+1,1))-AVERAGE(OFFSET($H$3,0,0,'Données projet'!$E$14+1,1))</f>
        <v>325.93182817189722</v>
      </c>
      <c r="DU60" s="59">
        <f t="shared" si="44"/>
        <v>280.04509991782709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5.6</v>
      </c>
      <c r="EJ60" s="12">
        <f>IF('Données projet'!$A$192&gt;35,EJ59+EI60-ER59,IF(A60&lt;'Données projet'!$A$192,$EG$205^A60,IF(A60='Données projet'!$A$192,'Données projet'!$B$192,EJ59+EI60-ER59)))</f>
        <v>241.1999999999997</v>
      </c>
      <c r="EK60" s="17">
        <f>EJ60*VLOOKUP('Données projet'!$B$15,Paramètres!$A$1:$I$89,3,0)*VLOOKUP('Données projet'!$B$15,Paramètres!$A$1:$I$89,5,0)</f>
        <v>191.8987199999998</v>
      </c>
      <c r="EL60" s="13">
        <f t="shared" si="45"/>
        <v>47.959489640575512</v>
      </c>
      <c r="EM60" s="20">
        <f t="shared" si="19"/>
        <v>417.7530484573353</v>
      </c>
      <c r="EN60" s="59">
        <f t="shared" si="20"/>
        <v>677.27968850801301</v>
      </c>
      <c r="EO60" s="59">
        <f ca="1">AVERAGE(OFFSET($EN$3,0,0,'Données projet'!$E$15+1,1))-AVERAGE(OFFSET($H$3,0,0,'Données projet'!$E$15+1,1))</f>
        <v>333.52903437536651</v>
      </c>
      <c r="EP60" s="59">
        <f t="shared" si="46"/>
        <v>359.47288701414777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1.7893218569641447</v>
      </c>
      <c r="EX60" s="21">
        <f>EXP(-LN(2)/2)*EX59+(1-EXP(-LN(2)/2))/(LN(2)/2)*ER60*EU60*VLOOKUP('Données projet'!$B$15,Paramètres!$A$1:$I$89,3,0)*0.475*44/12</f>
        <v>2.1767202227412909E-5</v>
      </c>
      <c r="EY60" s="22">
        <f t="shared" si="21"/>
        <v>1.789343624166372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10.66307692307692</v>
      </c>
      <c r="FE60" s="12">
        <f>IF('Données projet'!$A$218&gt;35,FE59+FD60-FM59,IF(A60&lt;'Données projet'!$A$218,$FB$205^A60,IF(A60='Données projet'!$A$218,'Données projet'!$B$218,FE59+FD60-FM59)))</f>
        <v>310.43384615384616</v>
      </c>
      <c r="FF60" s="17">
        <f>FE60*VLOOKUP('Données projet'!$B$16,Paramètres!$A$1:$I$89,3,0)*VLOOKUP('Données projet'!$B$16,Paramètres!$A$1:$I$89,5,0)</f>
        <v>185.63944000000001</v>
      </c>
      <c r="FG60" s="13">
        <f t="shared" si="47"/>
        <v>46.574596113982338</v>
      </c>
      <c r="FH60" s="20">
        <f t="shared" si="22"/>
        <v>404.43944623185251</v>
      </c>
      <c r="FI60" s="59">
        <f t="shared" si="23"/>
        <v>663.96608628253023</v>
      </c>
      <c r="FJ60" s="59">
        <f ca="1">AVERAGE(OFFSET($FI$3,0,0,'Données projet'!$E$16+1,1))-AVERAGE(OFFSET($H$3,0,0,'Données projet'!$E$16+1,1))</f>
        <v>313.26988717307376</v>
      </c>
      <c r="FK60" s="59">
        <f t="shared" si="48"/>
        <v>248.17359813993201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1.365530386816372</v>
      </c>
      <c r="FR60" s="21">
        <f>EXP(-LN(2)/25)*FR59+(1-EXP(-LN(2)/25))/(LN(2)/25)*Calculateur!FM60*Calculateur!FO60*VLOOKUP('Données projet'!$B$16,Paramètres!$A$1:$I$89,3,0)*0.475*44/12</f>
        <v>3.5662744693022104</v>
      </c>
      <c r="FS60" s="21">
        <f>EXP(-LN(2)/2)*FS59+(1-EXP(-LN(2)/2))/(LN(2)/2)*FM60*FP60*VLOOKUP('Données projet'!$B$16,Paramètres!$A$1:$I$89,3,0)*0.475*44/12</f>
        <v>3.6341900636223281E-4</v>
      </c>
      <c r="FT60" s="22">
        <f t="shared" si="24"/>
        <v>4.932168275124944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3.9</v>
      </c>
      <c r="FZ60" s="12">
        <f>IF('Données projet'!$A$244&gt;35,FZ59+FY60-GH59,IF(A60&lt;'Données projet'!$A$244,$FW$205^A60,IF(A60='Données projet'!$A$244,'Données projet'!$B$244,FZ59+FY60-GH59)))</f>
        <v>113.29999999999997</v>
      </c>
      <c r="GA60" s="17">
        <f>FZ60*VLOOKUP('Données projet'!$B$17,Paramètres!$A$1:$I$89,3,0)*VLOOKUP('Données projet'!$B$17,Paramètres!$A$1:$I$89,5,0)</f>
        <v>121.95611999999997</v>
      </c>
      <c r="GB60" s="13">
        <f t="shared" si="49"/>
        <v>32.130801927792071</v>
      </c>
      <c r="GC60" s="20">
        <f t="shared" si="25"/>
        <v>268.3680556909045</v>
      </c>
      <c r="GD60" s="59">
        <f t="shared" si="26"/>
        <v>527.89469574158215</v>
      </c>
      <c r="GE60" s="59">
        <f ca="1">AVERAGE(OFFSET($GD$3,0,0,'Données projet'!$E$17+1,1))-AVERAGE(OFFSET($H$3,0,0,'Données projet'!$E$17+1,1))</f>
        <v>313.51355235711543</v>
      </c>
      <c r="GF60" s="59">
        <f t="shared" si="50"/>
        <v>186.0840067781198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0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0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7.2</v>
      </c>
      <c r="N61" s="13">
        <f>IF('Données projet'!$A$36&gt;35,N60+M61-V60,IF(A61&lt;'Données projet'!$A$36,$K$205^A61,IF(A61='Données projet'!$A$36,'Données projet'!$B$36,N60+M61-V60)))</f>
        <v>206.59999999999994</v>
      </c>
      <c r="O61" s="13">
        <f>N61*VLOOKUP('Données projet'!$B$9,Paramètres!$A$1:$I$89,3,0)*VLOOKUP('Données projet'!$B$9,Paramètres!$A$1:$I$89,5,0)</f>
        <v>209.49239999999995</v>
      </c>
      <c r="P61" s="13">
        <f t="shared" si="33"/>
        <v>51.824646708770558</v>
      </c>
      <c r="Q61" s="20">
        <f t="shared" si="53"/>
        <v>455.12718968444187</v>
      </c>
      <c r="R61" s="59">
        <f t="shared" si="0"/>
        <v>715.2403002831303</v>
      </c>
      <c r="S61" s="59">
        <f ca="1">AVERAGE(OFFSET($R$3,0,0,'Données projet'!$E$9+1,1))-AVERAGE(OFFSET($H$3,0,0,'Données projet'!$E$9+1,1))</f>
        <v>452.67426184967104</v>
      </c>
      <c r="T61" s="59">
        <f t="shared" si="34"/>
        <v>310.47823616327639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5.4487179487179471</v>
      </c>
      <c r="AI61" s="13">
        <f>IF('Données projet'!$A$62&gt;35,AI60+AH61-AQ60,IF(A61&lt;'Données projet'!$A$62,$AF$205^A61,IF(A61='Données projet'!$A$62,'Données projet'!$B$62,AI60+AH61-AQ60)))</f>
        <v>222.43589743589754</v>
      </c>
      <c r="AJ61" s="13">
        <f>AI61*VLOOKUP('Données projet'!$B$10,Paramètres!$A$1:$I$89,3,0)*VLOOKUP('Données projet'!$B$10,Paramètres!$A$1:$I$89,5,0)</f>
        <v>232.49000000000012</v>
      </c>
      <c r="AK61" s="13">
        <f t="shared" si="35"/>
        <v>56.820739874502536</v>
      </c>
      <c r="AL61" s="20">
        <f t="shared" si="4"/>
        <v>503.88287194809209</v>
      </c>
      <c r="AM61" s="59">
        <f t="shared" si="5"/>
        <v>763.99598254678051</v>
      </c>
      <c r="AN61" s="59">
        <f ca="1">AVERAGE(OFFSET($AM$3,0,0,'Données projet'!$E$10+1,1))-AVERAGE(OFFSET($H$3,0,0,'Données projet'!$E$10+1,1))</f>
        <v>528.45201982036087</v>
      </c>
      <c r="AO61" s="59">
        <f t="shared" si="36"/>
        <v>321.23004033257985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6.0287764814911871E-6</v>
      </c>
      <c r="AX61" s="21">
        <f t="shared" si="6"/>
        <v>6.0287764814911871E-6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3.9</v>
      </c>
      <c r="BD61" s="12">
        <f>IF('Données projet'!$A$88&gt;35,BD60+BC61-BL60,IF(A61&lt;'Données projet'!$A$88,$BA$205^A61,IF(A61='Données projet'!$A$88,'Données projet'!$B$88,BD60+BC61-BL60)))</f>
        <v>117.19999999999997</v>
      </c>
      <c r="BE61" s="13">
        <f>BD61*VLOOKUP('Données projet'!$B$11,Paramètres!$A$1:$I$89,3,0)*VLOOKUP('Données projet'!$B$11,Paramètres!$A$1:$I$89,5,0)</f>
        <v>113.35583999999999</v>
      </c>
      <c r="BF61" s="13">
        <f t="shared" si="37"/>
        <v>30.120258480863807</v>
      </c>
      <c r="BG61" s="20">
        <f t="shared" si="7"/>
        <v>249.88753818750442</v>
      </c>
      <c r="BH61" s="59">
        <f t="shared" si="8"/>
        <v>510.00064878619287</v>
      </c>
      <c r="BI61" s="59">
        <f ca="1">AVERAGE(OFFSET($BH$3,0,0,'Données projet'!$E$11+1,1))-AVERAGE(OFFSET($H$3,0,0,'Données projet'!$E$11+1,1))</f>
        <v>289.06522051625166</v>
      </c>
      <c r="BJ61" s="59">
        <f t="shared" si="38"/>
        <v>173.19148969173838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5.4</v>
      </c>
      <c r="BY61" s="12">
        <f>IF('Données projet'!$A$114&gt;35,BY60+BX61-CG60,IF(A61&lt;'Données projet'!$A$114,$BV$205^A61,IF(A61='Données projet'!$A$114,'Données projet'!$B$114,BY60+BX61-CG60)))</f>
        <v>200.20000000000022</v>
      </c>
      <c r="BZ61" s="13">
        <f>BY61*VLOOKUP('Données projet'!$B$12,Paramètres!$A$1:$I$89,3,0)*VLOOKUP('Données projet'!$B$12,Paramètres!$A$1:$I$89,5,0)</f>
        <v>162.40224000000018</v>
      </c>
      <c r="CA61" s="13">
        <f t="shared" si="39"/>
        <v>41.383876507887827</v>
      </c>
      <c r="CB61" s="20">
        <f t="shared" si="10"/>
        <v>354.92748625123824</v>
      </c>
      <c r="CC61" s="59">
        <f t="shared" si="11"/>
        <v>615.04059684992671</v>
      </c>
      <c r="CD61" s="59">
        <f ca="1">AVERAGE(OFFSET($CC$3,0,0,'Données projet'!$E$12+1,1))-AVERAGE(OFFSET($H$3,0,0,'Données projet'!$E$12+1,1))</f>
        <v>306.06916761900357</v>
      </c>
      <c r="CE61" s="59">
        <f t="shared" si="40"/>
        <v>258.90832875500337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1.0948977944296238E-5</v>
      </c>
      <c r="CN61" s="22">
        <f t="shared" si="12"/>
        <v>1.0948977944296238E-5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7.2</v>
      </c>
      <c r="CT61" s="12">
        <f>IF('Données projet'!$A$140&gt;35,CT60+CS61-DB60,IF(A61&lt;'Données projet'!$A$140,$CQ$205^A61,IF(A61='Données projet'!$A$140,'Données projet'!$B$140,CT60+CS61-DB60)))</f>
        <v>206.59999999999994</v>
      </c>
      <c r="CU61" s="17">
        <f>CT61*VLOOKUP('Données projet'!$B$13,Paramètres!$A$1:$I$89,3,0)*VLOOKUP('Données projet'!$B$13,Paramètres!$A$1:$I$89,5,0)</f>
        <v>138.58727999999996</v>
      </c>
      <c r="CV61" s="13">
        <f t="shared" si="41"/>
        <v>35.973180397000277</v>
      </c>
      <c r="CW61" s="20">
        <f t="shared" si="13"/>
        <v>304.02613519144205</v>
      </c>
      <c r="CX61" s="59">
        <f t="shared" si="14"/>
        <v>564.13924579013042</v>
      </c>
      <c r="CY61" s="59">
        <f ca="1">AVERAGE(OFFSET($CX$3,0,0,'Données projet'!$E$13+1,1))-AVERAGE(OFFSET($H$3,0,0,'Données projet'!$E$13+1,1))</f>
        <v>324.58754156328285</v>
      </c>
      <c r="CZ61" s="59">
        <f t="shared" si="42"/>
        <v>226.01037731977604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6.6395725226309209E-6</v>
      </c>
      <c r="DI61" s="22">
        <f t="shared" si="15"/>
        <v>6.6395725226309209E-6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14.270329670329668</v>
      </c>
      <c r="DO61" s="12">
        <f>IF('Données projet'!$A$166&gt;35,DO60+DN61-DW60,IF(A61&lt;'Données projet'!$A$166,$DL$205^A61,IF(A61='Données projet'!$A$166,'Données projet'!$B$166,DO60+DN61-DW60)))</f>
        <v>303.82527472527471</v>
      </c>
      <c r="DP61" s="17">
        <f>DO61*VLOOKUP('Données projet'!$B$14,Paramètres!$A$1:$I$89,3,0)*VLOOKUP('Données projet'!$B$14,Paramètres!$A$1:$I$89,5,0)</f>
        <v>142.19022857142855</v>
      </c>
      <c r="DQ61" s="13">
        <f t="shared" si="43"/>
        <v>36.798301893816983</v>
      </c>
      <c r="DR61" s="20">
        <f t="shared" si="16"/>
        <v>311.7383572269693</v>
      </c>
      <c r="DS61" s="59">
        <f t="shared" si="17"/>
        <v>571.85146782565766</v>
      </c>
      <c r="DT61" s="59">
        <f ca="1">AVERAGE(OFFSET($DS$3,0,0,'Données projet'!$E$14+1,1))-AVERAGE(OFFSET($H$3,0,0,'Données projet'!$E$14+1,1))</f>
        <v>325.93182817189722</v>
      </c>
      <c r="DU61" s="59">
        <f t="shared" si="44"/>
        <v>280.04509991782709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5.6</v>
      </c>
      <c r="EJ61" s="12">
        <f>IF('Données projet'!$A$192&gt;35,EJ60+EI61-ER60,IF(A61&lt;'Données projet'!$A$192,$EG$205^A61,IF(A61='Données projet'!$A$192,'Données projet'!$B$192,EJ60+EI61-ER60)))</f>
        <v>246.7999999999997</v>
      </c>
      <c r="EK61" s="17">
        <f>EJ61*VLOOKUP('Données projet'!$B$15,Paramètres!$A$1:$I$89,3,0)*VLOOKUP('Données projet'!$B$15,Paramètres!$A$1:$I$89,5,0)</f>
        <v>196.35407999999978</v>
      </c>
      <c r="EL61" s="13">
        <f t="shared" si="45"/>
        <v>48.942048927099485</v>
      </c>
      <c r="EM61" s="20">
        <f t="shared" si="19"/>
        <v>427.22409121469786</v>
      </c>
      <c r="EN61" s="59">
        <f t="shared" si="20"/>
        <v>687.33720181338629</v>
      </c>
      <c r="EO61" s="59">
        <f ca="1">AVERAGE(OFFSET($EN$3,0,0,'Données projet'!$E$15+1,1))-AVERAGE(OFFSET($H$3,0,0,'Données projet'!$E$15+1,1))</f>
        <v>333.52903437536651</v>
      </c>
      <c r="EP61" s="59">
        <f t="shared" si="46"/>
        <v>359.47288701414777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1.7403927566891133</v>
      </c>
      <c r="EX61" s="21">
        <f>EXP(-LN(2)/2)*EX60+(1-EXP(-LN(2)/2))/(LN(2)/2)*ER61*EU61*VLOOKUP('Données projet'!$B$15,Paramètres!$A$1:$I$89,3,0)*0.475*44/12</f>
        <v>1.5391736302462589E-5</v>
      </c>
      <c r="EY61" s="22">
        <f t="shared" si="21"/>
        <v>1.7404081484254157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10.66307692307692</v>
      </c>
      <c r="FE61" s="12">
        <f>IF('Données projet'!$A$218&gt;35,FE60+FD61-FM60,IF(A61&lt;'Données projet'!$A$218,$FB$205^A61,IF(A61='Données projet'!$A$218,'Données projet'!$B$218,FE60+FD61-FM60)))</f>
        <v>321.09692307692308</v>
      </c>
      <c r="FF61" s="17">
        <f>FE61*VLOOKUP('Données projet'!$B$16,Paramètres!$A$1:$I$89,3,0)*VLOOKUP('Données projet'!$B$16,Paramètres!$A$1:$I$89,5,0)</f>
        <v>192.01596000000001</v>
      </c>
      <c r="FG61" s="13">
        <f t="shared" si="47"/>
        <v>47.985378835949042</v>
      </c>
      <c r="FH61" s="20">
        <f t="shared" si="22"/>
        <v>418.00233180594455</v>
      </c>
      <c r="FI61" s="59">
        <f t="shared" si="23"/>
        <v>678.11544240463297</v>
      </c>
      <c r="FJ61" s="59">
        <f ca="1">AVERAGE(OFFSET($FI$3,0,0,'Données projet'!$E$16+1,1))-AVERAGE(OFFSET($H$3,0,0,'Données projet'!$E$16+1,1))</f>
        <v>313.26988717307376</v>
      </c>
      <c r="FK61" s="59">
        <f t="shared" si="48"/>
        <v>248.17359813993201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1.3387531688221976</v>
      </c>
      <c r="FR61" s="21">
        <f>EXP(-LN(2)/25)*FR60+(1-EXP(-LN(2)/25))/(LN(2)/25)*Calculateur!FM61*Calculateur!FO61*VLOOKUP('Données projet'!$B$16,Paramètres!$A$1:$I$89,3,0)*0.475*44/12</f>
        <v>3.4687545063969178</v>
      </c>
      <c r="FS61" s="21">
        <f>EXP(-LN(2)/2)*FS60+(1-EXP(-LN(2)/2))/(LN(2)/2)*FM61*FP61*VLOOKUP('Données projet'!$B$16,Paramètres!$A$1:$I$89,3,0)*0.475*44/12</f>
        <v>2.5697604381081187E-4</v>
      </c>
      <c r="FT61" s="22">
        <f t="shared" si="24"/>
        <v>4.807764651262926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3.9</v>
      </c>
      <c r="FZ61" s="12">
        <f>IF('Données projet'!$A$244&gt;35,FZ60+FY61-GH60,IF(A61&lt;'Données projet'!$A$244,$FW$205^A61,IF(A61='Données projet'!$A$244,'Données projet'!$B$244,FZ60+FY61-GH60)))</f>
        <v>117.19999999999997</v>
      </c>
      <c r="GA61" s="17">
        <f>FZ61*VLOOKUP('Données projet'!$B$17,Paramètres!$A$1:$I$89,3,0)*VLOOKUP('Données projet'!$B$17,Paramètres!$A$1:$I$89,5,0)</f>
        <v>126.15407999999998</v>
      </c>
      <c r="GB61" s="13">
        <f t="shared" si="49"/>
        <v>33.106132907454729</v>
      </c>
      <c r="GC61" s="20">
        <f t="shared" si="25"/>
        <v>277.37820414715026</v>
      </c>
      <c r="GD61" s="59">
        <f t="shared" si="26"/>
        <v>537.49131474583874</v>
      </c>
      <c r="GE61" s="59">
        <f ca="1">AVERAGE(OFFSET($GD$3,0,0,'Données projet'!$E$17+1,1))-AVERAGE(OFFSET($H$3,0,0,'Données projet'!$E$17+1,1))</f>
        <v>313.51355235711543</v>
      </c>
      <c r="GF61" s="59">
        <f t="shared" si="50"/>
        <v>186.0840067781198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0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0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7.2</v>
      </c>
      <c r="N62" s="13">
        <f>IF('Données projet'!$A$36&gt;35,N61+M62-V61,IF(A62&lt;'Données projet'!$A$36,$K$205^A62,IF(A62='Données projet'!$A$36,'Données projet'!$B$36,N61+M62-V61)))</f>
        <v>213.79999999999993</v>
      </c>
      <c r="O62" s="13">
        <f>N62*VLOOKUP('Données projet'!$B$9,Paramètres!$A$1:$I$89,3,0)*VLOOKUP('Données projet'!$B$9,Paramètres!$A$1:$I$89,5,0)</f>
        <v>216.79319999999996</v>
      </c>
      <c r="P62" s="13">
        <f t="shared" si="33"/>
        <v>53.417309071627834</v>
      </c>
      <c r="Q62" s="20">
        <f t="shared" si="53"/>
        <v>470.61663663308497</v>
      </c>
      <c r="R62" s="59">
        <f t="shared" si="0"/>
        <v>731.30604382692775</v>
      </c>
      <c r="S62" s="59">
        <f ca="1">AVERAGE(OFFSET($R$3,0,0,'Données projet'!$E$9+1,1))-AVERAGE(OFFSET($H$3,0,0,'Données projet'!$E$9+1,1))</f>
        <v>452.67426184967104</v>
      </c>
      <c r="T62" s="59">
        <f t="shared" si="34"/>
        <v>310.47823616327639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5.4487179487179471</v>
      </c>
      <c r="AI62" s="13">
        <f>IF('Données projet'!$A$62&gt;35,AI61+AH62-AQ61,IF(A62&lt;'Données projet'!$A$62,$AF$205^A62,IF(A62='Données projet'!$A$62,'Données projet'!$B$62,AI61+AH62-AQ61)))</f>
        <v>227.8846153846155</v>
      </c>
      <c r="AJ62" s="13">
        <f>AI62*VLOOKUP('Données projet'!$B$10,Paramètres!$A$1:$I$89,3,0)*VLOOKUP('Données projet'!$B$10,Paramètres!$A$1:$I$89,5,0)</f>
        <v>238.18500000000017</v>
      </c>
      <c r="AK62" s="13">
        <f t="shared" si="35"/>
        <v>58.048852028613993</v>
      </c>
      <c r="AL62" s="20">
        <f t="shared" si="4"/>
        <v>515.94062561650298</v>
      </c>
      <c r="AM62" s="59">
        <f t="shared" si="5"/>
        <v>776.63003281034571</v>
      </c>
      <c r="AN62" s="59">
        <f ca="1">AVERAGE(OFFSET($AM$3,0,0,'Données projet'!$E$10+1,1))-AVERAGE(OFFSET($H$3,0,0,'Données projet'!$E$10+1,1))</f>
        <v>528.45201982036087</v>
      </c>
      <c r="AO62" s="59">
        <f t="shared" si="36"/>
        <v>321.23004033257985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4.2629887323203926E-6</v>
      </c>
      <c r="AX62" s="21">
        <f t="shared" si="6"/>
        <v>4.2629887323203926E-6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3.9</v>
      </c>
      <c r="BD62" s="12">
        <f>IF('Données projet'!$A$88&gt;35,BD61+BC62-BL61,IF(A62&lt;'Données projet'!$A$88,$BA$205^A62,IF(A62='Données projet'!$A$88,'Données projet'!$B$88,BD61+BC62-BL61)))</f>
        <v>121.09999999999998</v>
      </c>
      <c r="BE62" s="13">
        <f>BD62*VLOOKUP('Données projet'!$B$11,Paramètres!$A$1:$I$89,3,0)*VLOOKUP('Données projet'!$B$11,Paramètres!$A$1:$I$89,5,0)</f>
        <v>117.12791999999999</v>
      </c>
      <c r="BF62" s="13">
        <f t="shared" si="37"/>
        <v>31.004192286414842</v>
      </c>
      <c r="BG62" s="20">
        <f t="shared" si="7"/>
        <v>257.9967622321725</v>
      </c>
      <c r="BH62" s="59">
        <f t="shared" si="8"/>
        <v>518.68616942601534</v>
      </c>
      <c r="BI62" s="59">
        <f ca="1">AVERAGE(OFFSET($BH$3,0,0,'Données projet'!$E$11+1,1))-AVERAGE(OFFSET($H$3,0,0,'Données projet'!$E$11+1,1))</f>
        <v>289.06522051625166</v>
      </c>
      <c r="BJ62" s="59">
        <f t="shared" si="38"/>
        <v>173.19148969173838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5.4</v>
      </c>
      <c r="BY62" s="12">
        <f>IF('Données projet'!$A$114&gt;35,BY61+BX62-CG61,IF(A62&lt;'Données projet'!$A$114,$BV$205^A62,IF(A62='Données projet'!$A$114,'Données projet'!$B$114,BY61+BX62-CG61)))</f>
        <v>205.60000000000022</v>
      </c>
      <c r="BZ62" s="13">
        <f>BY62*VLOOKUP('Données projet'!$B$12,Paramètres!$A$1:$I$89,3,0)*VLOOKUP('Données projet'!$B$12,Paramètres!$A$1:$I$89,5,0)</f>
        <v>166.78272000000018</v>
      </c>
      <c r="CA62" s="13">
        <f t="shared" si="39"/>
        <v>42.368660582590017</v>
      </c>
      <c r="CB62" s="20">
        <f t="shared" si="10"/>
        <v>364.27198784801129</v>
      </c>
      <c r="CC62" s="59">
        <f t="shared" si="11"/>
        <v>624.96139504185408</v>
      </c>
      <c r="CD62" s="59">
        <f ca="1">AVERAGE(OFFSET($CC$3,0,0,'Données projet'!$E$12+1,1))-AVERAGE(OFFSET($H$3,0,0,'Données projet'!$E$12+1,1))</f>
        <v>306.06916761900357</v>
      </c>
      <c r="CE62" s="59">
        <f t="shared" si="40"/>
        <v>258.90832875500337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7.7420965514738148E-6</v>
      </c>
      <c r="CN62" s="22">
        <f t="shared" si="12"/>
        <v>7.7420965514738148E-6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7.2</v>
      </c>
      <c r="CT62" s="12">
        <f>IF('Données projet'!$A$140&gt;35,CT61+CS62-DB61,IF(A62&lt;'Données projet'!$A$140,$CQ$205^A62,IF(A62='Données projet'!$A$140,'Données projet'!$B$140,CT61+CS62-DB61)))</f>
        <v>213.79999999999993</v>
      </c>
      <c r="CU62" s="17">
        <f>CT62*VLOOKUP('Données projet'!$B$13,Paramètres!$A$1:$I$89,3,0)*VLOOKUP('Données projet'!$B$13,Paramètres!$A$1:$I$89,5,0)</f>
        <v>143.41703999999996</v>
      </c>
      <c r="CV62" s="13">
        <f t="shared" si="41"/>
        <v>37.078699375499774</v>
      </c>
      <c r="CW62" s="20">
        <f t="shared" si="13"/>
        <v>314.363412745662</v>
      </c>
      <c r="CX62" s="59">
        <f t="shared" si="14"/>
        <v>575.05281993950484</v>
      </c>
      <c r="CY62" s="59">
        <f ca="1">AVERAGE(OFFSET($CX$3,0,0,'Données projet'!$E$13+1,1))-AVERAGE(OFFSET($H$3,0,0,'Données projet'!$E$13+1,1))</f>
        <v>324.58754156328285</v>
      </c>
      <c r="CZ62" s="59">
        <f t="shared" si="42"/>
        <v>226.01037731977604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4.6948867549321959E-6</v>
      </c>
      <c r="DI62" s="22">
        <f t="shared" si="15"/>
        <v>4.6948867549321959E-6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14.270329670329668</v>
      </c>
      <c r="DO62" s="12">
        <f>IF('Données projet'!$A$166&gt;35,DO61+DN62-DW61,IF(A62&lt;'Données projet'!$A$166,$DL$205^A62,IF(A62='Données projet'!$A$166,'Données projet'!$B$166,DO61+DN62-DW61)))</f>
        <v>318.09560439560437</v>
      </c>
      <c r="DP62" s="17">
        <f>DO62*VLOOKUP('Données projet'!$B$14,Paramètres!$A$1:$I$89,3,0)*VLOOKUP('Données projet'!$B$14,Paramètres!$A$1:$I$89,5,0)</f>
        <v>148.86874285714285</v>
      </c>
      <c r="DQ62" s="13">
        <f t="shared" si="43"/>
        <v>38.321390217280914</v>
      </c>
      <c r="DR62" s="20">
        <f t="shared" si="16"/>
        <v>326.02281510462137</v>
      </c>
      <c r="DS62" s="59">
        <f t="shared" si="17"/>
        <v>586.71222229846421</v>
      </c>
      <c r="DT62" s="59">
        <f ca="1">AVERAGE(OFFSET($DS$3,0,0,'Données projet'!$E$14+1,1))-AVERAGE(OFFSET($H$3,0,0,'Données projet'!$E$14+1,1))</f>
        <v>325.93182817189722</v>
      </c>
      <c r="DU62" s="59">
        <f t="shared" si="44"/>
        <v>280.04509991782709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5.6</v>
      </c>
      <c r="EJ62" s="12">
        <f>IF('Données projet'!$A$192&gt;35,EJ61+EI62-ER61,IF(A62&lt;'Données projet'!$A$192,$EG$205^A62,IF(A62='Données projet'!$A$192,'Données projet'!$B$192,EJ61+EI62-ER61)))</f>
        <v>252.39999999999969</v>
      </c>
      <c r="EK62" s="17">
        <f>EJ62*VLOOKUP('Données projet'!$B$15,Paramètres!$A$1:$I$89,3,0)*VLOOKUP('Données projet'!$B$15,Paramètres!$A$1:$I$89,5,0)</f>
        <v>200.80943999999977</v>
      </c>
      <c r="EL62" s="13">
        <f t="shared" si="45"/>
        <v>49.922016299484262</v>
      </c>
      <c r="EM62" s="20">
        <f t="shared" si="19"/>
        <v>436.69061972160131</v>
      </c>
      <c r="EN62" s="59">
        <f t="shared" si="20"/>
        <v>697.38002691544409</v>
      </c>
      <c r="EO62" s="59">
        <f ca="1">AVERAGE(OFFSET($EN$3,0,0,'Données projet'!$E$15+1,1))-AVERAGE(OFFSET($H$3,0,0,'Données projet'!$E$15+1,1))</f>
        <v>333.52903437536651</v>
      </c>
      <c r="EP62" s="59">
        <f t="shared" si="46"/>
        <v>359.47288701414777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1.6928016252341722</v>
      </c>
      <c r="EX62" s="21">
        <f>EXP(-LN(2)/2)*EX61+(1-EXP(-LN(2)/2))/(LN(2)/2)*ER62*EU62*VLOOKUP('Données projet'!$B$15,Paramètres!$A$1:$I$89,3,0)*0.475*44/12</f>
        <v>1.0883601113706455E-5</v>
      </c>
      <c r="EY62" s="22">
        <f t="shared" si="21"/>
        <v>1.6928125088352859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10.66307692307692</v>
      </c>
      <c r="FE62" s="12">
        <f>IF('Données projet'!$A$218&gt;35,FE61+FD62-FM61,IF(A62&lt;'Données projet'!$A$218,$FB$205^A62,IF(A62='Données projet'!$A$218,'Données projet'!$B$218,FE61+FD62-FM61)))</f>
        <v>331.76</v>
      </c>
      <c r="FF62" s="17">
        <f>FE62*VLOOKUP('Données projet'!$B$16,Paramètres!$A$1:$I$89,3,0)*VLOOKUP('Données projet'!$B$16,Paramètres!$A$1:$I$89,5,0)</f>
        <v>198.39248000000001</v>
      </c>
      <c r="FG62" s="13">
        <f t="shared" si="47"/>
        <v>49.39071772551025</v>
      </c>
      <c r="FH62" s="20">
        <f t="shared" si="22"/>
        <v>431.55573603859699</v>
      </c>
      <c r="FI62" s="59">
        <f t="shared" si="23"/>
        <v>692.24514323243977</v>
      </c>
      <c r="FJ62" s="59">
        <f ca="1">AVERAGE(OFFSET($FI$3,0,0,'Données projet'!$E$16+1,1))-AVERAGE(OFFSET($H$3,0,0,'Données projet'!$E$16+1,1))</f>
        <v>313.26988717307376</v>
      </c>
      <c r="FK62" s="59">
        <f t="shared" si="48"/>
        <v>248.17359813993201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1.3125010357403988</v>
      </c>
      <c r="FR62" s="21">
        <f>EXP(-LN(2)/25)*FR61+(1-EXP(-LN(2)/25))/(LN(2)/25)*Calculateur!FM62*Calculateur!FO62*VLOOKUP('Données projet'!$B$16,Paramètres!$A$1:$I$89,3,0)*0.475*44/12</f>
        <v>3.3739012320056228</v>
      </c>
      <c r="FS62" s="21">
        <f>EXP(-LN(2)/2)*FS61+(1-EXP(-LN(2)/2))/(LN(2)/2)*FM62*FP62*VLOOKUP('Données projet'!$B$16,Paramètres!$A$1:$I$89,3,0)*0.475*44/12</f>
        <v>1.8170950318111641E-4</v>
      </c>
      <c r="FT62" s="22">
        <f t="shared" si="24"/>
        <v>4.6865839772492031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3.9</v>
      </c>
      <c r="FZ62" s="12">
        <f>IF('Données projet'!$A$244&gt;35,FZ61+FY62-GH61,IF(A62&lt;'Données projet'!$A$244,$FW$205^A62,IF(A62='Données projet'!$A$244,'Données projet'!$B$244,FZ61+FY62-GH61)))</f>
        <v>121.09999999999998</v>
      </c>
      <c r="GA62" s="17">
        <f>FZ62*VLOOKUP('Données projet'!$B$17,Paramètres!$A$1:$I$89,3,0)*VLOOKUP('Données projet'!$B$17,Paramètres!$A$1:$I$89,5,0)</f>
        <v>130.35203999999999</v>
      </c>
      <c r="GB62" s="13">
        <f t="shared" si="49"/>
        <v>34.077692632500167</v>
      </c>
      <c r="GC62" s="20">
        <f t="shared" si="25"/>
        <v>286.38178433493778</v>
      </c>
      <c r="GD62" s="59">
        <f t="shared" si="26"/>
        <v>547.07119152878056</v>
      </c>
      <c r="GE62" s="59">
        <f ca="1">AVERAGE(OFFSET($GD$3,0,0,'Données projet'!$E$17+1,1))-AVERAGE(OFFSET($H$3,0,0,'Données projet'!$E$17+1,1))</f>
        <v>313.51355235711543</v>
      </c>
      <c r="GF62" s="59">
        <f t="shared" si="50"/>
        <v>186.0840067781198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0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0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221</v>
      </c>
      <c r="L63" s="12">
        <f>VLOOKUP(A63,'Données projet'!$A$35:$I$55,9,0)</f>
        <v>7.2</v>
      </c>
      <c r="M63" s="12">
        <f t="array" ref="M63">INDEX(L:L,MIN(IF(ISNUMBER(L63:L259),ROW(L63:L259),"")))</f>
        <v>7.2</v>
      </c>
      <c r="N63" s="13">
        <f>IF('Données projet'!$A$36&gt;35,N62+M63-V62,IF(A63&lt;'Données projet'!$A$36,$K$205^A63,IF(A63='Données projet'!$A$36,'Données projet'!$B$36,N62+M63-V62)))</f>
        <v>220.99999999999991</v>
      </c>
      <c r="O63" s="13">
        <f>N63*VLOOKUP('Données projet'!$B$9,Paramètres!$A$1:$I$89,3,0)*VLOOKUP('Données projet'!$B$9,Paramètres!$A$1:$I$89,5,0)</f>
        <v>224.09399999999994</v>
      </c>
      <c r="P63" s="13">
        <f t="shared" si="33"/>
        <v>55.003739293082667</v>
      </c>
      <c r="Q63" s="20">
        <f t="shared" si="53"/>
        <v>486.09522926878554</v>
      </c>
      <c r="R63" s="59">
        <f t="shared" si="0"/>
        <v>747.35093560026303</v>
      </c>
      <c r="S63" s="59">
        <f ca="1">AVERAGE(OFFSET($R$3,0,0,'Données projet'!$E$9+1,1))-AVERAGE(OFFSET($H$3,0,0,'Données projet'!$E$9+1,1))</f>
        <v>452.67426184967104</v>
      </c>
      <c r="T63" s="59">
        <f t="shared" si="34"/>
        <v>310.47823616327639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44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233.33333333333331</v>
      </c>
      <c r="AG63" s="12">
        <f>VLOOKUP(A63,'Données projet'!$A$61:$I$81,9,0)</f>
        <v>5.4487179487179471</v>
      </c>
      <c r="AH63" s="12">
        <f t="array" ref="AH63">INDEX(AG:AG,MIN(IF(ISNUMBER(AG63:AG259),ROW(AG63:AG259),"")))</f>
        <v>5.4487179487179471</v>
      </c>
      <c r="AI63" s="13">
        <f>IF('Données projet'!$A$62&gt;35,AI62+AH63-AQ62,IF(A63&lt;'Données projet'!$A$62,$AF$205^A63,IF(A63='Données projet'!$A$62,'Données projet'!$B$62,AI62+AH63-AQ62)))</f>
        <v>233.33333333333346</v>
      </c>
      <c r="AJ63" s="13">
        <f>AI63*VLOOKUP('Données projet'!$B$10,Paramètres!$A$1:$I$89,3,0)*VLOOKUP('Données projet'!$B$10,Paramètres!$A$1:$I$89,5,0)</f>
        <v>243.88000000000017</v>
      </c>
      <c r="AK63" s="13">
        <f t="shared" si="35"/>
        <v>59.273550604504607</v>
      </c>
      <c r="AL63" s="20">
        <f t="shared" si="4"/>
        <v>527.99243396951238</v>
      </c>
      <c r="AM63" s="59">
        <f t="shared" si="5"/>
        <v>789.24814030098992</v>
      </c>
      <c r="AN63" s="59">
        <f ca="1">AVERAGE(OFFSET($AM$3,0,0,'Données projet'!$E$10+1,1))-AVERAGE(OFFSET($H$3,0,0,'Données projet'!$E$10+1,1))</f>
        <v>528.45201982036087</v>
      </c>
      <c r="AO63" s="59">
        <f t="shared" si="36"/>
        <v>321.23004033257985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24.358974358974358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3.0143882407455936E-6</v>
      </c>
      <c r="AX63" s="21">
        <f t="shared" si="6"/>
        <v>3.0143882407455936E-6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125</v>
      </c>
      <c r="BB63" s="12">
        <f>VLOOKUP(A63,'Données projet'!$A$87:$I$107,9,0)</f>
        <v>3.9</v>
      </c>
      <c r="BC63" s="12">
        <f t="array" ref="BC63">INDEX(BB:BB,MIN(IF(ISNUMBER(BB63:BB259),ROW(BB63:BB259),"")))</f>
        <v>3.9</v>
      </c>
      <c r="BD63" s="12">
        <f>IF('Données projet'!$A$88&gt;35,BD62+BC63-BL62,IF(A63&lt;'Données projet'!$A$88,$BA$205^A63,IF(A63='Données projet'!$A$88,'Données projet'!$B$88,BD62+BC63-BL62)))</f>
        <v>124.99999999999999</v>
      </c>
      <c r="BE63" s="13">
        <f>BD63*VLOOKUP('Données projet'!$B$11,Paramètres!$A$1:$I$89,3,0)*VLOOKUP('Données projet'!$B$11,Paramètres!$A$1:$I$89,5,0)</f>
        <v>120.89999999999998</v>
      </c>
      <c r="BF63" s="13">
        <f t="shared" si="37"/>
        <v>31.884818143351602</v>
      </c>
      <c r="BG63" s="20">
        <f t="shared" si="7"/>
        <v>266.10022493300397</v>
      </c>
      <c r="BH63" s="59">
        <f t="shared" si="8"/>
        <v>527.35593126448146</v>
      </c>
      <c r="BI63" s="59">
        <f ca="1">AVERAGE(OFFSET($BH$3,0,0,'Données projet'!$E$11+1,1))-AVERAGE(OFFSET($H$3,0,0,'Données projet'!$E$11+1,1))</f>
        <v>289.06522051625166</v>
      </c>
      <c r="BJ63" s="59">
        <f t="shared" si="38"/>
        <v>173.19148969173838</v>
      </c>
      <c r="BK63" s="15">
        <f>IF(ISNA(VLOOKUP(A63,'Données projet'!$A$87:$I$107,3,0)),0,VLOOKUP(A63,'Données projet'!$A$87:$I$107,3,0))</f>
        <v>4</v>
      </c>
      <c r="BL63" s="15">
        <f>IF(ISNA(VLOOKUP(A63,'Données projet'!$A$87:$I$107,4,0)),0,VLOOKUP(A63,'Données projet'!$A$87:$I$107,4,0))</f>
        <v>20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211</v>
      </c>
      <c r="BW63" s="12">
        <f>VLOOKUP(A63,'Données projet'!$A$113:$I$133,9,0)</f>
        <v>5.4</v>
      </c>
      <c r="BX63" s="12">
        <f t="array" ref="BX63">INDEX(BW:BW,MIN(IF(ISNUMBER(BW63:BW259),ROW(BW63:BW259),"")))</f>
        <v>5.4</v>
      </c>
      <c r="BY63" s="12">
        <f>IF('Données projet'!$A$114&gt;35,BY62+BX63-CG62,IF(A63&lt;'Données projet'!$A$114,$BV$205^A63,IF(A63='Données projet'!$A$114,'Données projet'!$B$114,BY62+BX63-CG62)))</f>
        <v>211.00000000000023</v>
      </c>
      <c r="BZ63" s="13">
        <f>BY63*VLOOKUP('Données projet'!$B$12,Paramètres!$A$1:$I$89,3,0)*VLOOKUP('Données projet'!$B$12,Paramètres!$A$1:$I$89,5,0)</f>
        <v>171.16320000000022</v>
      </c>
      <c r="CA63" s="13">
        <f t="shared" si="39"/>
        <v>43.350438209113932</v>
      </c>
      <c r="CB63" s="20">
        <f t="shared" si="10"/>
        <v>373.61125321420718</v>
      </c>
      <c r="CC63" s="59">
        <f t="shared" si="11"/>
        <v>634.86695954568472</v>
      </c>
      <c r="CD63" s="59">
        <f ca="1">AVERAGE(OFFSET($CC$3,0,0,'Données projet'!$E$12+1,1))-AVERAGE(OFFSET($H$3,0,0,'Données projet'!$E$12+1,1))</f>
        <v>306.06916761900357</v>
      </c>
      <c r="CE63" s="59">
        <f t="shared" si="40"/>
        <v>258.90832875500337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28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5.474488972148119E-6</v>
      </c>
      <c r="CN63" s="22">
        <f t="shared" si="12"/>
        <v>5.474488972148119E-6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221</v>
      </c>
      <c r="CR63" s="12">
        <f>VLOOKUP(A63,'Données projet'!$A$139:$I$159,9,0)</f>
        <v>7.2</v>
      </c>
      <c r="CS63" s="12">
        <f t="array" ref="CS63">INDEX(CR:CR,MIN(IF(ISNUMBER(CR63:CR259),ROW(CR63:CR259),"")))</f>
        <v>7.2</v>
      </c>
      <c r="CT63" s="12">
        <f>IF('Données projet'!$A$140&gt;35,CT62+CS63-DB62,IF(A63&lt;'Données projet'!$A$140,$CQ$205^A63,IF(A63='Données projet'!$A$140,'Données projet'!$B$140,CT62+CS63-DB62)))</f>
        <v>220.99999999999991</v>
      </c>
      <c r="CU63" s="17">
        <f>CT63*VLOOKUP('Données projet'!$B$13,Paramètres!$A$1:$I$89,3,0)*VLOOKUP('Données projet'!$B$13,Paramètres!$A$1:$I$89,5,0)</f>
        <v>148.24679999999995</v>
      </c>
      <c r="CV63" s="13">
        <f t="shared" si="41"/>
        <v>38.17989242104715</v>
      </c>
      <c r="CW63" s="20">
        <f t="shared" si="13"/>
        <v>324.69315596665706</v>
      </c>
      <c r="CX63" s="59">
        <f t="shared" si="14"/>
        <v>585.9488622981346</v>
      </c>
      <c r="CY63" s="59">
        <f ca="1">AVERAGE(OFFSET($CX$3,0,0,'Données projet'!$E$13+1,1))-AVERAGE(OFFSET($H$3,0,0,'Données projet'!$E$13+1,1))</f>
        <v>324.58754156328285</v>
      </c>
      <c r="CZ63" s="59">
        <f t="shared" si="42"/>
        <v>226.01037731977604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44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3.3197862613154605E-6</v>
      </c>
      <c r="DI63" s="22">
        <f t="shared" si="15"/>
        <v>3.3197862613154605E-6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14.270329670329668</v>
      </c>
      <c r="DO63" s="12">
        <f>IF('Données projet'!$A$166&gt;35,DO62+DN63-DW62,IF(A63&lt;'Données projet'!$A$166,$DL$205^A63,IF(A63='Données projet'!$A$166,'Données projet'!$B$166,DO62+DN63-DW62)))</f>
        <v>332.36593406593403</v>
      </c>
      <c r="DP63" s="17">
        <f>DO63*VLOOKUP('Données projet'!$B$14,Paramètres!$A$1:$I$89,3,0)*VLOOKUP('Données projet'!$B$14,Paramètres!$A$1:$I$89,5,0)</f>
        <v>155.54725714285712</v>
      </c>
      <c r="DQ63" s="13">
        <f t="shared" si="43"/>
        <v>39.836543030962723</v>
      </c>
      <c r="DR63" s="20">
        <f t="shared" si="16"/>
        <v>340.29345196940289</v>
      </c>
      <c r="DS63" s="59">
        <f t="shared" si="17"/>
        <v>601.54915830088044</v>
      </c>
      <c r="DT63" s="59">
        <f ca="1">AVERAGE(OFFSET($DS$3,0,0,'Données projet'!$E$14+1,1))-AVERAGE(OFFSET($H$3,0,0,'Données projet'!$E$14+1,1))</f>
        <v>325.93182817189722</v>
      </c>
      <c r="DU63" s="59">
        <f t="shared" si="44"/>
        <v>280.04509991782709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258</v>
      </c>
      <c r="EH63" s="12">
        <f>VLOOKUP(A63,'Données projet'!$A$191:$I$211,9,0)</f>
        <v>5.6</v>
      </c>
      <c r="EI63" s="12">
        <f t="array" ref="EI63">INDEX(EH:EH,MIN(IF(ISNUMBER(EH63:EH259),ROW(EH63:EH259),"")))</f>
        <v>5.6</v>
      </c>
      <c r="EJ63" s="12">
        <f>IF('Données projet'!$A$192&gt;35,EJ62+EI63-ER62,IF(A63&lt;'Données projet'!$A$192,$EG$205^A63,IF(A63='Données projet'!$A$192,'Données projet'!$B$192,EJ62+EI63-ER62)))</f>
        <v>257.99999999999972</v>
      </c>
      <c r="EK63" s="17">
        <f>EJ63*VLOOKUP('Données projet'!$B$15,Paramètres!$A$1:$I$89,3,0)*VLOOKUP('Données projet'!$B$15,Paramètres!$A$1:$I$89,5,0)</f>
        <v>205.26479999999981</v>
      </c>
      <c r="EL63" s="13">
        <f t="shared" si="45"/>
        <v>50.899455886133694</v>
      </c>
      <c r="EM63" s="20">
        <f t="shared" si="19"/>
        <v>446.15274566834916</v>
      </c>
      <c r="EN63" s="59">
        <f t="shared" si="20"/>
        <v>707.40845199982664</v>
      </c>
      <c r="EO63" s="59">
        <f ca="1">AVERAGE(OFFSET($EN$3,0,0,'Données projet'!$E$15+1,1))-AVERAGE(OFFSET($H$3,0,0,'Données projet'!$E$15+1,1))</f>
        <v>333.52903437536651</v>
      </c>
      <c r="EP63" s="59">
        <f t="shared" si="46"/>
        <v>359.47288701414777</v>
      </c>
      <c r="EQ63" s="15">
        <f>IF(ISNA(VLOOKUP(A63,'Données projet'!$A$191:$I$211,3,0)),0,VLOOKUP(A63,'Données projet'!$A$191:$I$211,3,0))</f>
        <v>5</v>
      </c>
      <c r="ER63" s="15">
        <f>IF(ISNA(VLOOKUP(A63,'Données projet'!$A$191:$I$211,4,0)),0,VLOOKUP(A63,'Données projet'!$A$191:$I$211,4,0))</f>
        <v>25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1.6465118757715753</v>
      </c>
      <c r="EX63" s="21">
        <f>EXP(-LN(2)/2)*EX62+(1-EXP(-LN(2)/2))/(LN(2)/2)*ER63*EU63*VLOOKUP('Données projet'!$B$15,Paramètres!$A$1:$I$89,3,0)*0.475*44/12</f>
        <v>7.6958681512312947E-6</v>
      </c>
      <c r="EY63" s="22">
        <f t="shared" si="21"/>
        <v>1.6465195716397265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342.42307692307691</v>
      </c>
      <c r="FC63" s="12">
        <f>VLOOKUP(A63,'Données projet'!$A$217:$I$237,9,0)</f>
        <v>10.66307692307692</v>
      </c>
      <c r="FD63" s="12">
        <f t="array" ref="FD63">INDEX(FC:FC,MIN(IF(ISNUMBER(FC63:FC259),ROW(FC63:FC259),"")))</f>
        <v>10.66307692307692</v>
      </c>
      <c r="FE63" s="12">
        <f>IF('Données projet'!$A$218&gt;35,FE62+FD63-FM62,IF(A63&lt;'Données projet'!$A$218,$FB$205^A63,IF(A63='Données projet'!$A$218,'Données projet'!$B$218,FE62+FD63-FM62)))</f>
        <v>342.42307692307691</v>
      </c>
      <c r="FF63" s="17">
        <f>FE63*VLOOKUP('Données projet'!$B$16,Paramètres!$A$1:$I$89,3,0)*VLOOKUP('Données projet'!$B$16,Paramètres!$A$1:$I$89,5,0)</f>
        <v>204.76900000000001</v>
      </c>
      <c r="FG63" s="13">
        <f t="shared" si="47"/>
        <v>50.790807822254017</v>
      </c>
      <c r="FH63" s="20">
        <f t="shared" si="22"/>
        <v>445.09999862375906</v>
      </c>
      <c r="FI63" s="59">
        <f t="shared" si="23"/>
        <v>706.35570495523655</v>
      </c>
      <c r="FJ63" s="59">
        <f ca="1">AVERAGE(OFFSET($FI$3,0,0,'Données projet'!$E$16+1,1))-AVERAGE(OFFSET($H$3,0,0,'Données projet'!$E$16+1,1))</f>
        <v>313.26988717307376</v>
      </c>
      <c r="FK63" s="59">
        <f t="shared" si="48"/>
        <v>248.17359813993201</v>
      </c>
      <c r="FL63" s="15">
        <f>IF(ISNA(VLOOKUP(A63,'Données projet'!$A$217:$I$237,3,0)),0,VLOOKUP(A63,'Données projet'!$A$217:$I$237,3,0))</f>
        <v>6</v>
      </c>
      <c r="FM63" s="15">
        <f>IF(ISNA(VLOOKUP(A63,'Données projet'!$A$217:$I$237,4,0)),0,VLOOKUP(A63,'Données projet'!$A$217:$I$237,4,0))</f>
        <v>54.261538461538464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1.286763690976114</v>
      </c>
      <c r="FR63" s="21">
        <f>EXP(-LN(2)/25)*FR62+(1-EXP(-LN(2)/25))/(LN(2)/25)*Calculateur!FM63*Calculateur!FO63*VLOOKUP('Données projet'!$B$16,Paramètres!$A$1:$I$89,3,0)*0.475*44/12</f>
        <v>3.2816417253906742</v>
      </c>
      <c r="FS63" s="21">
        <f>EXP(-LN(2)/2)*FS62+(1-EXP(-LN(2)/2))/(LN(2)/2)*FM63*FP63*VLOOKUP('Données projet'!$B$16,Paramètres!$A$1:$I$89,3,0)*0.475*44/12</f>
        <v>1.2848802190540594E-4</v>
      </c>
      <c r="FT63" s="22">
        <f t="shared" si="24"/>
        <v>4.5685339043886941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125</v>
      </c>
      <c r="FX63" s="12">
        <f>VLOOKUP(A63,'Données projet'!$A$243:$I$263,9,0)</f>
        <v>3.9</v>
      </c>
      <c r="FY63" s="12">
        <f t="array" ref="FY63">INDEX(FX:FX,MIN(IF(ISNUMBER(FX63:FX259),ROW(FX63:FX259),"")))</f>
        <v>3.9</v>
      </c>
      <c r="FZ63" s="12">
        <f>IF('Données projet'!$A$244&gt;35,FZ62+FY63-GH62,IF(A63&lt;'Données projet'!$A$244,$FW$205^A63,IF(A63='Données projet'!$A$244,'Données projet'!$B$244,FZ62+FY63-GH62)))</f>
        <v>124.99999999999999</v>
      </c>
      <c r="GA63" s="17">
        <f>FZ63*VLOOKUP('Données projet'!$B$17,Paramètres!$A$1:$I$89,3,0)*VLOOKUP('Données projet'!$B$17,Paramètres!$A$1:$I$89,5,0)</f>
        <v>134.54999999999998</v>
      </c>
      <c r="GB63" s="13">
        <f t="shared" si="49"/>
        <v>35.045616486142094</v>
      </c>
      <c r="GC63" s="20">
        <f t="shared" si="25"/>
        <v>295.37903204669743</v>
      </c>
      <c r="GD63" s="59">
        <f t="shared" si="26"/>
        <v>556.63473837817492</v>
      </c>
      <c r="GE63" s="59">
        <f ca="1">AVERAGE(OFFSET($GD$3,0,0,'Données projet'!$E$17+1,1))-AVERAGE(OFFSET($H$3,0,0,'Données projet'!$E$17+1,1))</f>
        <v>313.51355235711543</v>
      </c>
      <c r="GF63" s="59">
        <f t="shared" si="50"/>
        <v>186.0840067781198</v>
      </c>
      <c r="GG63" s="15">
        <f>IF(ISNA(VLOOKUP(A63,'Données projet'!$A$243:$I$263,3,0)),0,VLOOKUP(A63,'Données projet'!$A$243:$I$263,3,0))</f>
        <v>4</v>
      </c>
      <c r="GH63" s="15">
        <f>IF(ISNA(VLOOKUP(A63,'Données projet'!$A$243:$I$263,4,0)),0,VLOOKUP(A63,'Données projet'!$A$243:$I$263,4,0))</f>
        <v>20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0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0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6.8</v>
      </c>
      <c r="N64" s="13">
        <f>IF('Données projet'!$A$36&gt;35,N63+M64-V63,IF(A64&lt;'Données projet'!$A$36,$K$205^A64,IF(A64='Données projet'!$A$36,'Données projet'!$B$36,N63+M64-V63)))</f>
        <v>183.79999999999993</v>
      </c>
      <c r="O64" s="13">
        <f>N64*VLOOKUP('Données projet'!$B$9,Paramètres!$A$1:$I$89,3,0)*VLOOKUP('Données projet'!$B$9,Paramètres!$A$1:$I$89,5,0)</f>
        <v>186.37319999999994</v>
      </c>
      <c r="P64" s="13">
        <f t="shared" si="33"/>
        <v>46.737221678586344</v>
      </c>
      <c r="Q64" s="20">
        <f t="shared" si="53"/>
        <v>406.00065109020443</v>
      </c>
      <c r="R64" s="59">
        <f t="shared" si="0"/>
        <v>667.81283253533377</v>
      </c>
      <c r="S64" s="59">
        <f ca="1">AVERAGE(OFFSET($R$3,0,0,'Données projet'!$E$9+1,1))-AVERAGE(OFFSET($H$3,0,0,'Données projet'!$E$9+1,1))</f>
        <v>452.67426184967104</v>
      </c>
      <c r="T64" s="59">
        <f t="shared" si="34"/>
        <v>310.47823616327639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4.9358974358974361</v>
      </c>
      <c r="AI64" s="13">
        <f>IF('Données projet'!$A$62&gt;35,AI63+AH64-AQ63,IF(A64&lt;'Données projet'!$A$62,$AF$205^A64,IF(A64='Données projet'!$A$62,'Données projet'!$B$62,AI63+AH64-AQ63)))</f>
        <v>213.91025641025652</v>
      </c>
      <c r="AJ64" s="13">
        <f>AI64*VLOOKUP('Données projet'!$B$10,Paramètres!$A$1:$I$89,3,0)*VLOOKUP('Données projet'!$B$10,Paramètres!$A$1:$I$89,5,0)</f>
        <v>223.57900000000015</v>
      </c>
      <c r="AK64" s="13">
        <f t="shared" si="35"/>
        <v>54.892031606963748</v>
      </c>
      <c r="AL64" s="20">
        <f t="shared" si="4"/>
        <v>485.00371338212875</v>
      </c>
      <c r="AM64" s="59">
        <f t="shared" si="5"/>
        <v>746.81589482725803</v>
      </c>
      <c r="AN64" s="59">
        <f ca="1">AVERAGE(OFFSET($AM$3,0,0,'Données projet'!$E$10+1,1))-AVERAGE(OFFSET($H$3,0,0,'Données projet'!$E$10+1,1))</f>
        <v>528.45201982036087</v>
      </c>
      <c r="AO64" s="59">
        <f t="shared" si="36"/>
        <v>321.23004033257985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2.1314943661601963E-6</v>
      </c>
      <c r="AX64" s="21">
        <f t="shared" si="6"/>
        <v>2.1314943661601963E-6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3.7</v>
      </c>
      <c r="BD64" s="12">
        <f>IF('Données projet'!$A$88&gt;35,BD63+BC64-BL63,IF(A64&lt;'Données projet'!$A$88,$BA$205^A64,IF(A64='Données projet'!$A$88,'Données projet'!$B$88,BD63+BC64-BL63)))</f>
        <v>108.69999999999999</v>
      </c>
      <c r="BE64" s="13">
        <f>BD64*VLOOKUP('Données projet'!$B$11,Paramètres!$A$1:$I$89,3,0)*VLOOKUP('Données projet'!$B$11,Paramètres!$A$1:$I$89,5,0)</f>
        <v>105.13463999999999</v>
      </c>
      <c r="BF64" s="13">
        <f t="shared" si="37"/>
        <v>28.181667199916159</v>
      </c>
      <c r="BG64" s="20">
        <f t="shared" si="7"/>
        <v>232.19256837318724</v>
      </c>
      <c r="BH64" s="59">
        <f t="shared" si="8"/>
        <v>494.00474981831655</v>
      </c>
      <c r="BI64" s="59">
        <f ca="1">AVERAGE(OFFSET($BH$3,0,0,'Données projet'!$E$11+1,1))-AVERAGE(OFFSET($H$3,0,0,'Données projet'!$E$11+1,1))</f>
        <v>289.06522051625166</v>
      </c>
      <c r="BJ64" s="59">
        <f t="shared" si="38"/>
        <v>173.19148969173838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4.9000000000000004</v>
      </c>
      <c r="BY64" s="12">
        <f>IF('Données projet'!$A$114&gt;35,BY63+BX64-CG63,IF(A64&lt;'Données projet'!$A$114,$BV$205^A64,IF(A64='Données projet'!$A$114,'Données projet'!$B$114,BY63+BX64-CG63)))</f>
        <v>187.90000000000023</v>
      </c>
      <c r="BZ64" s="13">
        <f>BY64*VLOOKUP('Données projet'!$B$12,Paramètres!$A$1:$I$89,3,0)*VLOOKUP('Données projet'!$B$12,Paramètres!$A$1:$I$89,5,0)</f>
        <v>152.42448000000022</v>
      </c>
      <c r="CA64" s="13">
        <f t="shared" si="39"/>
        <v>39.129042193685486</v>
      </c>
      <c r="CB64" s="20">
        <f t="shared" si="10"/>
        <v>333.62238448733592</v>
      </c>
      <c r="CC64" s="59">
        <f t="shared" si="11"/>
        <v>595.43456593246526</v>
      </c>
      <c r="CD64" s="59">
        <f ca="1">AVERAGE(OFFSET($CC$3,0,0,'Données projet'!$E$12+1,1))-AVERAGE(OFFSET($H$3,0,0,'Données projet'!$E$12+1,1))</f>
        <v>306.06916761900357</v>
      </c>
      <c r="CE64" s="59">
        <f t="shared" si="40"/>
        <v>258.90832875500337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3.8710482757369074E-6</v>
      </c>
      <c r="CN64" s="22">
        <f t="shared" si="12"/>
        <v>3.8710482757369074E-6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6.8</v>
      </c>
      <c r="CT64" s="12">
        <f>IF('Données projet'!$A$140&gt;35,CT63+CS64-DB63,IF(A64&lt;'Données projet'!$A$140,$CQ$205^A64,IF(A64='Données projet'!$A$140,'Données projet'!$B$140,CT63+CS64-DB63)))</f>
        <v>183.79999999999993</v>
      </c>
      <c r="CU64" s="17">
        <f>CT64*VLOOKUP('Données projet'!$B$13,Paramètres!$A$1:$I$89,3,0)*VLOOKUP('Données projet'!$B$13,Paramètres!$A$1:$I$89,5,0)</f>
        <v>123.29303999999995</v>
      </c>
      <c r="CV64" s="13">
        <f t="shared" si="41"/>
        <v>32.441832476859808</v>
      </c>
      <c r="CW64" s="20">
        <f t="shared" si="13"/>
        <v>271.23823623053073</v>
      </c>
      <c r="CX64" s="59">
        <f t="shared" si="14"/>
        <v>533.05041767566013</v>
      </c>
      <c r="CY64" s="59">
        <f ca="1">AVERAGE(OFFSET($CX$3,0,0,'Données projet'!$E$13+1,1))-AVERAGE(OFFSET($H$3,0,0,'Données projet'!$E$13+1,1))</f>
        <v>324.58754156328285</v>
      </c>
      <c r="CZ64" s="59">
        <f t="shared" si="42"/>
        <v>226.01037731977604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2.347443377466098E-6</v>
      </c>
      <c r="DI64" s="22">
        <f t="shared" si="15"/>
        <v>2.347443377466098E-6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14.270329670329668</v>
      </c>
      <c r="DO64" s="12">
        <f>IF('Données projet'!$A$166&gt;35,DO63+DN64-DW63,IF(A64&lt;'Données projet'!$A$166,$DL$205^A64,IF(A64='Données projet'!$A$166,'Données projet'!$B$166,DO63+DN64-DW63)))</f>
        <v>346.63626373626369</v>
      </c>
      <c r="DP64" s="17">
        <f>DO64*VLOOKUP('Données projet'!$B$14,Paramètres!$A$1:$I$89,3,0)*VLOOKUP('Données projet'!$B$14,Paramètres!$A$1:$I$89,5,0)</f>
        <v>162.22577142857142</v>
      </c>
      <c r="DQ64" s="13">
        <f t="shared" si="43"/>
        <v>41.344139999178246</v>
      </c>
      <c r="DR64" s="20">
        <f t="shared" si="16"/>
        <v>354.55092906999738</v>
      </c>
      <c r="DS64" s="59">
        <f t="shared" si="17"/>
        <v>616.36311051512666</v>
      </c>
      <c r="DT64" s="59">
        <f ca="1">AVERAGE(OFFSET($DS$3,0,0,'Données projet'!$E$14+1,1))-AVERAGE(OFFSET($H$3,0,0,'Données projet'!$E$14+1,1))</f>
        <v>325.93182817189722</v>
      </c>
      <c r="DU64" s="59">
        <f t="shared" si="44"/>
        <v>280.04509991782709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4.0999999999999996</v>
      </c>
      <c r="EJ64" s="12">
        <f>IF('Données projet'!$A$192&gt;35,EJ63+EI64-ER63,IF(A64&lt;'Données projet'!$A$192,$EG$205^A64,IF(A64='Données projet'!$A$192,'Données projet'!$B$192,EJ63+EI64-ER63)))</f>
        <v>237.09999999999974</v>
      </c>
      <c r="EK64" s="17">
        <f>EJ64*VLOOKUP('Données projet'!$B$15,Paramètres!$A$1:$I$89,3,0)*VLOOKUP('Données projet'!$B$15,Paramètres!$A$1:$I$89,5,0)</f>
        <v>188.63675999999978</v>
      </c>
      <c r="EL64" s="13">
        <f t="shared" si="45"/>
        <v>47.238433649202641</v>
      </c>
      <c r="EM64" s="20">
        <f t="shared" si="19"/>
        <v>410.81596227236088</v>
      </c>
      <c r="EN64" s="59">
        <f t="shared" si="20"/>
        <v>672.62814371749027</v>
      </c>
      <c r="EO64" s="59">
        <f ca="1">AVERAGE(OFFSET($EN$3,0,0,'Données projet'!$E$15+1,1))-AVERAGE(OFFSET($H$3,0,0,'Données projet'!$E$15+1,1))</f>
        <v>333.52903437536651</v>
      </c>
      <c r="EP64" s="59">
        <f t="shared" si="46"/>
        <v>359.47288701414777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1.6014879219423053</v>
      </c>
      <c r="EX64" s="21">
        <f>EXP(-LN(2)/2)*EX63+(1-EXP(-LN(2)/2))/(LN(2)/2)*ER64*EU64*VLOOKUP('Données projet'!$B$15,Paramètres!$A$1:$I$89,3,0)*0.475*44/12</f>
        <v>5.4418005568532273E-6</v>
      </c>
      <c r="EY64" s="22">
        <f t="shared" si="21"/>
        <v>1.6014933637428621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9.1830769230769249</v>
      </c>
      <c r="FE64" s="12">
        <f>IF('Données projet'!$A$218&gt;35,FE63+FD64-FM63,IF(A64&lt;'Données projet'!$A$218,$FB$205^A64,IF(A64='Données projet'!$A$218,'Données projet'!$B$218,FE63+FD64-FM63)))</f>
        <v>297.34461538461534</v>
      </c>
      <c r="FF64" s="17">
        <f>FE64*VLOOKUP('Données projet'!$B$16,Paramètres!$A$1:$I$89,3,0)*VLOOKUP('Données projet'!$B$16,Paramètres!$A$1:$I$89,5,0)</f>
        <v>177.81207999999998</v>
      </c>
      <c r="FG64" s="13">
        <f t="shared" si="47"/>
        <v>44.835068353066951</v>
      </c>
      <c r="FH64" s="20">
        <f t="shared" si="22"/>
        <v>387.77711671492489</v>
      </c>
      <c r="FI64" s="59">
        <f t="shared" si="23"/>
        <v>649.58929816005423</v>
      </c>
      <c r="FJ64" s="59">
        <f ca="1">AVERAGE(OFFSET($FI$3,0,0,'Données projet'!$E$16+1,1))-AVERAGE(OFFSET($H$3,0,0,'Données projet'!$E$16+1,1))</f>
        <v>313.26988717307376</v>
      </c>
      <c r="FK64" s="59">
        <f t="shared" si="48"/>
        <v>248.17359813993201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1.2615310398444266</v>
      </c>
      <c r="FR64" s="21">
        <f>EXP(-LN(2)/25)*FR63+(1-EXP(-LN(2)/25))/(LN(2)/25)*Calculateur!FM64*Calculateur!FO64*VLOOKUP('Données projet'!$B$16,Paramètres!$A$1:$I$89,3,0)*0.475*44/12</f>
        <v>3.1919050598358281</v>
      </c>
      <c r="FS64" s="21">
        <f>EXP(-LN(2)/2)*FS63+(1-EXP(-LN(2)/2))/(LN(2)/2)*FM64*FP64*VLOOKUP('Données projet'!$B$16,Paramètres!$A$1:$I$89,3,0)*0.475*44/12</f>
        <v>9.0854751590558204E-5</v>
      </c>
      <c r="FT64" s="22">
        <f t="shared" si="24"/>
        <v>4.4535269544318457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3.7</v>
      </c>
      <c r="FZ64" s="12">
        <f>IF('Données projet'!$A$244&gt;35,FZ63+FY64-GH63,IF(A64&lt;'Données projet'!$A$244,$FW$205^A64,IF(A64='Données projet'!$A$244,'Données projet'!$B$244,FZ63+FY64-GH63)))</f>
        <v>108.69999999999999</v>
      </c>
      <c r="GA64" s="17">
        <f>FZ64*VLOOKUP('Données projet'!$B$17,Paramètres!$A$1:$I$89,3,0)*VLOOKUP('Données projet'!$B$17,Paramètres!$A$1:$I$89,5,0)</f>
        <v>117.00467999999998</v>
      </c>
      <c r="GB64" s="13">
        <f t="shared" si="49"/>
        <v>30.975365648566147</v>
      </c>
      <c r="GC64" s="20">
        <f t="shared" si="25"/>
        <v>257.73191283791931</v>
      </c>
      <c r="GD64" s="59">
        <f t="shared" si="26"/>
        <v>519.54409428304871</v>
      </c>
      <c r="GE64" s="59">
        <f ca="1">AVERAGE(OFFSET($GD$3,0,0,'Données projet'!$E$17+1,1))-AVERAGE(OFFSET($H$3,0,0,'Données projet'!$E$17+1,1))</f>
        <v>313.51355235711543</v>
      </c>
      <c r="GF64" s="59">
        <f t="shared" si="50"/>
        <v>186.0840067781198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0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0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6.8</v>
      </c>
      <c r="N65" s="13">
        <f>IF('Données projet'!$A$36&gt;35,N64+M65-V64,IF(A65&lt;'Données projet'!$A$36,$K$205^A65,IF(A65='Données projet'!$A$36,'Données projet'!$B$36,N64+M65-V64)))</f>
        <v>190.59999999999994</v>
      </c>
      <c r="O65" s="13">
        <f>N65*VLOOKUP('Données projet'!$B$9,Paramètres!$A$1:$I$89,3,0)*VLOOKUP('Données projet'!$B$9,Paramètres!$A$1:$I$89,5,0)</f>
        <v>193.26839999999993</v>
      </c>
      <c r="P65" s="13">
        <f t="shared" si="33"/>
        <v>48.261830838273802</v>
      </c>
      <c r="Q65" s="20">
        <f t="shared" si="53"/>
        <v>420.66515204332671</v>
      </c>
      <c r="R65" s="59">
        <f t="shared" si="0"/>
        <v>683.02415500297798</v>
      </c>
      <c r="S65" s="59">
        <f ca="1">AVERAGE(OFFSET($R$3,0,0,'Données projet'!$E$9+1,1))-AVERAGE(OFFSET($H$3,0,0,'Données projet'!$E$9+1,1))</f>
        <v>452.67426184967104</v>
      </c>
      <c r="T65" s="59">
        <f t="shared" si="34"/>
        <v>310.47823616327639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4.9358974358974361</v>
      </c>
      <c r="AI65" s="13">
        <f>IF('Données projet'!$A$62&gt;35,AI64+AH65-AQ64,IF(A65&lt;'Données projet'!$A$62,$AF$205^A65,IF(A65='Données projet'!$A$62,'Données projet'!$B$62,AI64+AH65-AQ64)))</f>
        <v>218.84615384615395</v>
      </c>
      <c r="AJ65" s="13">
        <f>AI65*VLOOKUP('Données projet'!$B$10,Paramètres!$A$1:$I$89,3,0)*VLOOKUP('Données projet'!$B$10,Paramètres!$A$1:$I$89,5,0)</f>
        <v>228.73800000000014</v>
      </c>
      <c r="AK65" s="13">
        <f t="shared" si="35"/>
        <v>56.009720307338441</v>
      </c>
      <c r="AL65" s="20">
        <f t="shared" si="4"/>
        <v>495.93561286861467</v>
      </c>
      <c r="AM65" s="59">
        <f t="shared" si="5"/>
        <v>758.29461582826593</v>
      </c>
      <c r="AN65" s="59">
        <f ca="1">AVERAGE(OFFSET($AM$3,0,0,'Données projet'!$E$10+1,1))-AVERAGE(OFFSET($H$3,0,0,'Données projet'!$E$10+1,1))</f>
        <v>528.45201982036087</v>
      </c>
      <c r="AO65" s="59">
        <f t="shared" si="36"/>
        <v>321.23004033257985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1.5071941203727968E-6</v>
      </c>
      <c r="AX65" s="21">
        <f t="shared" si="6"/>
        <v>1.5071941203727968E-6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3.7</v>
      </c>
      <c r="BD65" s="12">
        <f>IF('Données projet'!$A$88&gt;35,BD64+BC65-BL64,IF(A65&lt;'Données projet'!$A$88,$BA$205^A65,IF(A65='Données projet'!$A$88,'Données projet'!$B$88,BD64+BC65-BL64)))</f>
        <v>112.39999999999999</v>
      </c>
      <c r="BE65" s="13">
        <f>BD65*VLOOKUP('Données projet'!$B$11,Paramètres!$A$1:$I$89,3,0)*VLOOKUP('Données projet'!$B$11,Paramètres!$A$1:$I$89,5,0)</f>
        <v>108.71327999999998</v>
      </c>
      <c r="BF65" s="13">
        <f t="shared" si="37"/>
        <v>29.027616010773404</v>
      </c>
      <c r="BG65" s="20">
        <f t="shared" si="7"/>
        <v>239.89872721876361</v>
      </c>
      <c r="BH65" s="59">
        <f t="shared" si="8"/>
        <v>502.25773017841493</v>
      </c>
      <c r="BI65" s="59">
        <f ca="1">AVERAGE(OFFSET($BH$3,0,0,'Données projet'!$E$11+1,1))-AVERAGE(OFFSET($H$3,0,0,'Données projet'!$E$11+1,1))</f>
        <v>289.06522051625166</v>
      </c>
      <c r="BJ65" s="59">
        <f t="shared" si="38"/>
        <v>173.19148969173838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4.9000000000000004</v>
      </c>
      <c r="BY65" s="12">
        <f>IF('Données projet'!$A$114&gt;35,BY64+BX65-CG64,IF(A65&lt;'Données projet'!$A$114,$BV$205^A65,IF(A65='Données projet'!$A$114,'Données projet'!$B$114,BY64+BX65-CG64)))</f>
        <v>192.80000000000024</v>
      </c>
      <c r="BZ65" s="13">
        <f>BY65*VLOOKUP('Données projet'!$B$12,Paramètres!$A$1:$I$89,3,0)*VLOOKUP('Données projet'!$B$12,Paramètres!$A$1:$I$89,5,0)</f>
        <v>156.3993600000002</v>
      </c>
      <c r="CA65" s="13">
        <f t="shared" si="39"/>
        <v>40.029308309701072</v>
      </c>
      <c r="CB65" s="20">
        <f t="shared" si="10"/>
        <v>342.11326397272973</v>
      </c>
      <c r="CC65" s="59">
        <f t="shared" si="11"/>
        <v>604.47226693238099</v>
      </c>
      <c r="CD65" s="59">
        <f ca="1">AVERAGE(OFFSET($CC$3,0,0,'Données projet'!$E$12+1,1))-AVERAGE(OFFSET($H$3,0,0,'Données projet'!$E$12+1,1))</f>
        <v>306.06916761900357</v>
      </c>
      <c r="CE65" s="59">
        <f t="shared" si="40"/>
        <v>258.90832875500337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2.7372444860740595E-6</v>
      </c>
      <c r="CN65" s="22">
        <f t="shared" si="12"/>
        <v>2.7372444860740595E-6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6.8</v>
      </c>
      <c r="CT65" s="12">
        <f>IF('Données projet'!$A$140&gt;35,CT64+CS65-DB64,IF(A65&lt;'Données projet'!$A$140,$CQ$205^A65,IF(A65='Données projet'!$A$140,'Données projet'!$B$140,CT64+CS65-DB64)))</f>
        <v>190.59999999999994</v>
      </c>
      <c r="CU65" s="17">
        <f>CT65*VLOOKUP('Données projet'!$B$13,Paramètres!$A$1:$I$89,3,0)*VLOOKUP('Données projet'!$B$13,Paramètres!$A$1:$I$89,5,0)</f>
        <v>127.85447999999995</v>
      </c>
      <c r="CV65" s="13">
        <f t="shared" si="41"/>
        <v>33.500113503734148</v>
      </c>
      <c r="CW65" s="20">
        <f t="shared" si="13"/>
        <v>281.02591701900354</v>
      </c>
      <c r="CX65" s="59">
        <f t="shared" si="14"/>
        <v>543.38491997865481</v>
      </c>
      <c r="CY65" s="59">
        <f ca="1">AVERAGE(OFFSET($CX$3,0,0,'Données projet'!$E$13+1,1))-AVERAGE(OFFSET($H$3,0,0,'Données projet'!$E$13+1,1))</f>
        <v>324.58754156328285</v>
      </c>
      <c r="CZ65" s="59">
        <f t="shared" si="42"/>
        <v>226.01037731977604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1.6598931306577302E-6</v>
      </c>
      <c r="DI65" s="22">
        <f t="shared" si="15"/>
        <v>1.6598931306577302E-6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14.270329670329668</v>
      </c>
      <c r="DO65" s="12">
        <f>IF('Données projet'!$A$166&gt;35,DO64+DN65-DW64,IF(A65&lt;'Données projet'!$A$166,$DL$205^A65,IF(A65='Données projet'!$A$166,'Données projet'!$B$166,DO64+DN65-DW64)))</f>
        <v>360.90659340659334</v>
      </c>
      <c r="DP65" s="17">
        <f>DO65*VLOOKUP('Données projet'!$B$14,Paramètres!$A$1:$I$89,3,0)*VLOOKUP('Données projet'!$B$14,Paramètres!$A$1:$I$89,5,0)</f>
        <v>168.90428571428566</v>
      </c>
      <c r="DQ65" s="13">
        <f t="shared" si="43"/>
        <v>42.844527757373569</v>
      </c>
      <c r="DR65" s="20">
        <f t="shared" si="16"/>
        <v>368.79585012980647</v>
      </c>
      <c r="DS65" s="59">
        <f t="shared" si="17"/>
        <v>631.15485308945779</v>
      </c>
      <c r="DT65" s="59">
        <f ca="1">AVERAGE(OFFSET($DS$3,0,0,'Données projet'!$E$14+1,1))-AVERAGE(OFFSET($H$3,0,0,'Données projet'!$E$14+1,1))</f>
        <v>325.93182817189722</v>
      </c>
      <c r="DU65" s="59">
        <f t="shared" si="44"/>
        <v>280.04509991782709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4.0999999999999996</v>
      </c>
      <c r="EJ65" s="12">
        <f>IF('Données projet'!$A$192&gt;35,EJ64+EI65-ER64,IF(A65&lt;'Données projet'!$A$192,$EG$205^A65,IF(A65='Données projet'!$A$192,'Données projet'!$B$192,EJ64+EI65-ER64)))</f>
        <v>241.19999999999973</v>
      </c>
      <c r="EK65" s="17">
        <f>EJ65*VLOOKUP('Données projet'!$B$15,Paramètres!$A$1:$I$89,3,0)*VLOOKUP('Données projet'!$B$15,Paramètres!$A$1:$I$89,5,0)</f>
        <v>191.8987199999998</v>
      </c>
      <c r="EL65" s="13">
        <f t="shared" si="45"/>
        <v>47.959489640575512</v>
      </c>
      <c r="EM65" s="20">
        <f t="shared" si="19"/>
        <v>417.7530484573353</v>
      </c>
      <c r="EN65" s="59">
        <f t="shared" si="20"/>
        <v>680.11205141698656</v>
      </c>
      <c r="EO65" s="59">
        <f ca="1">AVERAGE(OFFSET($EN$3,0,0,'Données projet'!$E$15+1,1))-AVERAGE(OFFSET($H$3,0,0,'Données projet'!$E$15+1,1))</f>
        <v>333.52903437536651</v>
      </c>
      <c r="EP65" s="59">
        <f t="shared" si="46"/>
        <v>359.47288701414777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1.5576951504982033</v>
      </c>
      <c r="EX65" s="21">
        <f>EXP(-LN(2)/2)*EX64+(1-EXP(-LN(2)/2))/(LN(2)/2)*ER65*EU65*VLOOKUP('Données projet'!$B$15,Paramètres!$A$1:$I$89,3,0)*0.475*44/12</f>
        <v>3.8479340756156473E-6</v>
      </c>
      <c r="EY65" s="22">
        <f t="shared" si="21"/>
        <v>1.5576989984322789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9.1830769230769249</v>
      </c>
      <c r="FE65" s="12">
        <f>IF('Données projet'!$A$218&gt;35,FE64+FD65-FM64,IF(A65&lt;'Données projet'!$A$218,$FB$205^A65,IF(A65='Données projet'!$A$218,'Données projet'!$B$218,FE64+FD65-FM64)))</f>
        <v>306.52769230769229</v>
      </c>
      <c r="FF65" s="17">
        <f>FE65*VLOOKUP('Données projet'!$B$16,Paramètres!$A$1:$I$89,3,0)*VLOOKUP('Données projet'!$B$16,Paramètres!$A$1:$I$89,5,0)</f>
        <v>183.30356</v>
      </c>
      <c r="FG65" s="13">
        <f t="shared" si="47"/>
        <v>46.056387641494027</v>
      </c>
      <c r="FH65" s="20">
        <f t="shared" si="22"/>
        <v>399.46857547560211</v>
      </c>
      <c r="FI65" s="59">
        <f t="shared" si="23"/>
        <v>661.82757843525337</v>
      </c>
      <c r="FJ65" s="59">
        <f ca="1">AVERAGE(OFFSET($FI$3,0,0,'Données projet'!$E$16+1,1))-AVERAGE(OFFSET($H$3,0,0,'Données projet'!$E$16+1,1))</f>
        <v>313.26988717307376</v>
      </c>
      <c r="FK65" s="59">
        <f t="shared" si="48"/>
        <v>248.17359813993201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1.2367931856110341</v>
      </c>
      <c r="FR65" s="21">
        <f>EXP(-LN(2)/25)*FR64+(1-EXP(-LN(2)/25))/(LN(2)/25)*Calculateur!FM65*Calculateur!FO65*VLOOKUP('Données projet'!$B$16,Paramètres!$A$1:$I$89,3,0)*0.475*44/12</f>
        <v>3.1046222481196253</v>
      </c>
      <c r="FS65" s="21">
        <f>EXP(-LN(2)/2)*FS64+(1-EXP(-LN(2)/2))/(LN(2)/2)*FM65*FP65*VLOOKUP('Données projet'!$B$16,Paramètres!$A$1:$I$89,3,0)*0.475*44/12</f>
        <v>6.4244010952702968E-5</v>
      </c>
      <c r="FT65" s="22">
        <f t="shared" si="24"/>
        <v>4.3414796777416127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3.7</v>
      </c>
      <c r="FZ65" s="12">
        <f>IF('Données projet'!$A$244&gt;35,FZ64+FY65-GH64,IF(A65&lt;'Données projet'!$A$244,$FW$205^A65,IF(A65='Données projet'!$A$244,'Données projet'!$B$244,FZ64+FY65-GH64)))</f>
        <v>112.39999999999999</v>
      </c>
      <c r="GA65" s="17">
        <f>FZ65*VLOOKUP('Données projet'!$B$17,Paramètres!$A$1:$I$89,3,0)*VLOOKUP('Données projet'!$B$17,Paramètres!$A$1:$I$89,5,0)</f>
        <v>120.98735999999998</v>
      </c>
      <c r="GB65" s="13">
        <f t="shared" si="49"/>
        <v>31.905174859298416</v>
      </c>
      <c r="GC65" s="20">
        <f t="shared" si="25"/>
        <v>266.28783154661136</v>
      </c>
      <c r="GD65" s="59">
        <f t="shared" si="26"/>
        <v>528.64683450626262</v>
      </c>
      <c r="GE65" s="59">
        <f ca="1">AVERAGE(OFFSET($GD$3,0,0,'Données projet'!$E$17+1,1))-AVERAGE(OFFSET($H$3,0,0,'Données projet'!$E$17+1,1))</f>
        <v>313.51355235711543</v>
      </c>
      <c r="GF65" s="59">
        <f t="shared" si="50"/>
        <v>186.0840067781198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0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0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6.8</v>
      </c>
      <c r="N66" s="13">
        <f>IF('Données projet'!$A$36&gt;35,N65+M66-V65,IF(A66&lt;'Données projet'!$A$36,$K$205^A66,IF(A66='Données projet'!$A$36,'Données projet'!$B$36,N65+M66-V65)))</f>
        <v>197.39999999999995</v>
      </c>
      <c r="O66" s="13">
        <f>N66*VLOOKUP('Données projet'!$B$9,Paramètres!$A$1:$I$89,3,0)*VLOOKUP('Données projet'!$B$9,Paramètres!$A$1:$I$89,5,0)</f>
        <v>200.16359999999997</v>
      </c>
      <c r="P66" s="13">
        <f t="shared" si="33"/>
        <v>49.780120342525272</v>
      </c>
      <c r="Q66" s="20">
        <f t="shared" si="53"/>
        <v>435.31864626323141</v>
      </c>
      <c r="R66" s="59">
        <f t="shared" si="0"/>
        <v>698.21498460663747</v>
      </c>
      <c r="S66" s="59">
        <f ca="1">AVERAGE(OFFSET($R$3,0,0,'Données projet'!$E$9+1,1))-AVERAGE(OFFSET($H$3,0,0,'Données projet'!$E$9+1,1))</f>
        <v>452.67426184967104</v>
      </c>
      <c r="T66" s="59">
        <f t="shared" si="34"/>
        <v>310.47823616327639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4.9358974358974361</v>
      </c>
      <c r="AI66" s="13">
        <f>IF('Données projet'!$A$62&gt;35,AI65+AH66-AQ65,IF(A66&lt;'Données projet'!$A$62,$AF$205^A66,IF(A66='Données projet'!$A$62,'Données projet'!$B$62,AI65+AH66-AQ65)))</f>
        <v>223.78205128205138</v>
      </c>
      <c r="AJ66" s="13">
        <f>AI66*VLOOKUP('Données projet'!$B$10,Paramètres!$A$1:$I$89,3,0)*VLOOKUP('Données projet'!$B$10,Paramètres!$A$1:$I$89,5,0)</f>
        <v>233.89700000000013</v>
      </c>
      <c r="AK66" s="13">
        <f t="shared" si="35"/>
        <v>57.124478316824543</v>
      </c>
      <c r="AL66" s="20">
        <f t="shared" si="4"/>
        <v>506.86240806846968</v>
      </c>
      <c r="AM66" s="59">
        <f t="shared" si="5"/>
        <v>769.75874641187579</v>
      </c>
      <c r="AN66" s="59">
        <f ca="1">AVERAGE(OFFSET($AM$3,0,0,'Données projet'!$E$10+1,1))-AVERAGE(OFFSET($H$3,0,0,'Données projet'!$E$10+1,1))</f>
        <v>528.45201982036087</v>
      </c>
      <c r="AO66" s="59">
        <f t="shared" si="36"/>
        <v>321.23004033257985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1.0657471830800982E-6</v>
      </c>
      <c r="AX66" s="21">
        <f t="shared" si="6"/>
        <v>1.0657471830800982E-6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3.7</v>
      </c>
      <c r="BD66" s="12">
        <f>IF('Données projet'!$A$88&gt;35,BD65+BC66-BL65,IF(A66&lt;'Données projet'!$A$88,$BA$205^A66,IF(A66='Données projet'!$A$88,'Données projet'!$B$88,BD65+BC66-BL65)))</f>
        <v>116.1</v>
      </c>
      <c r="BE66" s="13">
        <f>BD66*VLOOKUP('Données projet'!$B$11,Paramètres!$A$1:$I$89,3,0)*VLOOKUP('Données projet'!$B$11,Paramètres!$A$1:$I$89,5,0)</f>
        <v>112.29192</v>
      </c>
      <c r="BF66" s="13">
        <f t="shared" si="37"/>
        <v>29.870329007438372</v>
      </c>
      <c r="BG66" s="20">
        <f t="shared" si="7"/>
        <v>247.59925035462186</v>
      </c>
      <c r="BH66" s="59">
        <f t="shared" si="8"/>
        <v>510.49558869802797</v>
      </c>
      <c r="BI66" s="59">
        <f ca="1">AVERAGE(OFFSET($BH$3,0,0,'Données projet'!$E$11+1,1))-AVERAGE(OFFSET($H$3,0,0,'Données projet'!$E$11+1,1))</f>
        <v>289.06522051625166</v>
      </c>
      <c r="BJ66" s="59">
        <f t="shared" si="38"/>
        <v>173.19148969173838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4.9000000000000004</v>
      </c>
      <c r="BY66" s="12">
        <f>IF('Données projet'!$A$114&gt;35,BY65+BX66-CG65,IF(A66&lt;'Données projet'!$A$114,$BV$205^A66,IF(A66='Données projet'!$A$114,'Données projet'!$B$114,BY65+BX66-CG65)))</f>
        <v>197.70000000000024</v>
      </c>
      <c r="BZ66" s="13">
        <f>BY66*VLOOKUP('Données projet'!$B$12,Paramètres!$A$1:$I$89,3,0)*VLOOKUP('Données projet'!$B$12,Paramètres!$A$1:$I$89,5,0)</f>
        <v>160.37424000000021</v>
      </c>
      <c r="CA66" s="13">
        <f t="shared" si="39"/>
        <v>40.926914802478265</v>
      </c>
      <c r="CB66" s="20">
        <f t="shared" si="10"/>
        <v>350.59951128098334</v>
      </c>
      <c r="CC66" s="59">
        <f t="shared" si="11"/>
        <v>613.49584962438939</v>
      </c>
      <c r="CD66" s="59">
        <f ca="1">AVERAGE(OFFSET($CC$3,0,0,'Données projet'!$E$12+1,1))-AVERAGE(OFFSET($H$3,0,0,'Données projet'!$E$12+1,1))</f>
        <v>306.06916761900357</v>
      </c>
      <c r="CE66" s="59">
        <f t="shared" si="40"/>
        <v>258.90832875500337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1.9355241378684537E-6</v>
      </c>
      <c r="CN66" s="22">
        <f t="shared" si="12"/>
        <v>1.9355241378684537E-6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6.8</v>
      </c>
      <c r="CT66" s="12">
        <f>IF('Données projet'!$A$140&gt;35,CT65+CS66-DB65,IF(A66&lt;'Données projet'!$A$140,$CQ$205^A66,IF(A66='Données projet'!$A$140,'Données projet'!$B$140,CT65+CS66-DB65)))</f>
        <v>197.39999999999995</v>
      </c>
      <c r="CU66" s="17">
        <f>CT66*VLOOKUP('Données projet'!$B$13,Paramètres!$A$1:$I$89,3,0)*VLOOKUP('Données projet'!$B$13,Paramètres!$A$1:$I$89,5,0)</f>
        <v>132.41591999999997</v>
      </c>
      <c r="CV66" s="13">
        <f t="shared" si="41"/>
        <v>34.554007851306523</v>
      </c>
      <c r="CW66" s="20">
        <f t="shared" si="13"/>
        <v>290.80595767435881</v>
      </c>
      <c r="CX66" s="59">
        <f t="shared" si="14"/>
        <v>553.70229601776487</v>
      </c>
      <c r="CY66" s="59">
        <f ca="1">AVERAGE(OFFSET($CX$3,0,0,'Données projet'!$E$13+1,1))-AVERAGE(OFFSET($H$3,0,0,'Données projet'!$E$13+1,1))</f>
        <v>324.58754156328285</v>
      </c>
      <c r="CZ66" s="59">
        <f t="shared" si="42"/>
        <v>226.01037731977604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1.173721688733049E-6</v>
      </c>
      <c r="DI66" s="22">
        <f t="shared" si="15"/>
        <v>1.173721688733049E-6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>
        <f>VLOOKUP(A66,'Données projet'!$A$165:$I$185,2,0)</f>
        <v>375.17692307692306</v>
      </c>
      <c r="DM66" s="12">
        <f>VLOOKUP(A66,'Données projet'!$A$165:$I$185,9,0)</f>
        <v>14.270329670329668</v>
      </c>
      <c r="DN66" s="12">
        <f t="array" ref="DN66">INDEX(DM:DM,MIN(IF(ISNUMBER(DM66:DM262),ROW(DM66:DM262),"")))</f>
        <v>14.270329670329668</v>
      </c>
      <c r="DO66" s="12">
        <f>IF('Données projet'!$A$166&gt;35,DO65+DN66-DW65,IF(A66&lt;'Données projet'!$A$166,$DL$205^A66,IF(A66='Données projet'!$A$166,'Données projet'!$B$166,DO65+DN66-DW65)))</f>
        <v>375.176923076923</v>
      </c>
      <c r="DP66" s="17">
        <f>DO66*VLOOKUP('Données projet'!$B$14,Paramètres!$A$1:$I$89,3,0)*VLOOKUP('Données projet'!$B$14,Paramètres!$A$1:$I$89,5,0)</f>
        <v>175.58279999999996</v>
      </c>
      <c r="DQ66" s="13">
        <f t="shared" si="43"/>
        <v>44.338023977070598</v>
      </c>
      <c r="DR66" s="20">
        <f t="shared" si="16"/>
        <v>383.02876842673123</v>
      </c>
      <c r="DS66" s="59">
        <f t="shared" si="17"/>
        <v>645.92510677013729</v>
      </c>
      <c r="DT66" s="59">
        <f ca="1">AVERAGE(OFFSET($DS$3,0,0,'Données projet'!$E$14+1,1))-AVERAGE(OFFSET($H$3,0,0,'Données projet'!$E$14+1,1))</f>
        <v>325.93182817189722</v>
      </c>
      <c r="DU66" s="59">
        <f t="shared" si="44"/>
        <v>280.04509991782709</v>
      </c>
      <c r="DV66" s="15">
        <f>IF(ISNA(VLOOKUP(A66,'Données projet'!$A$165:$I$185,3,0)),0,VLOOKUP(A66,'Données projet'!$A$165:$I$185,3,0))</f>
        <v>4</v>
      </c>
      <c r="DW66" s="15">
        <f>IF(ISNA(VLOOKUP(A66,'Données projet'!$A$165:$I$185,4,0)),0,VLOOKUP(A66,'Données projet'!$A$165:$I$185,4,0))</f>
        <v>71.123076923076923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4.0999999999999996</v>
      </c>
      <c r="EJ66" s="12">
        <f>IF('Données projet'!$A$192&gt;35,EJ65+EI66-ER65,IF(A66&lt;'Données projet'!$A$192,$EG$205^A66,IF(A66='Données projet'!$A$192,'Données projet'!$B$192,EJ65+EI66-ER65)))</f>
        <v>245.29999999999973</v>
      </c>
      <c r="EK66" s="17">
        <f>EJ66*VLOOKUP('Données projet'!$B$15,Paramètres!$A$1:$I$89,3,0)*VLOOKUP('Données projet'!$B$15,Paramètres!$A$1:$I$89,5,0)</f>
        <v>195.16067999999979</v>
      </c>
      <c r="EL66" s="13">
        <f t="shared" si="45"/>
        <v>48.679120283467881</v>
      </c>
      <c r="EM66" s="20">
        <f t="shared" si="19"/>
        <v>424.68765216037281</v>
      </c>
      <c r="EN66" s="59">
        <f t="shared" si="20"/>
        <v>687.58399050377898</v>
      </c>
      <c r="EO66" s="59">
        <f ca="1">AVERAGE(OFFSET($EN$3,0,0,'Données projet'!$E$15+1,1))-AVERAGE(OFFSET($H$3,0,0,'Données projet'!$E$15+1,1))</f>
        <v>333.52903437536651</v>
      </c>
      <c r="EP66" s="59">
        <f t="shared" si="46"/>
        <v>359.47288701414777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1.5150998946922021</v>
      </c>
      <c r="EX66" s="21">
        <f>EXP(-LN(2)/2)*EX65+(1-EXP(-LN(2)/2))/(LN(2)/2)*ER66*EU66*VLOOKUP('Données projet'!$B$15,Paramètres!$A$1:$I$89,3,0)*0.475*44/12</f>
        <v>2.7209002784266137E-6</v>
      </c>
      <c r="EY66" s="22">
        <f t="shared" si="21"/>
        <v>1.5151026155924805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9.1830769230769249</v>
      </c>
      <c r="FE66" s="12">
        <f>IF('Données projet'!$A$218&gt;35,FE65+FD66-FM65,IF(A66&lt;'Données projet'!$A$218,$FB$205^A66,IF(A66='Données projet'!$A$218,'Données projet'!$B$218,FE65+FD66-FM65)))</f>
        <v>315.71076923076919</v>
      </c>
      <c r="FF66" s="17">
        <f>FE66*VLOOKUP('Données projet'!$B$16,Paramètres!$A$1:$I$89,3,0)*VLOOKUP('Données projet'!$B$16,Paramètres!$A$1:$I$89,5,0)</f>
        <v>188.79504</v>
      </c>
      <c r="FG66" s="13">
        <f t="shared" si="47"/>
        <v>47.273454743056831</v>
      </c>
      <c r="FH66" s="20">
        <f t="shared" si="22"/>
        <v>411.15262834415722</v>
      </c>
      <c r="FI66" s="59">
        <f t="shared" si="23"/>
        <v>674.04896668756328</v>
      </c>
      <c r="FJ66" s="59">
        <f ca="1">AVERAGE(OFFSET($FI$3,0,0,'Données projet'!$E$16+1,1))-AVERAGE(OFFSET($H$3,0,0,'Données projet'!$E$16+1,1))</f>
        <v>313.26988717307376</v>
      </c>
      <c r="FK66" s="59">
        <f t="shared" si="48"/>
        <v>248.17359813993201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1.2125404256105572</v>
      </c>
      <c r="FR66" s="21">
        <f>EXP(-LN(2)/25)*FR65+(1-EXP(-LN(2)/25))/(LN(2)/25)*Calculateur!FM66*Calculateur!FO66*VLOOKUP('Données projet'!$B$16,Paramètres!$A$1:$I$89,3,0)*0.475*44/12</f>
        <v>3.019726189479806</v>
      </c>
      <c r="FS66" s="21">
        <f>EXP(-LN(2)/2)*FS65+(1-EXP(-LN(2)/2))/(LN(2)/2)*FM66*FP66*VLOOKUP('Données projet'!$B$16,Paramètres!$A$1:$I$89,3,0)*0.475*44/12</f>
        <v>4.5427375795279102E-5</v>
      </c>
      <c r="FT66" s="22">
        <f t="shared" si="24"/>
        <v>4.2323120424661589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3.7</v>
      </c>
      <c r="FZ66" s="12">
        <f>IF('Données projet'!$A$244&gt;35,FZ65+FY66-GH65,IF(A66&lt;'Données projet'!$A$244,$FW$205^A66,IF(A66='Données projet'!$A$244,'Données projet'!$B$244,FZ65+FY66-GH65)))</f>
        <v>116.1</v>
      </c>
      <c r="GA66" s="17">
        <f>FZ66*VLOOKUP('Données projet'!$B$17,Paramètres!$A$1:$I$89,3,0)*VLOOKUP('Données projet'!$B$17,Paramètres!$A$1:$I$89,5,0)</f>
        <v>124.97004</v>
      </c>
      <c r="GB66" s="13">
        <f t="shared" si="49"/>
        <v>32.831427483861845</v>
      </c>
      <c r="GC66" s="20">
        <f t="shared" si="25"/>
        <v>274.83755586772605</v>
      </c>
      <c r="GD66" s="59">
        <f t="shared" si="26"/>
        <v>537.73389421113211</v>
      </c>
      <c r="GE66" s="59">
        <f ca="1">AVERAGE(OFFSET($GD$3,0,0,'Données projet'!$E$17+1,1))-AVERAGE(OFFSET($H$3,0,0,'Données projet'!$E$17+1,1))</f>
        <v>313.51355235711543</v>
      </c>
      <c r="GF66" s="59">
        <f t="shared" si="50"/>
        <v>186.0840067781198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0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0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6.8</v>
      </c>
      <c r="N67" s="13">
        <f>IF('Données projet'!$A$36&gt;35,N66+M67-V66,IF(A67&lt;'Données projet'!$A$36,$K$205^A67,IF(A67='Données projet'!$A$36,'Données projet'!$B$36,N66+M67-V66)))</f>
        <v>204.19999999999996</v>
      </c>
      <c r="O67" s="13">
        <f>N67*VLOOKUP('Données projet'!$B$9,Paramètres!$A$1:$I$89,3,0)*VLOOKUP('Données projet'!$B$9,Paramètres!$A$1:$I$89,5,0)</f>
        <v>207.05879999999999</v>
      </c>
      <c r="P67" s="13">
        <f t="shared" si="33"/>
        <v>51.292332840714117</v>
      </c>
      <c r="Q67" s="20">
        <f t="shared" ref="Q67:Q98" si="54">(O67+P67)*0.475*44/12</f>
        <v>449.96155636424373</v>
      </c>
      <c r="R67" s="59">
        <f t="shared" ref="R67:R130" si="55">Q67+(I67+J67)*44/12</f>
        <v>713.38590852379843</v>
      </c>
      <c r="S67" s="59">
        <f ca="1">AVERAGE(OFFSET($R$3,0,0,'Données projet'!$E$9+1,1))-AVERAGE(OFFSET($H$3,0,0,'Données projet'!$E$9+1,1))</f>
        <v>452.67426184967104</v>
      </c>
      <c r="T67" s="59">
        <f t="shared" si="34"/>
        <v>310.47823616327639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4.9358974358974361</v>
      </c>
      <c r="AI67" s="13">
        <f>IF('Données projet'!$A$62&gt;35,AI66+AH67-AQ66,IF(A67&lt;'Données projet'!$A$62,$AF$205^A67,IF(A67='Données projet'!$A$62,'Données projet'!$B$62,AI66+AH67-AQ66)))</f>
        <v>228.71794871794881</v>
      </c>
      <c r="AJ67" s="13">
        <f>AI67*VLOOKUP('Données projet'!$B$10,Paramètres!$A$1:$I$89,3,0)*VLOOKUP('Données projet'!$B$10,Paramètres!$A$1:$I$89,5,0)</f>
        <v>239.05600000000013</v>
      </c>
      <c r="AK67" s="13">
        <f t="shared" si="35"/>
        <v>58.236377720351562</v>
      </c>
      <c r="AL67" s="20">
        <f t="shared" si="4"/>
        <v>517.78422452961252</v>
      </c>
      <c r="AM67" s="59">
        <f t="shared" si="5"/>
        <v>781.20857668916733</v>
      </c>
      <c r="AN67" s="59">
        <f ca="1">AVERAGE(OFFSET($AM$3,0,0,'Données projet'!$E$10+1,1))-AVERAGE(OFFSET($H$3,0,0,'Données projet'!$E$10+1,1))</f>
        <v>528.45201982036087</v>
      </c>
      <c r="AO67" s="59">
        <f t="shared" si="36"/>
        <v>321.23004033257985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7.5359706018639839E-7</v>
      </c>
      <c r="AX67" s="21">
        <f t="shared" si="6"/>
        <v>7.5359706018639839E-7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3.7</v>
      </c>
      <c r="BD67" s="12">
        <f>IF('Données projet'!$A$88&gt;35,BD66+BC67-BL66,IF(A67&lt;'Données projet'!$A$88,$BA$205^A67,IF(A67='Données projet'!$A$88,'Données projet'!$B$88,BD66+BC67-BL66)))</f>
        <v>119.8</v>
      </c>
      <c r="BE67" s="13">
        <f>BD67*VLOOKUP('Données projet'!$B$11,Paramètres!$A$1:$I$89,3,0)*VLOOKUP('Données projet'!$B$11,Paramètres!$A$1:$I$89,5,0)</f>
        <v>115.87056</v>
      </c>
      <c r="BF67" s="13">
        <f t="shared" si="37"/>
        <v>30.709921142001637</v>
      </c>
      <c r="BG67" s="20">
        <f t="shared" si="7"/>
        <v>255.29433798898617</v>
      </c>
      <c r="BH67" s="59">
        <f t="shared" si="8"/>
        <v>518.71869014854087</v>
      </c>
      <c r="BI67" s="59">
        <f ca="1">AVERAGE(OFFSET($BH$3,0,0,'Données projet'!$E$11+1,1))-AVERAGE(OFFSET($H$3,0,0,'Données projet'!$E$11+1,1))</f>
        <v>289.06522051625166</v>
      </c>
      <c r="BJ67" s="59">
        <f t="shared" si="38"/>
        <v>173.19148969173838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4.9000000000000004</v>
      </c>
      <c r="BY67" s="12">
        <f>IF('Données projet'!$A$114&gt;35,BY66+BX67-CG66,IF(A67&lt;'Données projet'!$A$114,$BV$205^A67,IF(A67='Données projet'!$A$114,'Données projet'!$B$114,BY66+BX67-CG66)))</f>
        <v>202.60000000000025</v>
      </c>
      <c r="BZ67" s="13">
        <f>BY67*VLOOKUP('Données projet'!$B$12,Paramètres!$A$1:$I$89,3,0)*VLOOKUP('Données projet'!$B$12,Paramètres!$A$1:$I$89,5,0)</f>
        <v>164.3491200000002</v>
      </c>
      <c r="CA67" s="13">
        <f t="shared" si="39"/>
        <v>41.821935172974364</v>
      </c>
      <c r="CB67" s="20">
        <f t="shared" si="10"/>
        <v>359.08125442626397</v>
      </c>
      <c r="CC67" s="59">
        <f t="shared" si="11"/>
        <v>622.50560658581867</v>
      </c>
      <c r="CD67" s="59">
        <f ca="1">AVERAGE(OFFSET($CC$3,0,0,'Données projet'!$E$12+1,1))-AVERAGE(OFFSET($H$3,0,0,'Données projet'!$E$12+1,1))</f>
        <v>306.06916761900357</v>
      </c>
      <c r="CE67" s="59">
        <f t="shared" si="40"/>
        <v>258.90832875500337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1.3686222430370298E-6</v>
      </c>
      <c r="CN67" s="22">
        <f t="shared" si="12"/>
        <v>1.3686222430370298E-6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6.8</v>
      </c>
      <c r="CT67" s="12">
        <f>IF('Données projet'!$A$140&gt;35,CT66+CS67-DB66,IF(A67&lt;'Données projet'!$A$140,$CQ$205^A67,IF(A67='Données projet'!$A$140,'Données projet'!$B$140,CT66+CS67-DB66)))</f>
        <v>204.19999999999996</v>
      </c>
      <c r="CU67" s="17">
        <f>CT67*VLOOKUP('Données projet'!$B$13,Paramètres!$A$1:$I$89,3,0)*VLOOKUP('Données projet'!$B$13,Paramètres!$A$1:$I$89,5,0)</f>
        <v>136.97735999999998</v>
      </c>
      <c r="CV67" s="13">
        <f t="shared" si="41"/>
        <v>35.603683950434494</v>
      </c>
      <c r="CW67" s="20">
        <f t="shared" si="13"/>
        <v>300.5786515470067</v>
      </c>
      <c r="CX67" s="59">
        <f t="shared" si="14"/>
        <v>564.00300370656146</v>
      </c>
      <c r="CY67" s="59">
        <f ca="1">AVERAGE(OFFSET($CX$3,0,0,'Données projet'!$E$13+1,1))-AVERAGE(OFFSET($H$3,0,0,'Données projet'!$E$13+1,1))</f>
        <v>324.58754156328285</v>
      </c>
      <c r="CZ67" s="59">
        <f t="shared" si="42"/>
        <v>226.01037731977604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8.2994656532886512E-7</v>
      </c>
      <c r="DI67" s="22">
        <f t="shared" si="15"/>
        <v>8.2994656532886512E-7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13.737499999999997</v>
      </c>
      <c r="DO67" s="12">
        <f>IF('Données projet'!$A$166&gt;35,DO66+DN67-DW66,IF(A67&lt;'Données projet'!$A$166,$DL$205^A67,IF(A67='Données projet'!$A$166,'Données projet'!$B$166,DO66+DN67-DW66)))</f>
        <v>317.79134615384612</v>
      </c>
      <c r="DP67" s="17">
        <f>DO67*VLOOKUP('Données projet'!$B$14,Paramètres!$A$1:$I$89,3,0)*VLOOKUP('Données projet'!$B$14,Paramètres!$A$1:$I$89,5,0)</f>
        <v>148.72635</v>
      </c>
      <c r="DQ67" s="13">
        <f t="shared" si="43"/>
        <v>38.289000598915827</v>
      </c>
      <c r="DR67" s="20">
        <f t="shared" si="16"/>
        <v>325.71840229311169</v>
      </c>
      <c r="DS67" s="59">
        <f t="shared" si="17"/>
        <v>589.1427544526664</v>
      </c>
      <c r="DT67" s="59">
        <f ca="1">AVERAGE(OFFSET($DS$3,0,0,'Données projet'!$E$14+1,1))-AVERAGE(OFFSET($H$3,0,0,'Données projet'!$E$14+1,1))</f>
        <v>325.93182817189722</v>
      </c>
      <c r="DU67" s="59">
        <f t="shared" si="44"/>
        <v>280.04509991782709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4.0999999999999996</v>
      </c>
      <c r="EJ67" s="12">
        <f>IF('Données projet'!$A$192&gt;35,EJ66+EI67-ER66,IF(A67&lt;'Données projet'!$A$192,$EG$205^A67,IF(A67='Données projet'!$A$192,'Données projet'!$B$192,EJ66+EI67-ER66)))</f>
        <v>249.39999999999972</v>
      </c>
      <c r="EK67" s="17">
        <f>EJ67*VLOOKUP('Données projet'!$B$15,Paramètres!$A$1:$I$89,3,0)*VLOOKUP('Données projet'!$B$15,Paramètres!$A$1:$I$89,5,0)</f>
        <v>198.4226399999998</v>
      </c>
      <c r="EL67" s="13">
        <f t="shared" si="45"/>
        <v>49.397352151183213</v>
      </c>
      <c r="EM67" s="20">
        <f t="shared" si="19"/>
        <v>431.61981966331041</v>
      </c>
      <c r="EN67" s="59">
        <f t="shared" si="20"/>
        <v>695.04417182286511</v>
      </c>
      <c r="EO67" s="59">
        <f ca="1">AVERAGE(OFFSET($EN$3,0,0,'Données projet'!$E$15+1,1))-AVERAGE(OFFSET($H$3,0,0,'Données projet'!$E$15+1,1))</f>
        <v>333.52903437536651</v>
      </c>
      <c r="EP67" s="59">
        <f t="shared" si="46"/>
        <v>359.47288701414777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1.4736694083962032</v>
      </c>
      <c r="EX67" s="21">
        <f>EXP(-LN(2)/2)*EX66+(1-EXP(-LN(2)/2))/(LN(2)/2)*ER67*EU67*VLOOKUP('Données projet'!$B$15,Paramètres!$A$1:$I$89,3,0)*0.475*44/12</f>
        <v>1.9239670378078237E-6</v>
      </c>
      <c r="EY67" s="22">
        <f t="shared" si="21"/>
        <v>1.4736713323632411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9.1830769230769249</v>
      </c>
      <c r="FE67" s="12">
        <f>IF('Données projet'!$A$218&gt;35,FE66+FD67-FM66,IF(A67&lt;'Données projet'!$A$218,$FB$205^A67,IF(A67='Données projet'!$A$218,'Données projet'!$B$218,FE66+FD67-FM66)))</f>
        <v>324.89384615384608</v>
      </c>
      <c r="FF67" s="17">
        <f>FE67*VLOOKUP('Données projet'!$B$16,Paramètres!$A$1:$I$89,3,0)*VLOOKUP('Données projet'!$B$16,Paramètres!$A$1:$I$89,5,0)</f>
        <v>194.28651999999997</v>
      </c>
      <c r="FG67" s="13">
        <f t="shared" si="47"/>
        <v>48.486407543748122</v>
      </c>
      <c r="FH67" s="20">
        <f t="shared" si="22"/>
        <v>422.82951547202788</v>
      </c>
      <c r="FI67" s="59">
        <f t="shared" si="23"/>
        <v>686.25386763158258</v>
      </c>
      <c r="FJ67" s="59">
        <f ca="1">AVERAGE(OFFSET($FI$3,0,0,'Données projet'!$E$16+1,1))-AVERAGE(OFFSET($H$3,0,0,'Données projet'!$E$16+1,1))</f>
        <v>313.26988717307376</v>
      </c>
      <c r="FK67" s="59">
        <f t="shared" si="48"/>
        <v>248.17359813993201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1.1887632474409666</v>
      </c>
      <c r="FR67" s="21">
        <f>EXP(-LN(2)/25)*FR66+(1-EXP(-LN(2)/25))/(LN(2)/25)*Calculateur!FM67*Calculateur!FO67*VLOOKUP('Données projet'!$B$16,Paramètres!$A$1:$I$89,3,0)*0.475*44/12</f>
        <v>2.9371516180279822</v>
      </c>
      <c r="FS67" s="21">
        <f>EXP(-LN(2)/2)*FS66+(1-EXP(-LN(2)/2))/(LN(2)/2)*FM67*FP67*VLOOKUP('Données projet'!$B$16,Paramètres!$A$1:$I$89,3,0)*0.475*44/12</f>
        <v>3.2122005476351484E-5</v>
      </c>
      <c r="FT67" s="22">
        <f t="shared" si="24"/>
        <v>4.1259469874744248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3.7</v>
      </c>
      <c r="FZ67" s="12">
        <f>IF('Données projet'!$A$244&gt;35,FZ66+FY67-GH66,IF(A67&lt;'Données projet'!$A$244,$FW$205^A67,IF(A67='Données projet'!$A$244,'Données projet'!$B$244,FZ66+FY67-GH66)))</f>
        <v>119.8</v>
      </c>
      <c r="GA67" s="17">
        <f>FZ67*VLOOKUP('Données projet'!$B$17,Paramètres!$A$1:$I$89,3,0)*VLOOKUP('Données projet'!$B$17,Paramètres!$A$1:$I$89,5,0)</f>
        <v>128.95272</v>
      </c>
      <c r="GB67" s="13">
        <f t="shared" si="49"/>
        <v>33.754249869750907</v>
      </c>
      <c r="GC67" s="20">
        <f t="shared" si="25"/>
        <v>283.38130585648281</v>
      </c>
      <c r="GD67" s="59">
        <f t="shared" si="26"/>
        <v>546.80565801603757</v>
      </c>
      <c r="GE67" s="59">
        <f ca="1">AVERAGE(OFFSET($GD$3,0,0,'Données projet'!$E$17+1,1))-AVERAGE(OFFSET($H$3,0,0,'Données projet'!$E$17+1,1))</f>
        <v>313.51355235711543</v>
      </c>
      <c r="GF67" s="59">
        <f t="shared" si="50"/>
        <v>186.0840067781198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0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0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6.8</v>
      </c>
      <c r="N68" s="13">
        <f>IF('Données projet'!$A$36&gt;35,N67+M68-V67,IF(A68&lt;'Données projet'!$A$36,$K$205^A68,IF(A68='Données projet'!$A$36,'Données projet'!$B$36,N67+M68-V67)))</f>
        <v>210.99999999999997</v>
      </c>
      <c r="O68" s="13">
        <f>N68*VLOOKUP('Données projet'!$B$9,Paramètres!$A$1:$I$89,3,0)*VLOOKUP('Données projet'!$B$9,Paramètres!$A$1:$I$89,5,0)</f>
        <v>213.95399999999998</v>
      </c>
      <c r="P68" s="13">
        <f t="shared" si="33"/>
        <v>52.798693904379121</v>
      </c>
      <c r="Q68" s="20">
        <f t="shared" si="54"/>
        <v>464.59427521679351</v>
      </c>
      <c r="R68" s="59">
        <f t="shared" si="55"/>
        <v>728.53748133324871</v>
      </c>
      <c r="S68" s="59">
        <f ca="1">AVERAGE(OFFSET($R$3,0,0,'Données projet'!$E$9+1,1))-AVERAGE(OFFSET($H$3,0,0,'Données projet'!$E$9+1,1))</f>
        <v>452.67426184967104</v>
      </c>
      <c r="T68" s="59">
        <f t="shared" si="34"/>
        <v>310.47823616327639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4.9358974358974361</v>
      </c>
      <c r="AI68" s="13">
        <f>IF('Données projet'!$A$62&gt;35,AI67+AH68-AQ67,IF(A68&lt;'Données projet'!$A$62,$AF$205^A68,IF(A68='Données projet'!$A$62,'Données projet'!$B$62,AI67+AH68-AQ67)))</f>
        <v>233.65384615384625</v>
      </c>
      <c r="AJ68" s="13">
        <f>AI68*VLOOKUP('Données projet'!$B$10,Paramètres!$A$1:$I$89,3,0)*VLOOKUP('Données projet'!$B$10,Paramètres!$A$1:$I$89,5,0)</f>
        <v>244.21500000000012</v>
      </c>
      <c r="AK68" s="13">
        <f t="shared" si="35"/>
        <v>59.345487313847762</v>
      </c>
      <c r="AL68" s="20">
        <f t="shared" ref="AL68:AL131" si="58">(AJ68+AK68)*0.475*44/12</f>
        <v>528.7011820716184</v>
      </c>
      <c r="AM68" s="59">
        <f t="shared" ref="AM68:AM131" si="59">AL68+(AD68+AE68)*44/12</f>
        <v>792.64438818807366</v>
      </c>
      <c r="AN68" s="59">
        <f ca="1">AVERAGE(OFFSET($AM$3,0,0,'Données projet'!$E$10+1,1))-AVERAGE(OFFSET($H$3,0,0,'Données projet'!$E$10+1,1))</f>
        <v>528.45201982036087</v>
      </c>
      <c r="AO68" s="59">
        <f t="shared" si="36"/>
        <v>321.23004033257985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5.3287359154004908E-7</v>
      </c>
      <c r="AX68" s="21">
        <f t="shared" ref="AX68:AX131" si="60">SUM(AU68:AW68)</f>
        <v>5.3287359154004908E-7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3.7</v>
      </c>
      <c r="BD68" s="12">
        <f>IF('Données projet'!$A$88&gt;35,BD67+BC68-BL67,IF(A68&lt;'Données projet'!$A$88,$BA$205^A68,IF(A68='Données projet'!$A$88,'Données projet'!$B$88,BD67+BC68-BL67)))</f>
        <v>123.5</v>
      </c>
      <c r="BE68" s="13">
        <f>BD68*VLOOKUP('Données projet'!$B$11,Paramètres!$A$1:$I$89,3,0)*VLOOKUP('Données projet'!$B$11,Paramètres!$A$1:$I$89,5,0)</f>
        <v>119.44919999999999</v>
      </c>
      <c r="BF68" s="13">
        <f t="shared" si="37"/>
        <v>31.54649986262719</v>
      </c>
      <c r="BG68" s="20">
        <f t="shared" ref="BG68:BG131" si="61">(BE68+BF68)*0.475*44/12</f>
        <v>262.98417726074234</v>
      </c>
      <c r="BH68" s="59">
        <f t="shared" ref="BH68:BH131" si="62">BG68+(AY68+AZ68)*44/12</f>
        <v>526.92738337719754</v>
      </c>
      <c r="BI68" s="59">
        <f ca="1">AVERAGE(OFFSET($BH$3,0,0,'Données projet'!$E$11+1,1))-AVERAGE(OFFSET($H$3,0,0,'Données projet'!$E$11+1,1))</f>
        <v>289.06522051625166</v>
      </c>
      <c r="BJ68" s="59">
        <f t="shared" si="38"/>
        <v>173.19148969173838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4.9000000000000004</v>
      </c>
      <c r="BY68" s="12">
        <f>IF('Données projet'!$A$114&gt;35,BY67+BX68-CG67,IF(A68&lt;'Données projet'!$A$114,$BV$205^A68,IF(A68='Données projet'!$A$114,'Données projet'!$B$114,BY67+BX68-CG67)))</f>
        <v>207.50000000000026</v>
      </c>
      <c r="BZ68" s="13">
        <f>BY68*VLOOKUP('Données projet'!$B$12,Paramètres!$A$1:$I$89,3,0)*VLOOKUP('Données projet'!$B$12,Paramètres!$A$1:$I$89,5,0)</f>
        <v>168.32400000000021</v>
      </c>
      <c r="CA68" s="13">
        <f t="shared" si="39"/>
        <v>42.714439164086123</v>
      </c>
      <c r="CB68" s="20">
        <f t="shared" ref="CB68:CB131" si="64">(BZ68+CA68)*0.475*44/12</f>
        <v>367.55861487745034</v>
      </c>
      <c r="CC68" s="59">
        <f t="shared" ref="CC68:CC131" si="65">CB68+(BT68+BU68)*44/12</f>
        <v>631.50182099390554</v>
      </c>
      <c r="CD68" s="59">
        <f ca="1">AVERAGE(OFFSET($CC$3,0,0,'Données projet'!$E$12+1,1))-AVERAGE(OFFSET($H$3,0,0,'Données projet'!$E$12+1,1))</f>
        <v>306.06916761900357</v>
      </c>
      <c r="CE68" s="59">
        <f t="shared" si="40"/>
        <v>258.90832875500337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9.6776206893422685E-7</v>
      </c>
      <c r="CN68" s="22">
        <f t="shared" ref="CN68:CN131" si="66">SUM(CK68:CM68)</f>
        <v>9.6776206893422685E-7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6.8</v>
      </c>
      <c r="CT68" s="12">
        <f>IF('Données projet'!$A$140&gt;35,CT67+CS68-DB67,IF(A68&lt;'Données projet'!$A$140,$CQ$205^A68,IF(A68='Données projet'!$A$140,'Données projet'!$B$140,CT67+CS68-DB67)))</f>
        <v>210.99999999999997</v>
      </c>
      <c r="CU68" s="17">
        <f>CT68*VLOOKUP('Données projet'!$B$13,Paramètres!$A$1:$I$89,3,0)*VLOOKUP('Données projet'!$B$13,Paramètres!$A$1:$I$89,5,0)</f>
        <v>141.53879999999998</v>
      </c>
      <c r="CV68" s="13">
        <f t="shared" si="41"/>
        <v>36.649298377692446</v>
      </c>
      <c r="CW68" s="20">
        <f t="shared" ref="CW68:CW131" si="67">(CU68+CV68)*0.475*44/12</f>
        <v>310.34427134114759</v>
      </c>
      <c r="CX68" s="59">
        <f t="shared" ref="CX68:CX131" si="68">CW68+(CO68+CP68)*44/12</f>
        <v>574.28747745760279</v>
      </c>
      <c r="CY68" s="59">
        <f ca="1">AVERAGE(OFFSET($CX$3,0,0,'Données projet'!$E$13+1,1))-AVERAGE(OFFSET($H$3,0,0,'Données projet'!$E$13+1,1))</f>
        <v>324.58754156328285</v>
      </c>
      <c r="CZ68" s="59">
        <f t="shared" si="42"/>
        <v>226.01037731977604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5.8686084436652449E-7</v>
      </c>
      <c r="DI68" s="22">
        <f t="shared" ref="DI68:DI131" si="69">SUM(DF68:DH68)</f>
        <v>5.8686084436652449E-7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13.737499999999997</v>
      </c>
      <c r="DO68" s="12">
        <f>IF('Données projet'!$A$166&gt;35,DO67+DN68-DW67,IF(A68&lt;'Données projet'!$A$166,$DL$205^A68,IF(A68='Données projet'!$A$166,'Données projet'!$B$166,DO67+DN68-DW67)))</f>
        <v>331.52884615384613</v>
      </c>
      <c r="DP68" s="17">
        <f>DO68*VLOOKUP('Données projet'!$B$14,Paramètres!$A$1:$I$89,3,0)*VLOOKUP('Données projet'!$B$14,Paramètres!$A$1:$I$89,5,0)</f>
        <v>155.15549999999999</v>
      </c>
      <c r="DQ68" s="13">
        <f t="shared" si="43"/>
        <v>39.74787733410745</v>
      </c>
      <c r="DR68" s="20">
        <f t="shared" ref="DR68:DR131" si="70">(DP68+DQ68)*0.475*44/12</f>
        <v>339.45671552357044</v>
      </c>
      <c r="DS68" s="59">
        <f t="shared" ref="DS68:DS131" si="71">DR68+(DJ68+DK68)*44/12</f>
        <v>603.3999216400257</v>
      </c>
      <c r="DT68" s="59">
        <f ca="1">AVERAGE(OFFSET($DS$3,0,0,'Données projet'!$E$14+1,1))-AVERAGE(OFFSET($H$3,0,0,'Données projet'!$E$14+1,1))</f>
        <v>325.93182817189722</v>
      </c>
      <c r="DU68" s="59">
        <f t="shared" si="44"/>
        <v>280.04509991782709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4.0999999999999996</v>
      </c>
      <c r="EJ68" s="12">
        <f>IF('Données projet'!$A$192&gt;35,EJ67+EI68-ER67,IF(A68&lt;'Données projet'!$A$192,$EG$205^A68,IF(A68='Données projet'!$A$192,'Données projet'!$B$192,EJ67+EI68-ER67)))</f>
        <v>253.49999999999972</v>
      </c>
      <c r="EK68" s="17">
        <f>EJ68*VLOOKUP('Données projet'!$B$15,Paramètres!$A$1:$I$89,3,0)*VLOOKUP('Données projet'!$B$15,Paramètres!$A$1:$I$89,5,0)</f>
        <v>201.68459999999979</v>
      </c>
      <c r="EL68" s="13">
        <f t="shared" si="45"/>
        <v>50.114210893233739</v>
      </c>
      <c r="EM68" s="20">
        <f t="shared" ref="EM68:EM131" si="73">(EK68+EL68)*0.475*44/12</f>
        <v>438.54959563904839</v>
      </c>
      <c r="EN68" s="59">
        <f t="shared" ref="EN68:EN131" si="74">EM68+(EE68+EF68)*44/12</f>
        <v>702.49280175550359</v>
      </c>
      <c r="EO68" s="59">
        <f ca="1">AVERAGE(OFFSET($EN$3,0,0,'Données projet'!$E$15+1,1))-AVERAGE(OFFSET($H$3,0,0,'Données projet'!$E$15+1,1))</f>
        <v>333.52903437536651</v>
      </c>
      <c r="EP68" s="59">
        <f t="shared" si="46"/>
        <v>359.47288701414777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1.4333718409267029</v>
      </c>
      <c r="EX68" s="21">
        <f>EXP(-LN(2)/2)*EX67+(1-EXP(-LN(2)/2))/(LN(2)/2)*ER68*EU68*VLOOKUP('Données projet'!$B$15,Paramètres!$A$1:$I$89,3,0)*0.475*44/12</f>
        <v>1.3604501392133068E-6</v>
      </c>
      <c r="EY68" s="22">
        <f t="shared" ref="EY68:EY131" si="75">SUM(EV68:EX68)</f>
        <v>1.4333732013768421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9.1830769230769249</v>
      </c>
      <c r="FE68" s="12">
        <f>IF('Données projet'!$A$218&gt;35,FE67+FD68-FM67,IF(A68&lt;'Données projet'!$A$218,$FB$205^A68,IF(A68='Données projet'!$A$218,'Données projet'!$B$218,FE67+FD68-FM67)))</f>
        <v>334.07692307692298</v>
      </c>
      <c r="FF68" s="17">
        <f>FE68*VLOOKUP('Données projet'!$B$16,Paramètres!$A$1:$I$89,3,0)*VLOOKUP('Données projet'!$B$16,Paramètres!$A$1:$I$89,5,0)</f>
        <v>199.77799999999996</v>
      </c>
      <c r="FG68" s="13">
        <f t="shared" si="47"/>
        <v>49.695375691492842</v>
      </c>
      <c r="FH68" s="20">
        <f t="shared" ref="FH68:FH131" si="76">(FF68+FG68)*0.475*44/12</f>
        <v>434.4994626626833</v>
      </c>
      <c r="FI68" s="59">
        <f t="shared" ref="FI68:FI131" si="77">FH68+(EZ68+FA68)*44/12</f>
        <v>698.44266877913856</v>
      </c>
      <c r="FJ68" s="59">
        <f ca="1">AVERAGE(OFFSET($FI$3,0,0,'Données projet'!$E$16+1,1))-AVERAGE(OFFSET($H$3,0,0,'Données projet'!$E$16+1,1))</f>
        <v>313.26988717307376</v>
      </c>
      <c r="FK68" s="59">
        <f t="shared" si="48"/>
        <v>248.17359813993201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1.1654523252326352</v>
      </c>
      <c r="FR68" s="21">
        <f>EXP(-LN(2)/25)*FR67+(1-EXP(-LN(2)/25))/(LN(2)/25)*Calculateur!FM68*Calculateur!FO68*VLOOKUP('Données projet'!$B$16,Paramètres!$A$1:$I$89,3,0)*0.475*44/12</f>
        <v>2.8568350525749162</v>
      </c>
      <c r="FS68" s="21">
        <f>EXP(-LN(2)/2)*FS67+(1-EXP(-LN(2)/2))/(LN(2)/2)*FM68*FP68*VLOOKUP('Données projet'!$B$16,Paramètres!$A$1:$I$89,3,0)*0.475*44/12</f>
        <v>2.2713687897639551E-5</v>
      </c>
      <c r="FT68" s="22">
        <f t="shared" ref="FT68:FT131" si="78">SUM(FQ68:FS68)</f>
        <v>4.0223100914954486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3.7</v>
      </c>
      <c r="FZ68" s="12">
        <f>IF('Données projet'!$A$244&gt;35,FZ67+FY68-GH67,IF(A68&lt;'Données projet'!$A$244,$FW$205^A68,IF(A68='Données projet'!$A$244,'Données projet'!$B$244,FZ67+FY68-GH67)))</f>
        <v>123.5</v>
      </c>
      <c r="GA68" s="17">
        <f>FZ68*VLOOKUP('Données projet'!$B$17,Paramètres!$A$1:$I$89,3,0)*VLOOKUP('Données projet'!$B$17,Paramètres!$A$1:$I$89,5,0)</f>
        <v>132.93539999999999</v>
      </c>
      <c r="GB68" s="13">
        <f t="shared" si="49"/>
        <v>34.673760116655764</v>
      </c>
      <c r="GC68" s="20">
        <f t="shared" ref="GC68:GC131" si="79">(GA68+GB68)*0.475*44/12</f>
        <v>291.91928720317543</v>
      </c>
      <c r="GD68" s="59">
        <f t="shared" ref="GD68:GD131" si="80">GC68+(FU68+FV68)*44/12</f>
        <v>555.86249331963063</v>
      </c>
      <c r="GE68" s="59">
        <f ca="1">AVERAGE(OFFSET($GD$3,0,0,'Données projet'!$E$17+1,1))-AVERAGE(OFFSET($H$3,0,0,'Données projet'!$E$17+1,1))</f>
        <v>313.51355235711543</v>
      </c>
      <c r="GF68" s="59">
        <f t="shared" si="50"/>
        <v>186.0840067781198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0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0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6.8</v>
      </c>
      <c r="N69" s="13">
        <f>IF('Données projet'!$A$36&gt;35,N68+M69-V68,IF(A69&lt;'Données projet'!$A$36,$K$205^A69,IF(A69='Données projet'!$A$36,'Données projet'!$B$36,N68+M69-V68)))</f>
        <v>217.79999999999998</v>
      </c>
      <c r="O69" s="13">
        <f>N69*VLOOKUP('Données projet'!$B$9,Paramètres!$A$1:$I$89,3,0)*VLOOKUP('Données projet'!$B$9,Paramètres!$A$1:$I$89,5,0)</f>
        <v>220.8492</v>
      </c>
      <c r="P69" s="13">
        <f t="shared" ref="P69:P132" si="87">EXP(-1.0587+0.8836*LN(O69)+0.284)</f>
        <v>54.299413740412206</v>
      </c>
      <c r="Q69" s="20">
        <f t="shared" si="54"/>
        <v>479.21716893121788</v>
      </c>
      <c r="R69" s="59">
        <f t="shared" si="55"/>
        <v>743.67022804840497</v>
      </c>
      <c r="S69" s="59">
        <f ca="1">AVERAGE(OFFSET($R$3,0,0,'Données projet'!$E$9+1,1))-AVERAGE(OFFSET($H$3,0,0,'Données projet'!$E$9+1,1))</f>
        <v>452.67426184967104</v>
      </c>
      <c r="T69" s="59">
        <f t="shared" ref="T69:T132" si="88">$T$3</f>
        <v>310.47823616327639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4.9358974358974361</v>
      </c>
      <c r="AI69" s="13">
        <f>IF('Données projet'!$A$62&gt;35,AI68+AH69-AQ68,IF(A69&lt;'Données projet'!$A$62,$AF$205^A69,IF(A69='Données projet'!$A$62,'Données projet'!$B$62,AI68+AH69-AQ68)))</f>
        <v>238.58974358974368</v>
      </c>
      <c r="AJ69" s="13">
        <f>AI69*VLOOKUP('Données projet'!$B$10,Paramètres!$A$1:$I$89,3,0)*VLOOKUP('Données projet'!$B$10,Paramètres!$A$1:$I$89,5,0)</f>
        <v>249.37400000000011</v>
      </c>
      <c r="AK69" s="13">
        <f t="shared" ref="AK69:AK132" si="89">EXP(-1.0587+0.8836*LN(AJ69)+0.284)</f>
        <v>60.451872820564986</v>
      </c>
      <c r="AL69" s="20">
        <f t="shared" si="58"/>
        <v>539.61339516248415</v>
      </c>
      <c r="AM69" s="59">
        <f t="shared" si="59"/>
        <v>804.06645427967123</v>
      </c>
      <c r="AN69" s="59">
        <f ca="1">AVERAGE(OFFSET($AM$3,0,0,'Données projet'!$E$10+1,1))-AVERAGE(OFFSET($H$3,0,0,'Données projet'!$E$10+1,1))</f>
        <v>528.45201982036087</v>
      </c>
      <c r="AO69" s="59">
        <f t="shared" ref="AO69:AO132" si="90">$AO$3</f>
        <v>321.23004033257985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3.7679853009319919E-7</v>
      </c>
      <c r="AX69" s="21">
        <f t="shared" si="60"/>
        <v>3.7679853009319919E-7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3.7</v>
      </c>
      <c r="BD69" s="12">
        <f>IF('Données projet'!$A$88&gt;35,BD68+BC69-BL68,IF(A69&lt;'Données projet'!$A$88,$BA$205^A69,IF(A69='Données projet'!$A$88,'Données projet'!$B$88,BD68+BC69-BL68)))</f>
        <v>127.2</v>
      </c>
      <c r="BE69" s="13">
        <f>BD69*VLOOKUP('Données projet'!$B$11,Paramètres!$A$1:$I$89,3,0)*VLOOKUP('Données projet'!$B$11,Paramètres!$A$1:$I$89,5,0)</f>
        <v>123.02784000000001</v>
      </c>
      <c r="BF69" s="13">
        <f t="shared" ref="BF69:BF132" si="91">EXP(-1.0587+0.8836*LN(BE69)+0.284)</f>
        <v>32.38016581336786</v>
      </c>
      <c r="BG69" s="20">
        <f t="shared" si="61"/>
        <v>270.6689434582824</v>
      </c>
      <c r="BH69" s="59">
        <f t="shared" si="62"/>
        <v>535.12200257546942</v>
      </c>
      <c r="BI69" s="59">
        <f ca="1">AVERAGE(OFFSET($BH$3,0,0,'Données projet'!$E$11+1,1))-AVERAGE(OFFSET($H$3,0,0,'Données projet'!$E$11+1,1))</f>
        <v>289.06522051625166</v>
      </c>
      <c r="BJ69" s="59">
        <f t="shared" ref="BJ69:BJ132" si="92">$BJ$3</f>
        <v>173.19148969173838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4.9000000000000004</v>
      </c>
      <c r="BY69" s="12">
        <f>IF('Données projet'!$A$114&gt;35,BY68+BX69-CG68,IF(A69&lt;'Données projet'!$A$114,$BV$205^A69,IF(A69='Données projet'!$A$114,'Données projet'!$B$114,BY68+BX69-CG68)))</f>
        <v>212.40000000000026</v>
      </c>
      <c r="BZ69" s="13">
        <f>BY69*VLOOKUP('Données projet'!$B$12,Paramètres!$A$1:$I$89,3,0)*VLOOKUP('Données projet'!$B$12,Paramètres!$A$1:$I$89,5,0)</f>
        <v>172.29888000000022</v>
      </c>
      <c r="CA69" s="13">
        <f t="shared" ref="CA69:CA132" si="93">EXP(-1.0587+0.8836*LN(BZ69)+0.284)</f>
        <v>43.604493036936915</v>
      </c>
      <c r="CB69" s="20">
        <f t="shared" si="64"/>
        <v>376.03170803933216</v>
      </c>
      <c r="CC69" s="59">
        <f t="shared" si="65"/>
        <v>640.48476715651918</v>
      </c>
      <c r="CD69" s="59">
        <f ca="1">AVERAGE(OFFSET($CC$3,0,0,'Données projet'!$E$12+1,1))-AVERAGE(OFFSET($H$3,0,0,'Données projet'!$E$12+1,1))</f>
        <v>306.06916761900357</v>
      </c>
      <c r="CE69" s="59">
        <f t="shared" ref="CE69:CE132" si="94">$CE$3</f>
        <v>258.90832875500337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6.8431112151851488E-7</v>
      </c>
      <c r="CN69" s="22">
        <f t="shared" si="66"/>
        <v>6.8431112151851488E-7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6.8</v>
      </c>
      <c r="CT69" s="12">
        <f>IF('Données projet'!$A$140&gt;35,CT68+CS69-DB68,IF(A69&lt;'Données projet'!$A$140,$CQ$205^A69,IF(A69='Données projet'!$A$140,'Données projet'!$B$140,CT68+CS69-DB68)))</f>
        <v>217.79999999999998</v>
      </c>
      <c r="CU69" s="17">
        <f>CT69*VLOOKUP('Données projet'!$B$13,Paramètres!$A$1:$I$89,3,0)*VLOOKUP('Données projet'!$B$13,Paramètres!$A$1:$I$89,5,0)</f>
        <v>146.10023999999999</v>
      </c>
      <c r="CV69" s="13">
        <f t="shared" ref="CV69:CV132" si="95">EXP(-1.0587+0.8836*LN(CU69)+0.284)</f>
        <v>37.690997044551672</v>
      </c>
      <c r="CW69" s="20">
        <f t="shared" si="67"/>
        <v>320.10307118592743</v>
      </c>
      <c r="CX69" s="59">
        <f t="shared" si="68"/>
        <v>584.55613030311451</v>
      </c>
      <c r="CY69" s="59">
        <f ca="1">AVERAGE(OFFSET($CX$3,0,0,'Données projet'!$E$13+1,1))-AVERAGE(OFFSET($H$3,0,0,'Données projet'!$E$13+1,1))</f>
        <v>324.58754156328285</v>
      </c>
      <c r="CZ69" s="59">
        <f t="shared" ref="CZ69:CZ132" si="96">$CZ$3</f>
        <v>226.01037731977604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4.1497328266443256E-7</v>
      </c>
      <c r="DI69" s="22">
        <f t="shared" si="69"/>
        <v>4.1497328266443256E-7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13.737499999999997</v>
      </c>
      <c r="DO69" s="12">
        <f>IF('Données projet'!$A$166&gt;35,DO68+DN69-DW68,IF(A69&lt;'Données projet'!$A$166,$DL$205^A69,IF(A69='Données projet'!$A$166,'Données projet'!$B$166,DO68+DN69-DW68)))</f>
        <v>345.26634615384614</v>
      </c>
      <c r="DP69" s="17">
        <f>DO69*VLOOKUP('Données projet'!$B$14,Paramètres!$A$1:$I$89,3,0)*VLOOKUP('Données projet'!$B$14,Paramètres!$A$1:$I$89,5,0)</f>
        <v>161.58464999999998</v>
      </c>
      <c r="DQ69" s="13">
        <f t="shared" ref="DQ69:DQ132" si="97">EXP(-1.0587+0.8836*LN(DP69)+0.284)</f>
        <v>41.199732368807574</v>
      </c>
      <c r="DR69" s="20">
        <f t="shared" si="70"/>
        <v>353.18279929233978</v>
      </c>
      <c r="DS69" s="59">
        <f t="shared" si="71"/>
        <v>617.63585840952692</v>
      </c>
      <c r="DT69" s="59">
        <f ca="1">AVERAGE(OFFSET($DS$3,0,0,'Données projet'!$E$14+1,1))-AVERAGE(OFFSET($H$3,0,0,'Données projet'!$E$14+1,1))</f>
        <v>325.93182817189722</v>
      </c>
      <c r="DU69" s="59">
        <f t="shared" ref="DU69:DU132" si="98">$DU$3</f>
        <v>280.04509991782709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4.0999999999999996</v>
      </c>
      <c r="EJ69" s="12">
        <f>IF('Données projet'!$A$192&gt;35,EJ68+EI69-ER68,IF(A69&lt;'Données projet'!$A$192,$EG$205^A69,IF(A69='Données projet'!$A$192,'Données projet'!$B$192,EJ68+EI69-ER68)))</f>
        <v>257.59999999999974</v>
      </c>
      <c r="EK69" s="17">
        <f>EJ69*VLOOKUP('Données projet'!$B$15,Paramètres!$A$1:$I$89,3,0)*VLOOKUP('Données projet'!$B$15,Paramètres!$A$1:$I$89,5,0)</f>
        <v>204.94655999999981</v>
      </c>
      <c r="EL69" s="13">
        <f t="shared" ref="EL69:EL132" si="99">EXP(-1.0587+0.8836*LN(EK69)+0.284)</f>
        <v>50.829721281867194</v>
      </c>
      <c r="EM69" s="20">
        <f t="shared" si="73"/>
        <v>445.477023232585</v>
      </c>
      <c r="EN69" s="59">
        <f t="shared" si="74"/>
        <v>709.93008234977208</v>
      </c>
      <c r="EO69" s="59">
        <f ca="1">AVERAGE(OFFSET($EN$3,0,0,'Données projet'!$E$15+1,1))-AVERAGE(OFFSET($H$3,0,0,'Données projet'!$E$15+1,1))</f>
        <v>333.52903437536651</v>
      </c>
      <c r="EP69" s="59">
        <f t="shared" ref="EP69:EP132" si="100">$EP$3</f>
        <v>359.47288701414777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1.3941762125588131</v>
      </c>
      <c r="EX69" s="21">
        <f>EXP(-LN(2)/2)*EX68+(1-EXP(-LN(2)/2))/(LN(2)/2)*ER69*EU69*VLOOKUP('Données projet'!$B$15,Paramètres!$A$1:$I$89,3,0)*0.475*44/12</f>
        <v>9.6198351890391184E-7</v>
      </c>
      <c r="EY69" s="22">
        <f t="shared" si="75"/>
        <v>1.3941771745423319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9.1830769230769249</v>
      </c>
      <c r="FE69" s="12">
        <f>IF('Données projet'!$A$218&gt;35,FE68+FD69-FM68,IF(A69&lt;'Données projet'!$A$218,$FB$205^A69,IF(A69='Données projet'!$A$218,'Données projet'!$B$218,FE68+FD69-FM68)))</f>
        <v>343.25999999999988</v>
      </c>
      <c r="FF69" s="17">
        <f>FE69*VLOOKUP('Données projet'!$B$16,Paramètres!$A$1:$I$89,3,0)*VLOOKUP('Données projet'!$B$16,Paramètres!$A$1:$I$89,5,0)</f>
        <v>205.26947999999996</v>
      </c>
      <c r="FG69" s="13">
        <f t="shared" ref="FG69:FG132" si="101">EXP(-1.0587+0.8836*LN(FF69)+0.284)</f>
        <v>50.900481301079942</v>
      </c>
      <c r="FH69" s="20">
        <f t="shared" si="76"/>
        <v>446.16268259938084</v>
      </c>
      <c r="FI69" s="59">
        <f t="shared" si="77"/>
        <v>710.61574171656798</v>
      </c>
      <c r="FJ69" s="59">
        <f ca="1">AVERAGE(OFFSET($FI$3,0,0,'Données projet'!$E$16+1,1))-AVERAGE(OFFSET($H$3,0,0,'Données projet'!$E$16+1,1))</f>
        <v>313.26988717307376</v>
      </c>
      <c r="FK69" s="59">
        <f t="shared" ref="FK69:FK132" si="102">$FK$3</f>
        <v>248.17359813993201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1.1425985159905505</v>
      </c>
      <c r="FR69" s="21">
        <f>EXP(-LN(2)/25)*FR68+(1-EXP(-LN(2)/25))/(LN(2)/25)*Calculateur!FM69*Calculateur!FO69*VLOOKUP('Données projet'!$B$16,Paramètres!$A$1:$I$89,3,0)*0.475*44/12</f>
        <v>2.7787147478278289</v>
      </c>
      <c r="FS69" s="21">
        <f>EXP(-LN(2)/2)*FS68+(1-EXP(-LN(2)/2))/(LN(2)/2)*FM69*FP69*VLOOKUP('Données projet'!$B$16,Paramètres!$A$1:$I$89,3,0)*0.475*44/12</f>
        <v>1.6061002738175742E-5</v>
      </c>
      <c r="FT69" s="22">
        <f t="shared" si="78"/>
        <v>3.9213293248211172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3.7</v>
      </c>
      <c r="FZ69" s="12">
        <f>IF('Données projet'!$A$244&gt;35,FZ68+FY69-GH68,IF(A69&lt;'Données projet'!$A$244,$FW$205^A69,IF(A69='Données projet'!$A$244,'Données projet'!$B$244,FZ68+FY69-GH68)))</f>
        <v>127.2</v>
      </c>
      <c r="GA69" s="17">
        <f>FZ69*VLOOKUP('Données projet'!$B$17,Paramètres!$A$1:$I$89,3,0)*VLOOKUP('Données projet'!$B$17,Paramètres!$A$1:$I$89,5,0)</f>
        <v>136.91808</v>
      </c>
      <c r="GB69" s="13">
        <f t="shared" ref="GB69:GB132" si="103">EXP(-1.0587+0.8836*LN(GA69)+0.284)</f>
        <v>35.590068845652098</v>
      </c>
      <c r="GC69" s="20">
        <f t="shared" si="79"/>
        <v>300.45169257284408</v>
      </c>
      <c r="GD69" s="59">
        <f t="shared" si="80"/>
        <v>564.90475169003116</v>
      </c>
      <c r="GE69" s="59">
        <f ca="1">AVERAGE(OFFSET($GD$3,0,0,'Données projet'!$E$17+1,1))-AVERAGE(OFFSET($H$3,0,0,'Données projet'!$E$17+1,1))</f>
        <v>313.51355235711543</v>
      </c>
      <c r="GF69" s="59">
        <f t="shared" ref="GF69:GF132" si="104">$GF$3</f>
        <v>186.0840067781198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0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0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6.8</v>
      </c>
      <c r="N70" s="13">
        <f>IF('Données projet'!$A$36&gt;35,N69+M70-V69,IF(A70&lt;'Données projet'!$A$36,$K$205^A70,IF(A70='Données projet'!$A$36,'Données projet'!$B$36,N69+M70-V69)))</f>
        <v>224.6</v>
      </c>
      <c r="O70" s="13">
        <f>N70*VLOOKUP('Données projet'!$B$9,Paramètres!$A$1:$I$89,3,0)*VLOOKUP('Données projet'!$B$9,Paramètres!$A$1:$I$89,5,0)</f>
        <v>227.74440000000001</v>
      </c>
      <c r="P70" s="13">
        <f t="shared" si="87"/>
        <v>55.794688684284154</v>
      </c>
      <c r="Q70" s="20">
        <f t="shared" si="54"/>
        <v>493.8305794584615</v>
      </c>
      <c r="R70" s="59">
        <f t="shared" si="55"/>
        <v>758.78464676667841</v>
      </c>
      <c r="S70" s="59">
        <f ca="1">AVERAGE(OFFSET($R$3,0,0,'Données projet'!$E$9+1,1))-AVERAGE(OFFSET($H$3,0,0,'Données projet'!$E$9+1,1))</f>
        <v>452.67426184967104</v>
      </c>
      <c r="T70" s="59">
        <f t="shared" si="88"/>
        <v>310.47823616327639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4.9358974358974361</v>
      </c>
      <c r="AI70" s="13">
        <f>IF('Données projet'!$A$62&gt;35,AI69+AH70-AQ69,IF(A70&lt;'Données projet'!$A$62,$AF$205^A70,IF(A70='Données projet'!$A$62,'Données projet'!$B$62,AI69+AH70-AQ69)))</f>
        <v>243.52564102564111</v>
      </c>
      <c r="AJ70" s="13">
        <f>AI70*VLOOKUP('Données projet'!$B$10,Paramètres!$A$1:$I$89,3,0)*VLOOKUP('Données projet'!$B$10,Paramètres!$A$1:$I$89,5,0)</f>
        <v>254.5330000000001</v>
      </c>
      <c r="AK70" s="13">
        <f t="shared" si="89"/>
        <v>61.555597088996549</v>
      </c>
      <c r="AL70" s="20">
        <f t="shared" si="58"/>
        <v>550.5209732633358</v>
      </c>
      <c r="AM70" s="59">
        <f t="shared" si="59"/>
        <v>815.47504057155265</v>
      </c>
      <c r="AN70" s="59">
        <f ca="1">AVERAGE(OFFSET($AM$3,0,0,'Données projet'!$E$10+1,1))-AVERAGE(OFFSET($H$3,0,0,'Données projet'!$E$10+1,1))</f>
        <v>528.45201982036087</v>
      </c>
      <c r="AO70" s="59">
        <f t="shared" si="90"/>
        <v>321.23004033257985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2.6643679577002454E-7</v>
      </c>
      <c r="AX70" s="21">
        <f t="shared" si="60"/>
        <v>2.6643679577002454E-7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3.7</v>
      </c>
      <c r="BD70" s="12">
        <f>IF('Données projet'!$A$88&gt;35,BD69+BC70-BL69,IF(A70&lt;'Données projet'!$A$88,$BA$205^A70,IF(A70='Données projet'!$A$88,'Données projet'!$B$88,BD69+BC70-BL69)))</f>
        <v>130.9</v>
      </c>
      <c r="BE70" s="13">
        <f>BD70*VLOOKUP('Données projet'!$B$11,Paramètres!$A$1:$I$89,3,0)*VLOOKUP('Données projet'!$B$11,Paramètres!$A$1:$I$89,5,0)</f>
        <v>126.60648</v>
      </c>
      <c r="BF70" s="13">
        <f t="shared" si="91"/>
        <v>33.211013450267977</v>
      </c>
      <c r="BG70" s="20">
        <f t="shared" si="61"/>
        <v>278.3488010925501</v>
      </c>
      <c r="BH70" s="59">
        <f t="shared" si="62"/>
        <v>543.30286840076701</v>
      </c>
      <c r="BI70" s="59">
        <f ca="1">AVERAGE(OFFSET($BH$3,0,0,'Données projet'!$E$11+1,1))-AVERAGE(OFFSET($H$3,0,0,'Données projet'!$E$11+1,1))</f>
        <v>289.06522051625166</v>
      </c>
      <c r="BJ70" s="59">
        <f t="shared" si="92"/>
        <v>173.19148969173838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4.9000000000000004</v>
      </c>
      <c r="BY70" s="12">
        <f>IF('Données projet'!$A$114&gt;35,BY69+BX70-CG69,IF(A70&lt;'Données projet'!$A$114,$BV$205^A70,IF(A70='Données projet'!$A$114,'Données projet'!$B$114,BY69+BX70-CG69)))</f>
        <v>217.30000000000027</v>
      </c>
      <c r="BZ70" s="13">
        <f>BY70*VLOOKUP('Données projet'!$B$12,Paramètres!$A$1:$I$89,3,0)*VLOOKUP('Données projet'!$B$12,Paramètres!$A$1:$I$89,5,0)</f>
        <v>176.27376000000021</v>
      </c>
      <c r="CA70" s="13">
        <f t="shared" si="93"/>
        <v>44.492159820949986</v>
      </c>
      <c r="CB70" s="20">
        <f t="shared" si="64"/>
        <v>384.50064368815492</v>
      </c>
      <c r="CC70" s="59">
        <f t="shared" si="65"/>
        <v>649.45471099637189</v>
      </c>
      <c r="CD70" s="59">
        <f ca="1">AVERAGE(OFFSET($CC$3,0,0,'Données projet'!$E$12+1,1))-AVERAGE(OFFSET($H$3,0,0,'Données projet'!$E$12+1,1))</f>
        <v>306.06916761900357</v>
      </c>
      <c r="CE70" s="59">
        <f t="shared" si="94"/>
        <v>258.90832875500337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4.8388103446711343E-7</v>
      </c>
      <c r="CN70" s="22">
        <f t="shared" si="66"/>
        <v>4.8388103446711343E-7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6.8</v>
      </c>
      <c r="CT70" s="12">
        <f>IF('Données projet'!$A$140&gt;35,CT69+CS70-DB69,IF(A70&lt;'Données projet'!$A$140,$CQ$205^A70,IF(A70='Données projet'!$A$140,'Données projet'!$B$140,CT69+CS70-DB69)))</f>
        <v>224.6</v>
      </c>
      <c r="CU70" s="17">
        <f>CT70*VLOOKUP('Données projet'!$B$13,Paramètres!$A$1:$I$89,3,0)*VLOOKUP('Données projet'!$B$13,Paramètres!$A$1:$I$89,5,0)</f>
        <v>150.66168000000002</v>
      </c>
      <c r="CV70" s="13">
        <f t="shared" si="95"/>
        <v>38.728916233876603</v>
      </c>
      <c r="CW70" s="20">
        <f t="shared" si="67"/>
        <v>329.85528844066846</v>
      </c>
      <c r="CX70" s="59">
        <f t="shared" si="68"/>
        <v>594.80935574888531</v>
      </c>
      <c r="CY70" s="59">
        <f ca="1">AVERAGE(OFFSET($CX$3,0,0,'Données projet'!$E$13+1,1))-AVERAGE(OFFSET($H$3,0,0,'Données projet'!$E$13+1,1))</f>
        <v>324.58754156328285</v>
      </c>
      <c r="CZ70" s="59">
        <f t="shared" si="96"/>
        <v>226.01037731977604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2.9343042218326225E-7</v>
      </c>
      <c r="DI70" s="22">
        <f t="shared" si="69"/>
        <v>2.9343042218326225E-7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13.737499999999997</v>
      </c>
      <c r="DO70" s="12">
        <f>IF('Données projet'!$A$166&gt;35,DO69+DN70-DW69,IF(A70&lt;'Données projet'!$A$166,$DL$205^A70,IF(A70='Données projet'!$A$166,'Données projet'!$B$166,DO69+DN70-DW69)))</f>
        <v>359.00384615384615</v>
      </c>
      <c r="DP70" s="17">
        <f>DO70*VLOOKUP('Données projet'!$B$14,Paramètres!$A$1:$I$89,3,0)*VLOOKUP('Données projet'!$B$14,Paramètres!$A$1:$I$89,5,0)</f>
        <v>168.0138</v>
      </c>
      <c r="DQ70" s="13">
        <f t="shared" si="97"/>
        <v>42.644877049412187</v>
      </c>
      <c r="DR70" s="20">
        <f t="shared" si="70"/>
        <v>366.89719586105952</v>
      </c>
      <c r="DS70" s="59">
        <f t="shared" si="71"/>
        <v>631.85126316927642</v>
      </c>
      <c r="DT70" s="59">
        <f ca="1">AVERAGE(OFFSET($DS$3,0,0,'Données projet'!$E$14+1,1))-AVERAGE(OFFSET($H$3,0,0,'Données projet'!$E$14+1,1))</f>
        <v>325.93182817189722</v>
      </c>
      <c r="DU70" s="59">
        <f t="shared" si="98"/>
        <v>280.04509991782709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4.0999999999999996</v>
      </c>
      <c r="EJ70" s="12">
        <f>IF('Données projet'!$A$192&gt;35,EJ69+EI70-ER69,IF(A70&lt;'Données projet'!$A$192,$EG$205^A70,IF(A70='Données projet'!$A$192,'Données projet'!$B$192,EJ69+EI70-ER69)))</f>
        <v>261.69999999999976</v>
      </c>
      <c r="EK70" s="17">
        <f>EJ70*VLOOKUP('Données projet'!$B$15,Paramètres!$A$1:$I$89,3,0)*VLOOKUP('Données projet'!$B$15,Paramètres!$A$1:$I$89,5,0)</f>
        <v>208.20851999999979</v>
      </c>
      <c r="EL70" s="13">
        <f t="shared" si="99"/>
        <v>51.543907255547111</v>
      </c>
      <c r="EM70" s="20">
        <f t="shared" si="73"/>
        <v>452.40214413674408</v>
      </c>
      <c r="EN70" s="59">
        <f t="shared" si="74"/>
        <v>717.35621144496099</v>
      </c>
      <c r="EO70" s="59">
        <f ca="1">AVERAGE(OFFSET($EN$3,0,0,'Données projet'!$E$15+1,1))-AVERAGE(OFFSET($H$3,0,0,'Données projet'!$E$15+1,1))</f>
        <v>333.52903437536651</v>
      </c>
      <c r="EP70" s="59">
        <f t="shared" si="100"/>
        <v>359.47288701414777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1.3560523907098518</v>
      </c>
      <c r="EX70" s="21">
        <f>EXP(-LN(2)/2)*EX69+(1-EXP(-LN(2)/2))/(LN(2)/2)*ER70*EU70*VLOOKUP('Données projet'!$B$15,Paramètres!$A$1:$I$89,3,0)*0.475*44/12</f>
        <v>6.8022506960665342E-7</v>
      </c>
      <c r="EY70" s="22">
        <f t="shared" si="75"/>
        <v>1.3560530709349214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9.1830769230769249</v>
      </c>
      <c r="FE70" s="12">
        <f>IF('Données projet'!$A$218&gt;35,FE69+FD70-FM69,IF(A70&lt;'Données projet'!$A$218,$FB$205^A70,IF(A70='Données projet'!$A$218,'Données projet'!$B$218,FE69+FD70-FM69)))</f>
        <v>352.44307692307677</v>
      </c>
      <c r="FF70" s="17">
        <f>FE70*VLOOKUP('Données projet'!$B$16,Paramètres!$A$1:$I$89,3,0)*VLOOKUP('Données projet'!$B$16,Paramètres!$A$1:$I$89,5,0)</f>
        <v>210.76095999999993</v>
      </c>
      <c r="FG70" s="13">
        <f t="shared" si="101"/>
        <v>52.101839581538208</v>
      </c>
      <c r="FH70" s="20">
        <f t="shared" si="76"/>
        <v>457.81937593784551</v>
      </c>
      <c r="FI70" s="59">
        <f t="shared" si="77"/>
        <v>722.77344324606247</v>
      </c>
      <c r="FJ70" s="59">
        <f ca="1">AVERAGE(OFFSET($FI$3,0,0,'Données projet'!$E$16+1,1))-AVERAGE(OFFSET($H$3,0,0,'Données projet'!$E$16+1,1))</f>
        <v>313.26988717307376</v>
      </c>
      <c r="FK70" s="59">
        <f t="shared" si="102"/>
        <v>248.17359813993201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1.1201928560082559</v>
      </c>
      <c r="FR70" s="21">
        <f>EXP(-LN(2)/25)*FR69+(1-EXP(-LN(2)/25))/(LN(2)/25)*Calculateur!FM70*Calculateur!FO70*VLOOKUP('Données projet'!$B$16,Paramètres!$A$1:$I$89,3,0)*0.475*44/12</f>
        <v>2.7027306469222192</v>
      </c>
      <c r="FS70" s="21">
        <f>EXP(-LN(2)/2)*FS69+(1-EXP(-LN(2)/2))/(LN(2)/2)*FM70*FP70*VLOOKUP('Données projet'!$B$16,Paramètres!$A$1:$I$89,3,0)*0.475*44/12</f>
        <v>1.1356843948819775E-5</v>
      </c>
      <c r="FT70" s="22">
        <f t="shared" si="78"/>
        <v>3.8229348597744242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3.7</v>
      </c>
      <c r="FZ70" s="12">
        <f>IF('Données projet'!$A$244&gt;35,FZ69+FY70-GH69,IF(A70&lt;'Données projet'!$A$244,$FW$205^A70,IF(A70='Données projet'!$A$244,'Données projet'!$B$244,FZ69+FY70-GH69)))</f>
        <v>130.9</v>
      </c>
      <c r="GA70" s="17">
        <f>FZ70*VLOOKUP('Données projet'!$B$17,Paramètres!$A$1:$I$89,3,0)*VLOOKUP('Données projet'!$B$17,Paramètres!$A$1:$I$89,5,0)</f>
        <v>140.90075999999999</v>
      </c>
      <c r="GB70" s="13">
        <f t="shared" si="103"/>
        <v>36.50327987637862</v>
      </c>
      <c r="GC70" s="20">
        <f t="shared" si="79"/>
        <v>308.97870278469276</v>
      </c>
      <c r="GD70" s="59">
        <f t="shared" si="80"/>
        <v>573.93277009290966</v>
      </c>
      <c r="GE70" s="59">
        <f ca="1">AVERAGE(OFFSET($GD$3,0,0,'Données projet'!$E$17+1,1))-AVERAGE(OFFSET($H$3,0,0,'Données projet'!$E$17+1,1))</f>
        <v>313.51355235711543</v>
      </c>
      <c r="GF70" s="59">
        <f t="shared" si="104"/>
        <v>186.0840067781198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0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0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6.8</v>
      </c>
      <c r="N71" s="13">
        <f>IF('Données projet'!$A$36&gt;35,N70+M71-V70,IF(A71&lt;'Données projet'!$A$36,$K$205^A71,IF(A71='Données projet'!$A$36,'Données projet'!$B$36,N70+M71-V70)))</f>
        <v>231.4</v>
      </c>
      <c r="O71" s="13">
        <f>N71*VLOOKUP('Données projet'!$B$9,Paramètres!$A$1:$I$89,3,0)*VLOOKUP('Données projet'!$B$9,Paramètres!$A$1:$I$89,5,0)</f>
        <v>234.6396</v>
      </c>
      <c r="P71" s="13">
        <f t="shared" si="87"/>
        <v>57.284702507353423</v>
      </c>
      <c r="Q71" s="20">
        <f t="shared" si="54"/>
        <v>508.43482686697394</v>
      </c>
      <c r="R71" s="59">
        <f t="shared" si="55"/>
        <v>773.88121099419277</v>
      </c>
      <c r="S71" s="59">
        <f ca="1">AVERAGE(OFFSET($R$3,0,0,'Données projet'!$E$9+1,1))-AVERAGE(OFFSET($H$3,0,0,'Données projet'!$E$9+1,1))</f>
        <v>452.67426184967104</v>
      </c>
      <c r="T71" s="59">
        <f t="shared" si="88"/>
        <v>310.47823616327639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4.9358974358974361</v>
      </c>
      <c r="AI71" s="13">
        <f>IF('Données projet'!$A$62&gt;35,AI70+AH71-AQ70,IF(A71&lt;'Données projet'!$A$62,$AF$205^A71,IF(A71='Données projet'!$A$62,'Données projet'!$B$62,AI70+AH71-AQ70)))</f>
        <v>248.46153846153854</v>
      </c>
      <c r="AJ71" s="13">
        <f>AI71*VLOOKUP('Données projet'!$B$10,Paramètres!$A$1:$I$89,3,0)*VLOOKUP('Données projet'!$B$10,Paramètres!$A$1:$I$89,5,0)</f>
        <v>259.69200000000006</v>
      </c>
      <c r="AK71" s="13">
        <f t="shared" si="89"/>
        <v>62.656720274296475</v>
      </c>
      <c r="AL71" s="20">
        <f t="shared" si="58"/>
        <v>561.42402114439972</v>
      </c>
      <c r="AM71" s="59">
        <f t="shared" si="59"/>
        <v>826.87040527161855</v>
      </c>
      <c r="AN71" s="59">
        <f ca="1">AVERAGE(OFFSET($AM$3,0,0,'Données projet'!$E$10+1,1))-AVERAGE(OFFSET($H$3,0,0,'Données projet'!$E$10+1,1))</f>
        <v>528.45201982036087</v>
      </c>
      <c r="AO71" s="59">
        <f t="shared" si="90"/>
        <v>321.23004033257985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1.883992650465996E-7</v>
      </c>
      <c r="AX71" s="21">
        <f t="shared" si="60"/>
        <v>1.883992650465996E-7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3.7</v>
      </c>
      <c r="BD71" s="12">
        <f>IF('Données projet'!$A$88&gt;35,BD70+BC71-BL70,IF(A71&lt;'Données projet'!$A$88,$BA$205^A71,IF(A71='Données projet'!$A$88,'Données projet'!$B$88,BD70+BC71-BL70)))</f>
        <v>134.6</v>
      </c>
      <c r="BE71" s="13">
        <f>BD71*VLOOKUP('Données projet'!$B$11,Paramètres!$A$1:$I$89,3,0)*VLOOKUP('Données projet'!$B$11,Paramètres!$A$1:$I$89,5,0)</f>
        <v>130.18512000000001</v>
      </c>
      <c r="BF71" s="13">
        <f t="shared" si="91"/>
        <v>34.039131585848864</v>
      </c>
      <c r="BG71" s="20">
        <f t="shared" si="61"/>
        <v>286.02390484535346</v>
      </c>
      <c r="BH71" s="59">
        <f t="shared" si="62"/>
        <v>551.47028897257223</v>
      </c>
      <c r="BI71" s="59">
        <f ca="1">AVERAGE(OFFSET($BH$3,0,0,'Données projet'!$E$11+1,1))-AVERAGE(OFFSET($H$3,0,0,'Données projet'!$E$11+1,1))</f>
        <v>289.06522051625166</v>
      </c>
      <c r="BJ71" s="59">
        <f t="shared" si="92"/>
        <v>173.19148969173838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4.9000000000000004</v>
      </c>
      <c r="BY71" s="12">
        <f>IF('Données projet'!$A$114&gt;35,BY70+BX71-CG70,IF(A71&lt;'Données projet'!$A$114,$BV$205^A71,IF(A71='Données projet'!$A$114,'Données projet'!$B$114,BY70+BX71-CG70)))</f>
        <v>222.20000000000027</v>
      </c>
      <c r="BZ71" s="13">
        <f>BY71*VLOOKUP('Données projet'!$B$12,Paramètres!$A$1:$I$89,3,0)*VLOOKUP('Données projet'!$B$12,Paramètres!$A$1:$I$89,5,0)</f>
        <v>180.24864000000022</v>
      </c>
      <c r="CA71" s="13">
        <f t="shared" si="93"/>
        <v>45.37749954072963</v>
      </c>
      <c r="CB71" s="20">
        <f t="shared" si="64"/>
        <v>392.96552636677114</v>
      </c>
      <c r="CC71" s="59">
        <f t="shared" si="65"/>
        <v>658.41191049399004</v>
      </c>
      <c r="CD71" s="59">
        <f ca="1">AVERAGE(OFFSET($CC$3,0,0,'Données projet'!$E$12+1,1))-AVERAGE(OFFSET($H$3,0,0,'Données projet'!$E$12+1,1))</f>
        <v>306.06916761900357</v>
      </c>
      <c r="CE71" s="59">
        <f t="shared" si="94"/>
        <v>258.90832875500337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3.4215556075925744E-7</v>
      </c>
      <c r="CN71" s="22">
        <f t="shared" si="66"/>
        <v>3.4215556075925744E-7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6.8</v>
      </c>
      <c r="CT71" s="12">
        <f>IF('Données projet'!$A$140&gt;35,CT70+CS71-DB70,IF(A71&lt;'Données projet'!$A$140,$CQ$205^A71,IF(A71='Données projet'!$A$140,'Données projet'!$B$140,CT70+CS71-DB70)))</f>
        <v>231.4</v>
      </c>
      <c r="CU71" s="17">
        <f>CT71*VLOOKUP('Données projet'!$B$13,Paramètres!$A$1:$I$89,3,0)*VLOOKUP('Données projet'!$B$13,Paramètres!$A$1:$I$89,5,0)</f>
        <v>155.22311999999999</v>
      </c>
      <c r="CV71" s="13">
        <f t="shared" si="95"/>
        <v>39.763183507371082</v>
      </c>
      <c r="CW71" s="20">
        <f t="shared" si="67"/>
        <v>339.60114527533796</v>
      </c>
      <c r="CX71" s="59">
        <f t="shared" si="68"/>
        <v>605.04752940255685</v>
      </c>
      <c r="CY71" s="59">
        <f ca="1">AVERAGE(OFFSET($CX$3,0,0,'Données projet'!$E$13+1,1))-AVERAGE(OFFSET($H$3,0,0,'Données projet'!$E$13+1,1))</f>
        <v>324.58754156328285</v>
      </c>
      <c r="CZ71" s="59">
        <f t="shared" si="96"/>
        <v>226.01037731977604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2.0748664133221628E-7</v>
      </c>
      <c r="DI71" s="22">
        <f t="shared" si="69"/>
        <v>2.0748664133221628E-7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13.737499999999997</v>
      </c>
      <c r="DO71" s="12">
        <f>IF('Données projet'!$A$166&gt;35,DO70+DN71-DW70,IF(A71&lt;'Données projet'!$A$166,$DL$205^A71,IF(A71='Données projet'!$A$166,'Données projet'!$B$166,DO70+DN71-DW70)))</f>
        <v>372.74134615384617</v>
      </c>
      <c r="DP71" s="17">
        <f>DO71*VLOOKUP('Données projet'!$B$14,Paramètres!$A$1:$I$89,3,0)*VLOOKUP('Données projet'!$B$14,Paramètres!$A$1:$I$89,5,0)</f>
        <v>174.44295000000002</v>
      </c>
      <c r="DQ71" s="13">
        <f t="shared" si="97"/>
        <v>44.083597545116064</v>
      </c>
      <c r="DR71" s="20">
        <f t="shared" si="70"/>
        <v>380.60040364107721</v>
      </c>
      <c r="DS71" s="59">
        <f t="shared" si="71"/>
        <v>646.0467877682961</v>
      </c>
      <c r="DT71" s="59">
        <f ca="1">AVERAGE(OFFSET($DS$3,0,0,'Données projet'!$E$14+1,1))-AVERAGE(OFFSET($H$3,0,0,'Données projet'!$E$14+1,1))</f>
        <v>325.93182817189722</v>
      </c>
      <c r="DU71" s="59">
        <f t="shared" si="98"/>
        <v>280.04509991782709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4.0999999999999996</v>
      </c>
      <c r="EJ71" s="12">
        <f>IF('Données projet'!$A$192&gt;35,EJ70+EI71-ER70,IF(A71&lt;'Données projet'!$A$192,$EG$205^A71,IF(A71='Données projet'!$A$192,'Données projet'!$B$192,EJ70+EI71-ER70)))</f>
        <v>265.79999999999978</v>
      </c>
      <c r="EK71" s="17">
        <f>EJ71*VLOOKUP('Données projet'!$B$15,Paramètres!$A$1:$I$89,3,0)*VLOOKUP('Données projet'!$B$15,Paramètres!$A$1:$I$89,5,0)</f>
        <v>211.47047999999981</v>
      </c>
      <c r="EL71" s="13">
        <f t="shared" si="99"/>
        <v>52.256791959630746</v>
      </c>
      <c r="EM71" s="20">
        <f t="shared" si="73"/>
        <v>459.32499866302322</v>
      </c>
      <c r="EN71" s="59">
        <f t="shared" si="74"/>
        <v>724.77138279024211</v>
      </c>
      <c r="EO71" s="59">
        <f ca="1">AVERAGE(OFFSET($EN$3,0,0,'Données projet'!$E$15+1,1))-AVERAGE(OFFSET($H$3,0,0,'Données projet'!$E$15+1,1))</f>
        <v>333.52903437536651</v>
      </c>
      <c r="EP71" s="59">
        <f t="shared" si="100"/>
        <v>359.47288701414777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1.318971066774195</v>
      </c>
      <c r="EX71" s="21">
        <f>EXP(-LN(2)/2)*EX70+(1-EXP(-LN(2)/2))/(LN(2)/2)*ER71*EU71*VLOOKUP('Données projet'!$B$15,Paramètres!$A$1:$I$89,3,0)*0.475*44/12</f>
        <v>4.8099175945195592E-7</v>
      </c>
      <c r="EY71" s="22">
        <f t="shared" si="75"/>
        <v>1.3189715477659545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9.1830769230769249</v>
      </c>
      <c r="FE71" s="12">
        <f>IF('Données projet'!$A$218&gt;35,FE70+FD71-FM70,IF(A71&lt;'Données projet'!$A$218,$FB$205^A71,IF(A71='Données projet'!$A$218,'Données projet'!$B$218,FE70+FD71-FM70)))</f>
        <v>361.62615384615367</v>
      </c>
      <c r="FF71" s="17">
        <f>FE71*VLOOKUP('Données projet'!$B$16,Paramètres!$A$1:$I$89,3,0)*VLOOKUP('Données projet'!$B$16,Paramètres!$A$1:$I$89,5,0)</f>
        <v>216.25243999999989</v>
      </c>
      <c r="FG71" s="13">
        <f t="shared" si="101"/>
        <v>53.299559396285737</v>
      </c>
      <c r="FH71" s="20">
        <f t="shared" si="76"/>
        <v>469.46973228186403</v>
      </c>
      <c r="FI71" s="59">
        <f t="shared" si="77"/>
        <v>734.91611640908286</v>
      </c>
      <c r="FJ71" s="59">
        <f ca="1">AVERAGE(OFFSET($FI$3,0,0,'Données projet'!$E$16+1,1))-AVERAGE(OFFSET($H$3,0,0,'Données projet'!$E$16+1,1))</f>
        <v>313.26988717307376</v>
      </c>
      <c r="FK71" s="59">
        <f t="shared" si="102"/>
        <v>248.17359813993201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1.0982265573521108</v>
      </c>
      <c r="FR71" s="21">
        <f>EXP(-LN(2)/25)*FR70+(1-EXP(-LN(2)/25))/(LN(2)/25)*Calculateur!FM71*Calculateur!FO71*VLOOKUP('Données projet'!$B$16,Paramètres!$A$1:$I$89,3,0)*0.475*44/12</f>
        <v>2.6288243352517036</v>
      </c>
      <c r="FS71" s="21">
        <f>EXP(-LN(2)/2)*FS70+(1-EXP(-LN(2)/2))/(LN(2)/2)*FM71*FP71*VLOOKUP('Données projet'!$B$16,Paramètres!$A$1:$I$89,3,0)*0.475*44/12</f>
        <v>8.030501369087871E-6</v>
      </c>
      <c r="FT71" s="22">
        <f t="shared" si="78"/>
        <v>3.7270589231051834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3.7</v>
      </c>
      <c r="FZ71" s="12">
        <f>IF('Données projet'!$A$244&gt;35,FZ70+FY71-GH70,IF(A71&lt;'Données projet'!$A$244,$FW$205^A71,IF(A71='Données projet'!$A$244,'Données projet'!$B$244,FZ70+FY71-GH70)))</f>
        <v>134.6</v>
      </c>
      <c r="GA71" s="17">
        <f>FZ71*VLOOKUP('Données projet'!$B$17,Paramètres!$A$1:$I$89,3,0)*VLOOKUP('Données projet'!$B$17,Paramètres!$A$1:$I$89,5,0)</f>
        <v>144.88344000000001</v>
      </c>
      <c r="GB71" s="13">
        <f t="shared" si="103"/>
        <v>37.413490825498869</v>
      </c>
      <c r="GC71" s="20">
        <f t="shared" si="79"/>
        <v>317.50048785441055</v>
      </c>
      <c r="GD71" s="59">
        <f t="shared" si="80"/>
        <v>582.94687198162933</v>
      </c>
      <c r="GE71" s="59">
        <f ca="1">AVERAGE(OFFSET($GD$3,0,0,'Données projet'!$E$17+1,1))-AVERAGE(OFFSET($H$3,0,0,'Données projet'!$E$17+1,1))</f>
        <v>313.51355235711543</v>
      </c>
      <c r="GF71" s="59">
        <f t="shared" si="104"/>
        <v>186.0840067781198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0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0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6.8</v>
      </c>
      <c r="N72" s="13">
        <f>IF('Données projet'!$A$36&gt;35,N71+M72-V71,IF(A72&lt;'Données projet'!$A$36,$K$205^A72,IF(A72='Données projet'!$A$36,'Données projet'!$B$36,N71+M72-V71)))</f>
        <v>238.20000000000002</v>
      </c>
      <c r="O72" s="13">
        <f>N72*VLOOKUP('Données projet'!$B$9,Paramètres!$A$1:$I$89,3,0)*VLOOKUP('Données projet'!$B$9,Paramètres!$A$1:$I$89,5,0)</f>
        <v>241.53480000000002</v>
      </c>
      <c r="P72" s="13">
        <f t="shared" si="87"/>
        <v>58.769627566189008</v>
      </c>
      <c r="Q72" s="20">
        <f t="shared" si="54"/>
        <v>523.03021134444577</v>
      </c>
      <c r="R72" s="59">
        <f t="shared" si="55"/>
        <v>788.96037169451233</v>
      </c>
      <c r="S72" s="59">
        <f ca="1">AVERAGE(OFFSET($R$3,0,0,'Données projet'!$E$9+1,1))-AVERAGE(OFFSET($H$3,0,0,'Données projet'!$E$9+1,1))</f>
        <v>452.67426184967104</v>
      </c>
      <c r="T72" s="59">
        <f t="shared" si="88"/>
        <v>310.47823616327639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4.9358974358974361</v>
      </c>
      <c r="AI72" s="13">
        <f>IF('Données projet'!$A$62&gt;35,AI71+AH72-AQ71,IF(A72&lt;'Données projet'!$A$62,$AF$205^A72,IF(A72='Données projet'!$A$62,'Données projet'!$B$62,AI71+AH72-AQ71)))</f>
        <v>253.39743589743597</v>
      </c>
      <c r="AJ72" s="13">
        <f>AI72*VLOOKUP('Données projet'!$B$10,Paramètres!$A$1:$I$89,3,0)*VLOOKUP('Données projet'!$B$10,Paramètres!$A$1:$I$89,5,0)</f>
        <v>264.85100000000006</v>
      </c>
      <c r="AK72" s="13">
        <f t="shared" si="89"/>
        <v>63.755300004875039</v>
      </c>
      <c r="AL72" s="20">
        <f t="shared" si="58"/>
        <v>572.32263917515741</v>
      </c>
      <c r="AM72" s="59">
        <f t="shared" si="59"/>
        <v>838.25279952522396</v>
      </c>
      <c r="AN72" s="59">
        <f ca="1">AVERAGE(OFFSET($AM$3,0,0,'Données projet'!$E$10+1,1))-AVERAGE(OFFSET($H$3,0,0,'Données projet'!$E$10+1,1))</f>
        <v>528.45201982036087</v>
      </c>
      <c r="AO72" s="59">
        <f t="shared" si="90"/>
        <v>321.23004033257985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1.3321839788501227E-7</v>
      </c>
      <c r="AX72" s="21">
        <f t="shared" si="60"/>
        <v>1.3321839788501227E-7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3.7</v>
      </c>
      <c r="BD72" s="12">
        <f>IF('Données projet'!$A$88&gt;35,BD71+BC72-BL71,IF(A72&lt;'Données projet'!$A$88,$BA$205^A72,IF(A72='Données projet'!$A$88,'Données projet'!$B$88,BD71+BC72-BL71)))</f>
        <v>138.29999999999998</v>
      </c>
      <c r="BE72" s="13">
        <f>BD72*VLOOKUP('Données projet'!$B$11,Paramètres!$A$1:$I$89,3,0)*VLOOKUP('Données projet'!$B$11,Paramètres!$A$1:$I$89,5,0)</f>
        <v>133.76375999999999</v>
      </c>
      <c r="BF72" s="13">
        <f t="shared" si="91"/>
        <v>34.864603872042075</v>
      </c>
      <c r="BG72" s="20">
        <f t="shared" si="61"/>
        <v>293.69440041047329</v>
      </c>
      <c r="BH72" s="59">
        <f t="shared" si="62"/>
        <v>559.62456076053991</v>
      </c>
      <c r="BI72" s="59">
        <f ca="1">AVERAGE(OFFSET($BH$3,0,0,'Données projet'!$E$11+1,1))-AVERAGE(OFFSET($H$3,0,0,'Données projet'!$E$11+1,1))</f>
        <v>289.06522051625166</v>
      </c>
      <c r="BJ72" s="59">
        <f t="shared" si="92"/>
        <v>173.19148969173838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4.9000000000000004</v>
      </c>
      <c r="BY72" s="12">
        <f>IF('Données projet'!$A$114&gt;35,BY71+BX72-CG71,IF(A72&lt;'Données projet'!$A$114,$BV$205^A72,IF(A72='Données projet'!$A$114,'Données projet'!$B$114,BY71+BX72-CG71)))</f>
        <v>227.10000000000028</v>
      </c>
      <c r="BZ72" s="13">
        <f>BY72*VLOOKUP('Données projet'!$B$12,Paramètres!$A$1:$I$89,3,0)*VLOOKUP('Données projet'!$B$12,Paramètres!$A$1:$I$89,5,0)</f>
        <v>184.22352000000024</v>
      </c>
      <c r="CA72" s="13">
        <f t="shared" si="93"/>
        <v>46.260569422365322</v>
      </c>
      <c r="CB72" s="20">
        <f t="shared" si="64"/>
        <v>401.42645574395334</v>
      </c>
      <c r="CC72" s="59">
        <f t="shared" si="65"/>
        <v>667.35661609401996</v>
      </c>
      <c r="CD72" s="59">
        <f ca="1">AVERAGE(OFFSET($CC$3,0,0,'Données projet'!$E$12+1,1))-AVERAGE(OFFSET($H$3,0,0,'Données projet'!$E$12+1,1))</f>
        <v>306.06916761900357</v>
      </c>
      <c r="CE72" s="59">
        <f t="shared" si="94"/>
        <v>258.90832875500337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2.4194051723355671E-7</v>
      </c>
      <c r="CN72" s="22">
        <f t="shared" si="66"/>
        <v>2.4194051723355671E-7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6.8</v>
      </c>
      <c r="CT72" s="12">
        <f>IF('Données projet'!$A$140&gt;35,CT71+CS72-DB71,IF(A72&lt;'Données projet'!$A$140,$CQ$205^A72,IF(A72='Données projet'!$A$140,'Données projet'!$B$140,CT71+CS72-DB71)))</f>
        <v>238.20000000000002</v>
      </c>
      <c r="CU72" s="17">
        <f>CT72*VLOOKUP('Données projet'!$B$13,Paramètres!$A$1:$I$89,3,0)*VLOOKUP('Données projet'!$B$13,Paramètres!$A$1:$I$89,5,0)</f>
        <v>159.78456</v>
      </c>
      <c r="CV72" s="13">
        <f t="shared" si="95"/>
        <v>40.793918503360523</v>
      </c>
      <c r="CW72" s="20">
        <f t="shared" si="67"/>
        <v>349.34085006001948</v>
      </c>
      <c r="CX72" s="59">
        <f t="shared" si="68"/>
        <v>615.27101041008609</v>
      </c>
      <c r="CY72" s="59">
        <f ca="1">AVERAGE(OFFSET($CX$3,0,0,'Données projet'!$E$13+1,1))-AVERAGE(OFFSET($H$3,0,0,'Données projet'!$E$13+1,1))</f>
        <v>324.58754156328285</v>
      </c>
      <c r="CZ72" s="59">
        <f t="shared" si="96"/>
        <v>226.01037731977604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1.4671521109163112E-7</v>
      </c>
      <c r="DI72" s="22">
        <f t="shared" si="69"/>
        <v>1.4671521109163112E-7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13.737499999999997</v>
      </c>
      <c r="DO72" s="12">
        <f>IF('Données projet'!$A$166&gt;35,DO71+DN72-DW71,IF(A72&lt;'Données projet'!$A$166,$DL$205^A72,IF(A72='Données projet'!$A$166,'Données projet'!$B$166,DO71+DN72-DW71)))</f>
        <v>386.47884615384618</v>
      </c>
      <c r="DP72" s="17">
        <f>DO72*VLOOKUP('Données projet'!$B$14,Paramètres!$A$1:$I$89,3,0)*VLOOKUP('Données projet'!$B$14,Paramètres!$A$1:$I$89,5,0)</f>
        <v>180.87209999999999</v>
      </c>
      <c r="DQ72" s="13">
        <f t="shared" si="97"/>
        <v>45.516157736157588</v>
      </c>
      <c r="DR72" s="20">
        <f t="shared" si="70"/>
        <v>394.29288222380774</v>
      </c>
      <c r="DS72" s="59">
        <f t="shared" si="71"/>
        <v>660.2230425738743</v>
      </c>
      <c r="DT72" s="59">
        <f ca="1">AVERAGE(OFFSET($DS$3,0,0,'Données projet'!$E$14+1,1))-AVERAGE(OFFSET($H$3,0,0,'Données projet'!$E$14+1,1))</f>
        <v>325.93182817189722</v>
      </c>
      <c r="DU72" s="59">
        <f t="shared" si="98"/>
        <v>280.04509991782709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4.0999999999999996</v>
      </c>
      <c r="EJ72" s="12">
        <f>IF('Données projet'!$A$192&gt;35,EJ71+EI72-ER71,IF(A72&lt;'Données projet'!$A$192,$EG$205^A72,IF(A72='Données projet'!$A$192,'Données projet'!$B$192,EJ71+EI72-ER71)))</f>
        <v>269.89999999999981</v>
      </c>
      <c r="EK72" s="17">
        <f>EJ72*VLOOKUP('Données projet'!$B$15,Paramètres!$A$1:$I$89,3,0)*VLOOKUP('Données projet'!$B$15,Paramètres!$A$1:$I$89,5,0)</f>
        <v>214.73243999999988</v>
      </c>
      <c r="EL72" s="13">
        <f t="shared" si="99"/>
        <v>52.968397784466582</v>
      </c>
      <c r="EM72" s="20">
        <f t="shared" si="73"/>
        <v>466.24562580794571</v>
      </c>
      <c r="EN72" s="59">
        <f t="shared" si="74"/>
        <v>732.17578615801222</v>
      </c>
      <c r="EO72" s="59">
        <f ca="1">AVERAGE(OFFSET($EN$3,0,0,'Données projet'!$E$15+1,1))-AVERAGE(OFFSET($H$3,0,0,'Données projet'!$E$15+1,1))</f>
        <v>333.52903437536651</v>
      </c>
      <c r="EP72" s="59">
        <f t="shared" si="100"/>
        <v>359.47288701414777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1.2829037335915807</v>
      </c>
      <c r="EX72" s="21">
        <f>EXP(-LN(2)/2)*EX71+(1-EXP(-LN(2)/2))/(LN(2)/2)*ER72*EU72*VLOOKUP('Données projet'!$B$15,Paramètres!$A$1:$I$89,3,0)*0.475*44/12</f>
        <v>3.4011253480332671E-7</v>
      </c>
      <c r="EY72" s="22">
        <f t="shared" si="75"/>
        <v>1.2829040737041155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9.1830769230769249</v>
      </c>
      <c r="FE72" s="12">
        <f>IF('Données projet'!$A$218&gt;35,FE71+FD72-FM71,IF(A72&lt;'Données projet'!$A$218,$FB$205^A72,IF(A72='Données projet'!$A$218,'Données projet'!$B$218,FE71+FD72-FM71)))</f>
        <v>370.80923076923057</v>
      </c>
      <c r="FF72" s="17">
        <f>FE72*VLOOKUP('Données projet'!$B$16,Paramètres!$A$1:$I$89,3,0)*VLOOKUP('Données projet'!$B$16,Paramètres!$A$1:$I$89,5,0)</f>
        <v>221.74391999999989</v>
      </c>
      <c r="FG72" s="13">
        <f t="shared" si="101"/>
        <v>54.493743764780973</v>
      </c>
      <c r="FH72" s="20">
        <f t="shared" si="76"/>
        <v>481.11393105699329</v>
      </c>
      <c r="FI72" s="59">
        <f t="shared" si="77"/>
        <v>747.0440914070598</v>
      </c>
      <c r="FJ72" s="59">
        <f ca="1">AVERAGE(OFFSET($FI$3,0,0,'Données projet'!$E$16+1,1))-AVERAGE(OFFSET($H$3,0,0,'Données projet'!$E$16+1,1))</f>
        <v>313.26988717307376</v>
      </c>
      <c r="FK72" s="59">
        <f t="shared" si="102"/>
        <v>248.17359813993201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1.0766910044144935</v>
      </c>
      <c r="FR72" s="21">
        <f>EXP(-LN(2)/25)*FR71+(1-EXP(-LN(2)/25))/(LN(2)/25)*Calculateur!FM72*Calculateur!FO72*VLOOKUP('Données projet'!$B$16,Paramètres!$A$1:$I$89,3,0)*0.475*44/12</f>
        <v>2.5569389955603823</v>
      </c>
      <c r="FS72" s="21">
        <f>EXP(-LN(2)/2)*FS71+(1-EXP(-LN(2)/2))/(LN(2)/2)*FM72*FP72*VLOOKUP('Données projet'!$B$16,Paramètres!$A$1:$I$89,3,0)*0.475*44/12</f>
        <v>5.6784219744098877E-6</v>
      </c>
      <c r="FT72" s="22">
        <f t="shared" si="78"/>
        <v>3.6336356783968502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3.7</v>
      </c>
      <c r="FZ72" s="12">
        <f>IF('Données projet'!$A$244&gt;35,FZ71+FY72-GH71,IF(A72&lt;'Données projet'!$A$244,$FW$205^A72,IF(A72='Données projet'!$A$244,'Données projet'!$B$244,FZ71+FY72-GH71)))</f>
        <v>138.29999999999998</v>
      </c>
      <c r="GA72" s="17">
        <f>FZ72*VLOOKUP('Données projet'!$B$17,Paramètres!$A$1:$I$89,3,0)*VLOOKUP('Données projet'!$B$17,Paramètres!$A$1:$I$89,5,0)</f>
        <v>148.86611999999997</v>
      </c>
      <c r="GB72" s="13">
        <f t="shared" si="103"/>
        <v>38.32079363750811</v>
      </c>
      <c r="GC72" s="20">
        <f t="shared" si="79"/>
        <v>326.01720791865984</v>
      </c>
      <c r="GD72" s="59">
        <f t="shared" si="80"/>
        <v>591.94736826872645</v>
      </c>
      <c r="GE72" s="59">
        <f ca="1">AVERAGE(OFFSET($GD$3,0,0,'Données projet'!$E$17+1,1))-AVERAGE(OFFSET($H$3,0,0,'Données projet'!$E$17+1,1))</f>
        <v>313.51355235711543</v>
      </c>
      <c r="GF72" s="59">
        <f t="shared" si="104"/>
        <v>186.0840067781198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0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0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245</v>
      </c>
      <c r="L73" s="12">
        <f>VLOOKUP(A73,'Données projet'!$A$35:$I$55,9,0)</f>
        <v>6.8</v>
      </c>
      <c r="M73" s="12">
        <f t="array" ref="M73">INDEX(L:L,MIN(IF(ISNUMBER(L73:L269),ROW(L73:L269),"")))</f>
        <v>6.8</v>
      </c>
      <c r="N73" s="13">
        <f>IF('Données projet'!$A$36&gt;35,N72+M73-V72,IF(A73&lt;'Données projet'!$A$36,$K$205^A73,IF(A73='Données projet'!$A$36,'Données projet'!$B$36,N72+M73-V72)))</f>
        <v>245.00000000000003</v>
      </c>
      <c r="O73" s="13">
        <f>N73*VLOOKUP('Données projet'!$B$9,Paramètres!$A$1:$I$89,3,0)*VLOOKUP('Données projet'!$B$9,Paramètres!$A$1:$I$89,5,0)</f>
        <v>248.43000000000006</v>
      </c>
      <c r="P73" s="13">
        <f t="shared" si="87"/>
        <v>60.249625816963075</v>
      </c>
      <c r="Q73" s="20">
        <f t="shared" si="54"/>
        <v>537.61701496454418</v>
      </c>
      <c r="R73" s="59">
        <f t="shared" si="55"/>
        <v>804.02255910155372</v>
      </c>
      <c r="S73" s="59">
        <f ca="1">AVERAGE(OFFSET($R$3,0,0,'Données projet'!$E$9+1,1))-AVERAGE(OFFSET($H$3,0,0,'Données projet'!$E$9+1,1))</f>
        <v>452.67426184967104</v>
      </c>
      <c r="T73" s="59">
        <f t="shared" si="88"/>
        <v>310.47823616327639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44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258.33333333333331</v>
      </c>
      <c r="AG73" s="12">
        <f>VLOOKUP(A73,'Données projet'!$A$61:$I$81,9,0)</f>
        <v>4.9358974358974361</v>
      </c>
      <c r="AH73" s="12">
        <f t="array" ref="AH73">INDEX(AG:AG,MIN(IF(ISNUMBER(AG73:AG269),ROW(AG73:AG269),"")))</f>
        <v>4.9358974358974361</v>
      </c>
      <c r="AI73" s="13">
        <f>IF('Données projet'!$A$62&gt;35,AI72+AH73-AQ72,IF(A73&lt;'Données projet'!$A$62,$AF$205^A73,IF(A73='Données projet'!$A$62,'Données projet'!$B$62,AI72+AH73-AQ72)))</f>
        <v>258.33333333333343</v>
      </c>
      <c r="AJ73" s="13">
        <f>AI73*VLOOKUP('Données projet'!$B$10,Paramètres!$A$1:$I$89,3,0)*VLOOKUP('Données projet'!$B$10,Paramètres!$A$1:$I$89,5,0)</f>
        <v>270.0100000000001</v>
      </c>
      <c r="AK73" s="13">
        <f t="shared" si="89"/>
        <v>64.851391535647252</v>
      </c>
      <c r="AL73" s="20">
        <f t="shared" si="58"/>
        <v>583.21692359125257</v>
      </c>
      <c r="AM73" s="59">
        <f t="shared" si="59"/>
        <v>849.62246772826211</v>
      </c>
      <c r="AN73" s="59">
        <f ca="1">AVERAGE(OFFSET($AM$3,0,0,'Données projet'!$E$10+1,1))-AVERAGE(OFFSET($H$3,0,0,'Données projet'!$E$10+1,1))</f>
        <v>528.45201982036087</v>
      </c>
      <c r="AO73" s="59">
        <f t="shared" si="90"/>
        <v>321.23004033257985</v>
      </c>
      <c r="AP73" s="15">
        <f>IF(ISNA(VLOOKUP(A73,'Données projet'!$A$61:$I$81,3,0)),0,VLOOKUP(A73,'Données projet'!$A$61:$I$81,3,0))</f>
        <v>7</v>
      </c>
      <c r="AQ73" s="15">
        <f>IF(ISNA(VLOOKUP(A73,'Données projet'!$A$61:$I$81,4,0)),0,VLOOKUP(A73,'Données projet'!$A$61:$I$81,4,0))</f>
        <v>23.076923076923077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9.4199632523299799E-8</v>
      </c>
      <c r="AX73" s="21">
        <f t="shared" si="60"/>
        <v>9.4199632523299799E-8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142</v>
      </c>
      <c r="BB73" s="12">
        <f>VLOOKUP(A73,'Données projet'!$A$87:$I$107,9,0)</f>
        <v>3.7</v>
      </c>
      <c r="BC73" s="12">
        <f t="array" ref="BC73">INDEX(BB:BB,MIN(IF(ISNUMBER(BB73:BB269),ROW(BB73:BB269),"")))</f>
        <v>3.7</v>
      </c>
      <c r="BD73" s="12">
        <f>IF('Données projet'!$A$88&gt;35,BD72+BC73-BL72,IF(A73&lt;'Données projet'!$A$88,$BA$205^A73,IF(A73='Données projet'!$A$88,'Données projet'!$B$88,BD72+BC73-BL72)))</f>
        <v>141.99999999999997</v>
      </c>
      <c r="BE73" s="13">
        <f>BD73*VLOOKUP('Données projet'!$B$11,Paramètres!$A$1:$I$89,3,0)*VLOOKUP('Données projet'!$B$11,Paramètres!$A$1:$I$89,5,0)</f>
        <v>137.34239999999997</v>
      </c>
      <c r="BF73" s="13">
        <f t="shared" si="91"/>
        <v>35.687509229988642</v>
      </c>
      <c r="BG73" s="20">
        <f t="shared" si="61"/>
        <v>301.36042524223012</v>
      </c>
      <c r="BH73" s="59">
        <f t="shared" si="62"/>
        <v>567.76596937923955</v>
      </c>
      <c r="BI73" s="59">
        <f ca="1">AVERAGE(OFFSET($BH$3,0,0,'Données projet'!$E$11+1,1))-AVERAGE(OFFSET($H$3,0,0,'Données projet'!$E$11+1,1))</f>
        <v>289.06522051625166</v>
      </c>
      <c r="BJ73" s="59">
        <f t="shared" si="92"/>
        <v>173.19148969173838</v>
      </c>
      <c r="BK73" s="15">
        <f>IF(ISNA(VLOOKUP(A73,'Données projet'!$A$87:$I$107,3,0)),0,VLOOKUP(A73,'Données projet'!$A$87:$I$107,3,0))</f>
        <v>5</v>
      </c>
      <c r="BL73" s="15">
        <f>IF(ISNA(VLOOKUP(A73,'Données projet'!$A$87:$I$107,4,0)),0,VLOOKUP(A73,'Données projet'!$A$87:$I$107,4,0))</f>
        <v>20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232</v>
      </c>
      <c r="BW73" s="12">
        <f>VLOOKUP(A73,'Données projet'!$A$113:$I$133,9,0)</f>
        <v>4.9000000000000004</v>
      </c>
      <c r="BX73" s="12">
        <f t="array" ref="BX73">INDEX(BW:BW,MIN(IF(ISNUMBER(BW73:BW269),ROW(BW73:BW269),"")))</f>
        <v>4.9000000000000004</v>
      </c>
      <c r="BY73" s="12">
        <f>IF('Données projet'!$A$114&gt;35,BY72+BX73-CG72,IF(A73&lt;'Données projet'!$A$114,$BV$205^A73,IF(A73='Données projet'!$A$114,'Données projet'!$B$114,BY72+BX73-CG72)))</f>
        <v>232.00000000000028</v>
      </c>
      <c r="BZ73" s="13">
        <f>BY73*VLOOKUP('Données projet'!$B$12,Paramètres!$A$1:$I$89,3,0)*VLOOKUP('Données projet'!$B$12,Paramètres!$A$1:$I$89,5,0)</f>
        <v>188.19840000000025</v>
      </c>
      <c r="CA73" s="13">
        <f t="shared" si="93"/>
        <v>47.141424081428099</v>
      </c>
      <c r="CB73" s="20">
        <f t="shared" si="64"/>
        <v>409.883526941821</v>
      </c>
      <c r="CC73" s="59">
        <f t="shared" si="65"/>
        <v>676.28907107883049</v>
      </c>
      <c r="CD73" s="59">
        <f ca="1">AVERAGE(OFFSET($CC$3,0,0,'Données projet'!$E$12+1,1))-AVERAGE(OFFSET($H$3,0,0,'Données projet'!$E$12+1,1))</f>
        <v>306.06916761900357</v>
      </c>
      <c r="CE73" s="59">
        <f t="shared" si="94"/>
        <v>258.90832875500337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28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1.7107778037962872E-7</v>
      </c>
      <c r="CN73" s="22">
        <f t="shared" si="66"/>
        <v>1.7107778037962872E-7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245</v>
      </c>
      <c r="CR73" s="12">
        <f>VLOOKUP(A73,'Données projet'!$A$139:$I$159,9,0)</f>
        <v>6.8</v>
      </c>
      <c r="CS73" s="12">
        <f t="array" ref="CS73">INDEX(CR:CR,MIN(IF(ISNUMBER(CR73:CR269),ROW(CR73:CR269),"")))</f>
        <v>6.8</v>
      </c>
      <c r="CT73" s="12">
        <f>IF('Données projet'!$A$140&gt;35,CT72+CS73-DB72,IF(A73&lt;'Données projet'!$A$140,$CQ$205^A73,IF(A73='Données projet'!$A$140,'Données projet'!$B$140,CT72+CS73-DB72)))</f>
        <v>245.00000000000003</v>
      </c>
      <c r="CU73" s="17">
        <f>CT73*VLOOKUP('Données projet'!$B$13,Paramètres!$A$1:$I$89,3,0)*VLOOKUP('Données projet'!$B$13,Paramètres!$A$1:$I$89,5,0)</f>
        <v>164.34600000000003</v>
      </c>
      <c r="CV73" s="13">
        <f t="shared" si="95"/>
        <v>41.821233640915146</v>
      </c>
      <c r="CW73" s="20">
        <f t="shared" si="67"/>
        <v>359.07459859126061</v>
      </c>
      <c r="CX73" s="59">
        <f t="shared" si="68"/>
        <v>625.48014272827004</v>
      </c>
      <c r="CY73" s="59">
        <f ca="1">AVERAGE(OFFSET($CX$3,0,0,'Données projet'!$E$13+1,1))-AVERAGE(OFFSET($H$3,0,0,'Données projet'!$E$13+1,1))</f>
        <v>324.58754156328285</v>
      </c>
      <c r="CZ73" s="59">
        <f t="shared" si="96"/>
        <v>226.01037731977604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44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1.0374332066610814E-7</v>
      </c>
      <c r="DI73" s="22">
        <f t="shared" si="69"/>
        <v>1.0374332066610814E-7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13.737499999999997</v>
      </c>
      <c r="DO73" s="12">
        <f>IF('Données projet'!$A$166&gt;35,DO72+DN73-DW72,IF(A73&lt;'Données projet'!$A$166,$DL$205^A73,IF(A73='Données projet'!$A$166,'Données projet'!$B$166,DO72+DN73-DW72)))</f>
        <v>400.21634615384619</v>
      </c>
      <c r="DP73" s="17">
        <f>DO73*VLOOKUP('Données projet'!$B$14,Paramètres!$A$1:$I$89,3,0)*VLOOKUP('Données projet'!$B$14,Paramètres!$A$1:$I$89,5,0)</f>
        <v>187.30125000000001</v>
      </c>
      <c r="DQ73" s="13">
        <f t="shared" si="97"/>
        <v>46.942801679870392</v>
      </c>
      <c r="DR73" s="20">
        <f t="shared" si="70"/>
        <v>407.97505667577428</v>
      </c>
      <c r="DS73" s="59">
        <f t="shared" si="71"/>
        <v>674.38060081278377</v>
      </c>
      <c r="DT73" s="59">
        <f ca="1">AVERAGE(OFFSET($DS$3,0,0,'Données projet'!$E$14+1,1))-AVERAGE(OFFSET($H$3,0,0,'Données projet'!$E$14+1,1))</f>
        <v>325.93182817189722</v>
      </c>
      <c r="DU73" s="59">
        <f t="shared" si="98"/>
        <v>280.04509991782709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274</v>
      </c>
      <c r="EH73" s="12">
        <f>VLOOKUP(A73,'Données projet'!$A$191:$I$211,9,0)</f>
        <v>4.0999999999999996</v>
      </c>
      <c r="EI73" s="12">
        <f t="array" ref="EI73">INDEX(EH:EH,MIN(IF(ISNUMBER(EH73:EH269),ROW(EH73:EH269),"")))</f>
        <v>4.0999999999999996</v>
      </c>
      <c r="EJ73" s="12">
        <f>IF('Données projet'!$A$192&gt;35,EJ72+EI73-ER72,IF(A73&lt;'Données projet'!$A$192,$EG$205^A73,IF(A73='Données projet'!$A$192,'Données projet'!$B$192,EJ72+EI73-ER72)))</f>
        <v>273.99999999999983</v>
      </c>
      <c r="EK73" s="17">
        <f>EJ73*VLOOKUP('Données projet'!$B$15,Paramètres!$A$1:$I$89,3,0)*VLOOKUP('Données projet'!$B$15,Paramètres!$A$1:$I$89,5,0)</f>
        <v>217.9943999999999</v>
      </c>
      <c r="EL73" s="13">
        <f t="shared" si="99"/>
        <v>53.678746401110374</v>
      </c>
      <c r="EM73" s="20">
        <f t="shared" si="73"/>
        <v>473.16406331526701</v>
      </c>
      <c r="EN73" s="59">
        <f t="shared" si="74"/>
        <v>739.5696074522765</v>
      </c>
      <c r="EO73" s="59">
        <f ca="1">AVERAGE(OFFSET($EN$3,0,0,'Données projet'!$E$15+1,1))-AVERAGE(OFFSET($H$3,0,0,'Données projet'!$E$15+1,1))</f>
        <v>333.52903437536651</v>
      </c>
      <c r="EP73" s="59">
        <f t="shared" si="100"/>
        <v>359.47288701414777</v>
      </c>
      <c r="EQ73" s="15">
        <f>IF(ISNA(VLOOKUP(A73,'Données projet'!$A$191:$I$211,3,0)),0,VLOOKUP(A73,'Données projet'!$A$191:$I$211,3,0))</f>
        <v>6</v>
      </c>
      <c r="ER73" s="15">
        <f>IF(ISNA(VLOOKUP(A73,'Données projet'!$A$191:$I$211,4,0)),0,VLOOKUP(A73,'Données projet'!$A$191:$I$211,4,0))</f>
        <v>21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1.2478226635315437</v>
      </c>
      <c r="EX73" s="21">
        <f>EXP(-LN(2)/2)*EX72+(1-EXP(-LN(2)/2))/(LN(2)/2)*ER73*EU73*VLOOKUP('Données projet'!$B$15,Paramètres!$A$1:$I$89,3,0)*0.475*44/12</f>
        <v>2.4049587972597796E-7</v>
      </c>
      <c r="EY73" s="22">
        <f t="shared" si="75"/>
        <v>1.2478229040274234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379.99230769230769</v>
      </c>
      <c r="FC73" s="12">
        <f>VLOOKUP(A73,'Données projet'!$A$217:$I$237,9,0)</f>
        <v>9.1830769230769249</v>
      </c>
      <c r="FD73" s="12">
        <f t="array" ref="FD73">INDEX(FC:FC,MIN(IF(ISNUMBER(FC73:FC269),ROW(FC73:FC269),"")))</f>
        <v>9.1830769230769249</v>
      </c>
      <c r="FE73" s="12">
        <f>IF('Données projet'!$A$218&gt;35,FE72+FD73-FM72,IF(A73&lt;'Données projet'!$A$218,$FB$205^A73,IF(A73='Données projet'!$A$218,'Données projet'!$B$218,FE72+FD73-FM72)))</f>
        <v>379.99230769230746</v>
      </c>
      <c r="FF73" s="17">
        <f>FE73*VLOOKUP('Données projet'!$B$16,Paramètres!$A$1:$I$89,3,0)*VLOOKUP('Données projet'!$B$16,Paramètres!$A$1:$I$89,5,0)</f>
        <v>227.23539999999988</v>
      </c>
      <c r="FG73" s="13">
        <f t="shared" si="101"/>
        <v>55.684490313081348</v>
      </c>
      <c r="FH73" s="20">
        <f t="shared" si="76"/>
        <v>492.75214229528314</v>
      </c>
      <c r="FI73" s="59">
        <f t="shared" si="77"/>
        <v>759.15768643229262</v>
      </c>
      <c r="FJ73" s="59">
        <f ca="1">AVERAGE(OFFSET($FI$3,0,0,'Données projet'!$E$16+1,1))-AVERAGE(OFFSET($H$3,0,0,'Données projet'!$E$16+1,1))</f>
        <v>313.26988717307376</v>
      </c>
      <c r="FK73" s="59">
        <f t="shared" si="102"/>
        <v>248.17359813993201</v>
      </c>
      <c r="FL73" s="15">
        <f>IF(ISNA(VLOOKUP(A73,'Données projet'!$A$217:$I$237,3,0)),0,VLOOKUP(A73,'Données projet'!$A$217:$I$237,3,0))</f>
        <v>7</v>
      </c>
      <c r="FM73" s="15">
        <f>IF(ISNA(VLOOKUP(A73,'Données projet'!$A$217:$I$237,4,0)),0,VLOOKUP(A73,'Données projet'!$A$217:$I$237,4,0))</f>
        <v>52.669230769230765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1.0555777505345927</v>
      </c>
      <c r="FR73" s="21">
        <f>EXP(-LN(2)/25)*FR72+(1-EXP(-LN(2)/25))/(LN(2)/25)*Calculateur!FM73*Calculateur!FO73*VLOOKUP('Données projet'!$B$16,Paramètres!$A$1:$I$89,3,0)*0.475*44/12</f>
        <v>2.4870193642632059</v>
      </c>
      <c r="FS73" s="21">
        <f>EXP(-LN(2)/2)*FS72+(1-EXP(-LN(2)/2))/(LN(2)/2)*FM73*FP73*VLOOKUP('Données projet'!$B$16,Paramètres!$A$1:$I$89,3,0)*0.475*44/12</f>
        <v>4.0152506845439355E-6</v>
      </c>
      <c r="FT73" s="22">
        <f t="shared" si="78"/>
        <v>3.542601130048483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142</v>
      </c>
      <c r="FX73" s="12">
        <f>VLOOKUP(A73,'Données projet'!$A$243:$I$263,9,0)</f>
        <v>3.7</v>
      </c>
      <c r="FY73" s="12">
        <f t="array" ref="FY73">INDEX(FX:FX,MIN(IF(ISNUMBER(FX73:FX269),ROW(FX73:FX269),"")))</f>
        <v>3.7</v>
      </c>
      <c r="FZ73" s="12">
        <f>IF('Données projet'!$A$244&gt;35,FZ72+FY73-GH72,IF(A73&lt;'Données projet'!$A$244,$FW$205^A73,IF(A73='Données projet'!$A$244,'Données projet'!$B$244,FZ72+FY73-GH72)))</f>
        <v>141.99999999999997</v>
      </c>
      <c r="GA73" s="17">
        <f>FZ73*VLOOKUP('Données projet'!$B$17,Paramètres!$A$1:$I$89,3,0)*VLOOKUP('Données projet'!$B$17,Paramètres!$A$1:$I$89,5,0)</f>
        <v>152.84879999999995</v>
      </c>
      <c r="GB73" s="13">
        <f t="shared" si="103"/>
        <v>39.225275057139491</v>
      </c>
      <c r="GC73" s="20">
        <f t="shared" si="79"/>
        <v>334.52901405785121</v>
      </c>
      <c r="GD73" s="59">
        <f t="shared" si="80"/>
        <v>600.93455819486076</v>
      </c>
      <c r="GE73" s="59">
        <f ca="1">AVERAGE(OFFSET($GD$3,0,0,'Données projet'!$E$17+1,1))-AVERAGE(OFFSET($H$3,0,0,'Données projet'!$E$17+1,1))</f>
        <v>313.51355235711543</v>
      </c>
      <c r="GF73" s="59">
        <f t="shared" si="104"/>
        <v>186.0840067781198</v>
      </c>
      <c r="GG73" s="15">
        <f>IF(ISNA(VLOOKUP(A73,'Données projet'!$A$243:$I$263,3,0)),0,VLOOKUP(A73,'Données projet'!$A$243:$I$263,3,0))</f>
        <v>5</v>
      </c>
      <c r="GH73" s="15">
        <f>IF(ISNA(VLOOKUP(A73,'Données projet'!$A$243:$I$263,4,0)),0,VLOOKUP(A73,'Données projet'!$A$243:$I$263,4,0))</f>
        <v>20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0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0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6.4</v>
      </c>
      <c r="N74" s="13">
        <f>IF('Données projet'!$A$36&gt;35,N73+M74-V73,IF(A74&lt;'Données projet'!$A$36,$K$205^A74,IF(A74='Données projet'!$A$36,'Données projet'!$B$36,N73+M74-V73)))</f>
        <v>207.40000000000003</v>
      </c>
      <c r="O74" s="13">
        <f>N74*VLOOKUP('Données projet'!$B$9,Paramètres!$A$1:$I$89,3,0)*VLOOKUP('Données projet'!$B$9,Paramètres!$A$1:$I$89,5,0)</f>
        <v>210.30360000000005</v>
      </c>
      <c r="P74" s="13">
        <f t="shared" si="87"/>
        <v>52.001924357524459</v>
      </c>
      <c r="Q74" s="20">
        <f t="shared" si="54"/>
        <v>456.84878825602186</v>
      </c>
      <c r="R74" s="59">
        <f t="shared" si="55"/>
        <v>723.72146933406975</v>
      </c>
      <c r="S74" s="59">
        <f ca="1">AVERAGE(OFFSET($R$3,0,0,'Données projet'!$E$9+1,1))-AVERAGE(OFFSET($H$3,0,0,'Données projet'!$E$9+1,1))</f>
        <v>452.67426184967104</v>
      </c>
      <c r="T74" s="59">
        <f t="shared" si="88"/>
        <v>310.47823616327639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4.4230769230769251</v>
      </c>
      <c r="AI74" s="13">
        <f>IF('Données projet'!$A$62&gt;35,AI73+AH74-AQ73,IF(A74&lt;'Données projet'!$A$62,$AF$205^A74,IF(A74='Données projet'!$A$62,'Données projet'!$B$62,AI73+AH74-AQ73)))</f>
        <v>239.67948717948727</v>
      </c>
      <c r="AJ74" s="13">
        <f>AI74*VLOOKUP('Données projet'!$B$10,Paramètres!$A$1:$I$89,3,0)*VLOOKUP('Données projet'!$B$10,Paramètres!$A$1:$I$89,5,0)</f>
        <v>250.51300000000012</v>
      </c>
      <c r="AK74" s="13">
        <f t="shared" si="89"/>
        <v>60.695778972230912</v>
      </c>
      <c r="AL74" s="20">
        <f t="shared" si="58"/>
        <v>542.021956709969</v>
      </c>
      <c r="AM74" s="59">
        <f t="shared" si="59"/>
        <v>808.89463778801701</v>
      </c>
      <c r="AN74" s="59">
        <f ca="1">AVERAGE(OFFSET($AM$3,0,0,'Données projet'!$E$10+1,1))-AVERAGE(OFFSET($H$3,0,0,'Données projet'!$E$10+1,1))</f>
        <v>528.45201982036087</v>
      </c>
      <c r="AO74" s="59">
        <f t="shared" si="90"/>
        <v>321.23004033257985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6.6609198942506135E-8</v>
      </c>
      <c r="AX74" s="21">
        <f t="shared" si="60"/>
        <v>6.6609198942506135E-8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3.4</v>
      </c>
      <c r="BD74" s="12">
        <f>IF('Données projet'!$A$88&gt;35,BD73+BC74-BL73,IF(A74&lt;'Données projet'!$A$88,$BA$205^A74,IF(A74='Données projet'!$A$88,'Données projet'!$B$88,BD73+BC74-BL73)))</f>
        <v>125.39999999999998</v>
      </c>
      <c r="BE74" s="13">
        <f>BD74*VLOOKUP('Données projet'!$B$11,Paramètres!$A$1:$I$89,3,0)*VLOOKUP('Données projet'!$B$11,Paramètres!$A$1:$I$89,5,0)</f>
        <v>121.28687999999998</v>
      </c>
      <c r="BF74" s="13">
        <f t="shared" si="91"/>
        <v>31.974956333849104</v>
      </c>
      <c r="BG74" s="20">
        <f t="shared" si="61"/>
        <v>266.93103161478717</v>
      </c>
      <c r="BH74" s="59">
        <f t="shared" si="62"/>
        <v>533.80371269283512</v>
      </c>
      <c r="BI74" s="59">
        <f ca="1">AVERAGE(OFFSET($BH$3,0,0,'Données projet'!$E$11+1,1))-AVERAGE(OFFSET($H$3,0,0,'Données projet'!$E$11+1,1))</f>
        <v>289.06522051625166</v>
      </c>
      <c r="BJ74" s="59">
        <f t="shared" si="92"/>
        <v>173.19148969173838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4.4000000000000004</v>
      </c>
      <c r="BY74" s="12">
        <f>IF('Données projet'!$A$114&gt;35,BY73+BX74-CG73,IF(A74&lt;'Données projet'!$A$114,$BV$205^A74,IF(A74='Données projet'!$A$114,'Données projet'!$B$114,BY73+BX74-CG73)))</f>
        <v>208.40000000000029</v>
      </c>
      <c r="BZ74" s="13">
        <f>BY74*VLOOKUP('Données projet'!$B$12,Paramètres!$A$1:$I$89,3,0)*VLOOKUP('Données projet'!$B$12,Paramètres!$A$1:$I$89,5,0)</f>
        <v>169.05408000000025</v>
      </c>
      <c r="CA74" s="13">
        <f t="shared" si="93"/>
        <v>42.878100222794941</v>
      </c>
      <c r="CB74" s="20">
        <f t="shared" si="64"/>
        <v>369.11521388803493</v>
      </c>
      <c r="CC74" s="59">
        <f t="shared" si="65"/>
        <v>635.98789496608288</v>
      </c>
      <c r="CD74" s="59">
        <f ca="1">AVERAGE(OFFSET($CC$3,0,0,'Données projet'!$E$12+1,1))-AVERAGE(OFFSET($H$3,0,0,'Données projet'!$E$12+1,1))</f>
        <v>306.06916761900357</v>
      </c>
      <c r="CE74" s="59">
        <f t="shared" si="94"/>
        <v>258.90832875500337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1.2097025861677836E-7</v>
      </c>
      <c r="CN74" s="22">
        <f t="shared" si="66"/>
        <v>1.2097025861677836E-7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6.4</v>
      </c>
      <c r="CT74" s="12">
        <f>IF('Données projet'!$A$140&gt;35,CT73+CS74-DB73,IF(A74&lt;'Données projet'!$A$140,$CQ$205^A74,IF(A74='Données projet'!$A$140,'Données projet'!$B$140,CT73+CS74-DB73)))</f>
        <v>207.40000000000003</v>
      </c>
      <c r="CU74" s="17">
        <f>CT74*VLOOKUP('Données projet'!$B$13,Paramètres!$A$1:$I$89,3,0)*VLOOKUP('Données projet'!$B$13,Paramètres!$A$1:$I$89,5,0)</f>
        <v>139.12392000000003</v>
      </c>
      <c r="CV74" s="13">
        <f t="shared" si="95"/>
        <v>36.096234604679083</v>
      </c>
      <c r="CW74" s="20">
        <f t="shared" si="67"/>
        <v>305.17510260314947</v>
      </c>
      <c r="CX74" s="59">
        <f t="shared" si="68"/>
        <v>572.04778368119742</v>
      </c>
      <c r="CY74" s="59">
        <f ca="1">AVERAGE(OFFSET($CX$3,0,0,'Données projet'!$E$13+1,1))-AVERAGE(OFFSET($H$3,0,0,'Données projet'!$E$13+1,1))</f>
        <v>324.58754156328285</v>
      </c>
      <c r="CZ74" s="59">
        <f t="shared" si="96"/>
        <v>226.01037731977604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7.3357605545815561E-8</v>
      </c>
      <c r="DI74" s="22">
        <f t="shared" si="69"/>
        <v>7.3357605545815561E-8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>
        <f>VLOOKUP(A74,'Données projet'!$A$165:$I$185,2,0)</f>
        <v>413.95384615384614</v>
      </c>
      <c r="DM74" s="12">
        <f>VLOOKUP(A74,'Données projet'!$A$165:$I$185,9,0)</f>
        <v>13.737499999999997</v>
      </c>
      <c r="DN74" s="12">
        <f t="array" ref="DN74">INDEX(DM:DM,MIN(IF(ISNUMBER(DM74:DM270),ROW(DM74:DM270),"")))</f>
        <v>13.737499999999997</v>
      </c>
      <c r="DO74" s="12">
        <f>IF('Données projet'!$A$166&gt;35,DO73+DN74-DW73,IF(A74&lt;'Données projet'!$A$166,$DL$205^A74,IF(A74='Données projet'!$A$166,'Données projet'!$B$166,DO73+DN74-DW73)))</f>
        <v>413.9538461538462</v>
      </c>
      <c r="DP74" s="17">
        <f>DO74*VLOOKUP('Données projet'!$B$14,Paramètres!$A$1:$I$89,3,0)*VLOOKUP('Données projet'!$B$14,Paramètres!$A$1:$I$89,5,0)</f>
        <v>193.73040000000003</v>
      </c>
      <c r="DQ74" s="13">
        <f t="shared" si="97"/>
        <v>48.363755728631737</v>
      </c>
      <c r="DR74" s="20">
        <f t="shared" si="70"/>
        <v>421.647321227367</v>
      </c>
      <c r="DS74" s="59">
        <f t="shared" si="71"/>
        <v>688.52000230541489</v>
      </c>
      <c r="DT74" s="59">
        <f ca="1">AVERAGE(OFFSET($DS$3,0,0,'Données projet'!$E$14+1,1))-AVERAGE(OFFSET($H$3,0,0,'Données projet'!$E$14+1,1))</f>
        <v>325.93182817189722</v>
      </c>
      <c r="DU74" s="59">
        <f t="shared" si="98"/>
        <v>280.04509991782709</v>
      </c>
      <c r="DV74" s="15">
        <f>IF(ISNA(VLOOKUP(A74,'Données projet'!$A$165:$I$185,3,0)),0,VLOOKUP(A74,'Données projet'!$A$165:$I$185,3,0))</f>
        <v>5</v>
      </c>
      <c r="DW74" s="15">
        <f>IF(ISNA(VLOOKUP(A74,'Données projet'!$A$165:$I$185,4,0)),0,VLOOKUP(A74,'Données projet'!$A$165:$I$185,4,0))</f>
        <v>80.399999999999991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3.1</v>
      </c>
      <c r="EJ74" s="12">
        <f>IF('Données projet'!$A$192&gt;35,EJ73+EI74-ER73,IF(A74&lt;'Données projet'!$A$192,$EG$205^A74,IF(A74='Données projet'!$A$192,'Données projet'!$B$192,EJ73+EI74-ER73)))</f>
        <v>256.09999999999985</v>
      </c>
      <c r="EK74" s="17">
        <f>EJ74*VLOOKUP('Données projet'!$B$15,Paramètres!$A$1:$I$89,3,0)*VLOOKUP('Données projet'!$B$15,Paramètres!$A$1:$I$89,5,0)</f>
        <v>203.75315999999989</v>
      </c>
      <c r="EL74" s="13">
        <f t="shared" si="99"/>
        <v>50.568104070523326</v>
      </c>
      <c r="EM74" s="20">
        <f t="shared" si="73"/>
        <v>442.94286825616126</v>
      </c>
      <c r="EN74" s="59">
        <f t="shared" si="74"/>
        <v>709.81554933420921</v>
      </c>
      <c r="EO74" s="59">
        <f ca="1">AVERAGE(OFFSET($EN$3,0,0,'Données projet'!$E$15+1,1))-AVERAGE(OFFSET($H$3,0,0,'Données projet'!$E$15+1,1))</f>
        <v>333.52903437536651</v>
      </c>
      <c r="EP74" s="59">
        <f t="shared" si="100"/>
        <v>359.47288701414777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1.2137008871771318</v>
      </c>
      <c r="EX74" s="21">
        <f>EXP(-LN(2)/2)*EX73+(1-EXP(-LN(2)/2))/(LN(2)/2)*ER74*EU74*VLOOKUP('Données projet'!$B$15,Paramètres!$A$1:$I$89,3,0)*0.475*44/12</f>
        <v>1.7005626740166335E-7</v>
      </c>
      <c r="EY74" s="22">
        <f t="shared" si="75"/>
        <v>1.2137010572333993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7.5584615384615343</v>
      </c>
      <c r="FE74" s="12">
        <f>IF('Données projet'!$A$218&gt;35,FE73+FD74-FM73,IF(A74&lt;'Données projet'!$A$218,$FB$205^A74,IF(A74='Données projet'!$A$218,'Données projet'!$B$218,FE73+FD74-FM73)))</f>
        <v>334.88153846153824</v>
      </c>
      <c r="FF74" s="17">
        <f>FE74*VLOOKUP('Données projet'!$B$16,Paramètres!$A$1:$I$89,3,0)*VLOOKUP('Données projet'!$B$16,Paramètres!$A$1:$I$89,5,0)</f>
        <v>200.25915999999989</v>
      </c>
      <c r="FG74" s="13">
        <f t="shared" si="101"/>
        <v>49.801118956127333</v>
      </c>
      <c r="FH74" s="20">
        <f t="shared" si="76"/>
        <v>435.52165251525486</v>
      </c>
      <c r="FI74" s="59">
        <f t="shared" si="77"/>
        <v>702.3943335933028</v>
      </c>
      <c r="FJ74" s="59">
        <f ca="1">AVERAGE(OFFSET($FI$3,0,0,'Données projet'!$E$16+1,1))-AVERAGE(OFFSET($H$3,0,0,'Données projet'!$E$16+1,1))</f>
        <v>313.26988717307376</v>
      </c>
      <c r="FK74" s="59">
        <f t="shared" si="102"/>
        <v>248.17359813993201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1.0348785146854633</v>
      </c>
      <c r="FR74" s="21">
        <f>EXP(-LN(2)/25)*FR73+(1-EXP(-LN(2)/25))/(LN(2)/25)*Calculateur!FM74*Calculateur!FO74*VLOOKUP('Données projet'!$B$16,Paramètres!$A$1:$I$89,3,0)*0.475*44/12</f>
        <v>2.4190116889607642</v>
      </c>
      <c r="FS74" s="21">
        <f>EXP(-LN(2)/2)*FS73+(1-EXP(-LN(2)/2))/(LN(2)/2)*FM74*FP74*VLOOKUP('Données projet'!$B$16,Paramètres!$A$1:$I$89,3,0)*0.475*44/12</f>
        <v>2.8392109872049439E-6</v>
      </c>
      <c r="FT74" s="22">
        <f t="shared" si="78"/>
        <v>3.4538930428572145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3.4</v>
      </c>
      <c r="FZ74" s="12">
        <f>IF('Données projet'!$A$244&gt;35,FZ73+FY74-GH73,IF(A74&lt;'Données projet'!$A$244,$FW$205^A74,IF(A74='Données projet'!$A$244,'Données projet'!$B$244,FZ73+FY74-GH73)))</f>
        <v>125.39999999999998</v>
      </c>
      <c r="GA74" s="17">
        <f>FZ74*VLOOKUP('Données projet'!$B$17,Paramètres!$A$1:$I$89,3,0)*VLOOKUP('Données projet'!$B$17,Paramètres!$A$1:$I$89,5,0)</f>
        <v>134.98055999999997</v>
      </c>
      <c r="GB74" s="13">
        <f t="shared" si="103"/>
        <v>35.144690234680603</v>
      </c>
      <c r="GC74" s="20">
        <f t="shared" si="79"/>
        <v>296.30147749206867</v>
      </c>
      <c r="GD74" s="59">
        <f t="shared" si="80"/>
        <v>563.17415857011656</v>
      </c>
      <c r="GE74" s="59">
        <f ca="1">AVERAGE(OFFSET($GD$3,0,0,'Données projet'!$E$17+1,1))-AVERAGE(OFFSET($H$3,0,0,'Données projet'!$E$17+1,1))</f>
        <v>313.51355235711543</v>
      </c>
      <c r="GF74" s="59">
        <f t="shared" si="104"/>
        <v>186.0840067781198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0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0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6.4</v>
      </c>
      <c r="N75" s="13">
        <f>IF('Données projet'!$A$36&gt;35,N74+M75-V74,IF(A75&lt;'Données projet'!$A$36,$K$205^A75,IF(A75='Données projet'!$A$36,'Données projet'!$B$36,N74+M75-V74)))</f>
        <v>213.80000000000004</v>
      </c>
      <c r="O75" s="13">
        <f>N75*VLOOKUP('Données projet'!$B$9,Paramètres!$A$1:$I$89,3,0)*VLOOKUP('Données projet'!$B$9,Paramètres!$A$1:$I$89,5,0)</f>
        <v>216.79320000000004</v>
      </c>
      <c r="P75" s="13">
        <f t="shared" si="87"/>
        <v>53.417309071627884</v>
      </c>
      <c r="Q75" s="20">
        <f t="shared" si="54"/>
        <v>470.61663663308531</v>
      </c>
      <c r="R75" s="59">
        <f t="shared" si="55"/>
        <v>737.94835087060642</v>
      </c>
      <c r="S75" s="59">
        <f ca="1">AVERAGE(OFFSET($R$3,0,0,'Données projet'!$E$9+1,1))-AVERAGE(OFFSET($H$3,0,0,'Données projet'!$E$9+1,1))</f>
        <v>452.67426184967104</v>
      </c>
      <c r="T75" s="59">
        <f t="shared" si="88"/>
        <v>310.47823616327639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4.4230769230769251</v>
      </c>
      <c r="AI75" s="13">
        <f>IF('Données projet'!$A$62&gt;35,AI74+AH75-AQ74,IF(A75&lt;'Données projet'!$A$62,$AF$205^A75,IF(A75='Données projet'!$A$62,'Données projet'!$B$62,AI74+AH75-AQ74)))</f>
        <v>244.1025641025642</v>
      </c>
      <c r="AJ75" s="13">
        <f>AI75*VLOOKUP('Données projet'!$B$10,Paramètres!$A$1:$I$89,3,0)*VLOOKUP('Données projet'!$B$10,Paramètres!$A$1:$I$89,5,0)</f>
        <v>255.13600000000014</v>
      </c>
      <c r="AK75" s="13">
        <f t="shared" si="89"/>
        <v>61.684432913217655</v>
      </c>
      <c r="AL75" s="20">
        <f t="shared" si="58"/>
        <v>551.79558732385431</v>
      </c>
      <c r="AM75" s="59">
        <f t="shared" si="59"/>
        <v>819.12730156137536</v>
      </c>
      <c r="AN75" s="59">
        <f ca="1">AVERAGE(OFFSET($AM$3,0,0,'Données projet'!$E$10+1,1))-AVERAGE(OFFSET($H$3,0,0,'Données projet'!$E$10+1,1))</f>
        <v>528.45201982036087</v>
      </c>
      <c r="AO75" s="59">
        <f t="shared" si="90"/>
        <v>321.23004033257985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4.7099816261649899E-8</v>
      </c>
      <c r="AX75" s="21">
        <f t="shared" si="60"/>
        <v>4.7099816261649899E-8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3.4</v>
      </c>
      <c r="BD75" s="12">
        <f>IF('Données projet'!$A$88&gt;35,BD74+BC75-BL74,IF(A75&lt;'Données projet'!$A$88,$BA$205^A75,IF(A75='Données projet'!$A$88,'Données projet'!$B$88,BD74+BC75-BL74)))</f>
        <v>128.79999999999998</v>
      </c>
      <c r="BE75" s="13">
        <f>BD75*VLOOKUP('Données projet'!$B$11,Paramètres!$A$1:$I$89,3,0)*VLOOKUP('Données projet'!$B$11,Paramètres!$A$1:$I$89,5,0)</f>
        <v>124.57535999999999</v>
      </c>
      <c r="BF75" s="13">
        <f t="shared" si="91"/>
        <v>32.739791806000952</v>
      </c>
      <c r="BG75" s="20">
        <f t="shared" si="61"/>
        <v>273.99055606211823</v>
      </c>
      <c r="BH75" s="59">
        <f t="shared" si="62"/>
        <v>541.32227029963929</v>
      </c>
      <c r="BI75" s="59">
        <f ca="1">AVERAGE(OFFSET($BH$3,0,0,'Données projet'!$E$11+1,1))-AVERAGE(OFFSET($H$3,0,0,'Données projet'!$E$11+1,1))</f>
        <v>289.06522051625166</v>
      </c>
      <c r="BJ75" s="59">
        <f t="shared" si="92"/>
        <v>173.19148969173838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4.4000000000000004</v>
      </c>
      <c r="BY75" s="12">
        <f>IF('Données projet'!$A$114&gt;35,BY74+BX75-CG74,IF(A75&lt;'Données projet'!$A$114,$BV$205^A75,IF(A75='Données projet'!$A$114,'Données projet'!$B$114,BY74+BX75-CG74)))</f>
        <v>212.8000000000003</v>
      </c>
      <c r="BZ75" s="13">
        <f>BY75*VLOOKUP('Données projet'!$B$12,Paramètres!$A$1:$I$89,3,0)*VLOOKUP('Données projet'!$B$12,Paramètres!$A$1:$I$89,5,0)</f>
        <v>172.62336000000025</v>
      </c>
      <c r="CA75" s="13">
        <f t="shared" si="93"/>
        <v>43.677044279986113</v>
      </c>
      <c r="CB75" s="20">
        <f t="shared" si="64"/>
        <v>376.72320412097628</v>
      </c>
      <c r="CC75" s="59">
        <f t="shared" si="65"/>
        <v>644.05491835849739</v>
      </c>
      <c r="CD75" s="59">
        <f ca="1">AVERAGE(OFFSET($CC$3,0,0,'Données projet'!$E$12+1,1))-AVERAGE(OFFSET($H$3,0,0,'Données projet'!$E$12+1,1))</f>
        <v>306.06916761900357</v>
      </c>
      <c r="CE75" s="59">
        <f t="shared" si="94"/>
        <v>258.90832875500337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8.553889018981436E-8</v>
      </c>
      <c r="CN75" s="22">
        <f t="shared" si="66"/>
        <v>8.553889018981436E-8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6.4</v>
      </c>
      <c r="CT75" s="12">
        <f>IF('Données projet'!$A$140&gt;35,CT74+CS75-DB74,IF(A75&lt;'Données projet'!$A$140,$CQ$205^A75,IF(A75='Données projet'!$A$140,'Données projet'!$B$140,CT74+CS75-DB74)))</f>
        <v>213.80000000000004</v>
      </c>
      <c r="CU75" s="17">
        <f>CT75*VLOOKUP('Données projet'!$B$13,Paramètres!$A$1:$I$89,3,0)*VLOOKUP('Données projet'!$B$13,Paramètres!$A$1:$I$89,5,0)</f>
        <v>143.41704000000001</v>
      </c>
      <c r="CV75" s="13">
        <f t="shared" si="95"/>
        <v>37.078699375499809</v>
      </c>
      <c r="CW75" s="20">
        <f t="shared" si="67"/>
        <v>314.36341274566217</v>
      </c>
      <c r="CX75" s="59">
        <f t="shared" si="68"/>
        <v>581.69512698318329</v>
      </c>
      <c r="CY75" s="59">
        <f ca="1">AVERAGE(OFFSET($CX$3,0,0,'Données projet'!$E$13+1,1))-AVERAGE(OFFSET($H$3,0,0,'Données projet'!$E$13+1,1))</f>
        <v>324.58754156328285</v>
      </c>
      <c r="CZ75" s="59">
        <f t="shared" si="96"/>
        <v>226.01037731977604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5.187166033305407E-8</v>
      </c>
      <c r="DI75" s="22">
        <f t="shared" si="69"/>
        <v>5.187166033305407E-8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12.913461538461533</v>
      </c>
      <c r="DO75" s="12">
        <f>IF('Données projet'!$A$166&gt;35,DO74+DN75-DW74,IF(A75&lt;'Données projet'!$A$166,$DL$205^A75,IF(A75='Données projet'!$A$166,'Données projet'!$B$166,DO74+DN75-DW74)))</f>
        <v>346.46730769230777</v>
      </c>
      <c r="DP75" s="17">
        <f>DO75*VLOOKUP('Données projet'!$B$14,Paramètres!$A$1:$I$89,3,0)*VLOOKUP('Données projet'!$B$14,Paramètres!$A$1:$I$89,5,0)</f>
        <v>162.14670000000004</v>
      </c>
      <c r="DQ75" s="13">
        <f t="shared" si="97"/>
        <v>41.326333369414826</v>
      </c>
      <c r="DR75" s="20">
        <f t="shared" si="70"/>
        <v>354.38219978506419</v>
      </c>
      <c r="DS75" s="59">
        <f t="shared" si="71"/>
        <v>621.7139140225853</v>
      </c>
      <c r="DT75" s="59">
        <f ca="1">AVERAGE(OFFSET($DS$3,0,0,'Données projet'!$E$14+1,1))-AVERAGE(OFFSET($H$3,0,0,'Données projet'!$E$14+1,1))</f>
        <v>325.93182817189722</v>
      </c>
      <c r="DU75" s="59">
        <f t="shared" si="98"/>
        <v>280.04509991782709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3.1</v>
      </c>
      <c r="EJ75" s="12">
        <f>IF('Données projet'!$A$192&gt;35,EJ74+EI75-ER74,IF(A75&lt;'Données projet'!$A$192,$EG$205^A75,IF(A75='Données projet'!$A$192,'Données projet'!$B$192,EJ74+EI75-ER74)))</f>
        <v>259.19999999999987</v>
      </c>
      <c r="EK75" s="17">
        <f>EJ75*VLOOKUP('Données projet'!$B$15,Paramètres!$A$1:$I$89,3,0)*VLOOKUP('Données projet'!$B$15,Paramètres!$A$1:$I$89,5,0)</f>
        <v>206.21951999999993</v>
      </c>
      <c r="EL75" s="13">
        <f t="shared" si="99"/>
        <v>51.10858428464028</v>
      </c>
      <c r="EM75" s="20">
        <f t="shared" si="73"/>
        <v>448.17978162908167</v>
      </c>
      <c r="EN75" s="59">
        <f t="shared" si="74"/>
        <v>715.51149586660279</v>
      </c>
      <c r="EO75" s="59">
        <f ca="1">AVERAGE(OFFSET($EN$3,0,0,'Données projet'!$E$15+1,1))-AVERAGE(OFFSET($H$3,0,0,'Données projet'!$E$15+1,1))</f>
        <v>333.52903437536651</v>
      </c>
      <c r="EP75" s="59">
        <f t="shared" si="100"/>
        <v>359.47288701414777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1.1805121725915173</v>
      </c>
      <c r="EX75" s="21">
        <f>EXP(-LN(2)/2)*EX74+(1-EXP(-LN(2)/2))/(LN(2)/2)*ER75*EU75*VLOOKUP('Données projet'!$B$15,Paramètres!$A$1:$I$89,3,0)*0.475*44/12</f>
        <v>1.2024793986298898E-7</v>
      </c>
      <c r="EY75" s="22">
        <f t="shared" si="75"/>
        <v>1.1805122928394571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7.5584615384615343</v>
      </c>
      <c r="FE75" s="12">
        <f>IF('Données projet'!$A$218&gt;35,FE74+FD75-FM74,IF(A75&lt;'Données projet'!$A$218,$FB$205^A75,IF(A75='Données projet'!$A$218,'Données projet'!$B$218,FE74+FD75-FM74)))</f>
        <v>342.43999999999977</v>
      </c>
      <c r="FF75" s="17">
        <f>FE75*VLOOKUP('Données projet'!$B$16,Paramètres!$A$1:$I$89,3,0)*VLOOKUP('Données projet'!$B$16,Paramètres!$A$1:$I$89,5,0)</f>
        <v>204.77911999999986</v>
      </c>
      <c r="FG75" s="13">
        <f t="shared" si="101"/>
        <v>50.79302579334589</v>
      </c>
      <c r="FH75" s="20">
        <f t="shared" si="76"/>
        <v>445.12148725674388</v>
      </c>
      <c r="FI75" s="59">
        <f t="shared" si="77"/>
        <v>712.45320149426493</v>
      </c>
      <c r="FJ75" s="59">
        <f ca="1">AVERAGE(OFFSET($FI$3,0,0,'Données projet'!$E$16+1,1))-AVERAGE(OFFSET($H$3,0,0,'Données projet'!$E$16+1,1))</f>
        <v>313.26988717307376</v>
      </c>
      <c r="FK75" s="59">
        <f t="shared" si="102"/>
        <v>248.17359813993201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1.0145851782260482</v>
      </c>
      <c r="FR75" s="21">
        <f>EXP(-LN(2)/25)*FR74+(1-EXP(-LN(2)/25))/(LN(2)/25)*Calculateur!FM75*Calculateur!FO75*VLOOKUP('Données projet'!$B$16,Paramètres!$A$1:$I$89,3,0)*0.475*44/12</f>
        <v>2.3528636871158359</v>
      </c>
      <c r="FS75" s="21">
        <f>EXP(-LN(2)/2)*FS74+(1-EXP(-LN(2)/2))/(LN(2)/2)*FM75*FP75*VLOOKUP('Données projet'!$B$16,Paramètres!$A$1:$I$89,3,0)*0.475*44/12</f>
        <v>2.0076253422719677E-6</v>
      </c>
      <c r="FT75" s="22">
        <f t="shared" si="78"/>
        <v>3.3674508729672263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3.4</v>
      </c>
      <c r="FZ75" s="12">
        <f>IF('Données projet'!$A$244&gt;35,FZ74+FY75-GH74,IF(A75&lt;'Données projet'!$A$244,$FW$205^A75,IF(A75='Données projet'!$A$244,'Données projet'!$B$244,FZ74+FY75-GH74)))</f>
        <v>128.79999999999998</v>
      </c>
      <c r="GA75" s="17">
        <f>FZ75*VLOOKUP('Données projet'!$B$17,Paramètres!$A$1:$I$89,3,0)*VLOOKUP('Données projet'!$B$17,Paramètres!$A$1:$I$89,5,0)</f>
        <v>138.64031999999997</v>
      </c>
      <c r="GB75" s="13">
        <f t="shared" si="103"/>
        <v>35.985345198165781</v>
      </c>
      <c r="GC75" s="20">
        <f t="shared" si="79"/>
        <v>304.13970022013865</v>
      </c>
      <c r="GD75" s="59">
        <f t="shared" si="80"/>
        <v>571.47141445765976</v>
      </c>
      <c r="GE75" s="59">
        <f ca="1">AVERAGE(OFFSET($GD$3,0,0,'Données projet'!$E$17+1,1))-AVERAGE(OFFSET($H$3,0,0,'Données projet'!$E$17+1,1))</f>
        <v>313.51355235711543</v>
      </c>
      <c r="GF75" s="59">
        <f t="shared" si="104"/>
        <v>186.0840067781198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0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0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6.4</v>
      </c>
      <c r="N76" s="13">
        <f>IF('Données projet'!$A$36&gt;35,N75+M76-V75,IF(A76&lt;'Données projet'!$A$36,$K$205^A76,IF(A76='Données projet'!$A$36,'Données projet'!$B$36,N75+M76-V75)))</f>
        <v>220.20000000000005</v>
      </c>
      <c r="O76" s="13">
        <f>N76*VLOOKUP('Données projet'!$B$9,Paramètres!$A$1:$I$89,3,0)*VLOOKUP('Données projet'!$B$9,Paramètres!$A$1:$I$89,5,0)</f>
        <v>223.28280000000004</v>
      </c>
      <c r="P76" s="13">
        <f t="shared" si="87"/>
        <v>54.82776985554348</v>
      </c>
      <c r="Q76" s="20">
        <f t="shared" si="54"/>
        <v>484.37590916507162</v>
      </c>
      <c r="R76" s="59">
        <f t="shared" si="55"/>
        <v>752.1586933629934</v>
      </c>
      <c r="S76" s="59">
        <f ca="1">AVERAGE(OFFSET($R$3,0,0,'Données projet'!$E$9+1,1))-AVERAGE(OFFSET($H$3,0,0,'Données projet'!$E$9+1,1))</f>
        <v>452.67426184967104</v>
      </c>
      <c r="T76" s="59">
        <f t="shared" si="88"/>
        <v>310.47823616327639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4.4230769230769251</v>
      </c>
      <c r="AI76" s="13">
        <f>IF('Données projet'!$A$62&gt;35,AI75+AH76-AQ75,IF(A76&lt;'Données projet'!$A$62,$AF$205^A76,IF(A76='Données projet'!$A$62,'Données projet'!$B$62,AI75+AH76-AQ75)))</f>
        <v>248.52564102564114</v>
      </c>
      <c r="AJ76" s="13">
        <f>AI76*VLOOKUP('Données projet'!$B$10,Paramètres!$A$1:$I$89,3,0)*VLOOKUP('Données projet'!$B$10,Paramètres!$A$1:$I$89,5,0)</f>
        <v>259.75900000000013</v>
      </c>
      <c r="AK76" s="13">
        <f t="shared" si="89"/>
        <v>62.671003722904565</v>
      </c>
      <c r="AL76" s="20">
        <f t="shared" si="58"/>
        <v>561.56558981739238</v>
      </c>
      <c r="AM76" s="59">
        <f t="shared" si="59"/>
        <v>829.34837401531422</v>
      </c>
      <c r="AN76" s="59">
        <f ca="1">AVERAGE(OFFSET($AM$3,0,0,'Données projet'!$E$10+1,1))-AVERAGE(OFFSET($H$3,0,0,'Données projet'!$E$10+1,1))</f>
        <v>528.45201982036087</v>
      </c>
      <c r="AO76" s="59">
        <f t="shared" si="90"/>
        <v>321.23004033257985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3.3304599471253067E-8</v>
      </c>
      <c r="AX76" s="21">
        <f t="shared" si="60"/>
        <v>3.3304599471253067E-8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3.4</v>
      </c>
      <c r="BD76" s="12">
        <f>IF('Données projet'!$A$88&gt;35,BD75+BC76-BL75,IF(A76&lt;'Données projet'!$A$88,$BA$205^A76,IF(A76='Données projet'!$A$88,'Données projet'!$B$88,BD75+BC76-BL75)))</f>
        <v>132.19999999999999</v>
      </c>
      <c r="BE76" s="13">
        <f>BD76*VLOOKUP('Données projet'!$B$11,Paramètres!$A$1:$I$89,3,0)*VLOOKUP('Données projet'!$B$11,Paramètres!$A$1:$I$89,5,0)</f>
        <v>127.86384</v>
      </c>
      <c r="BF76" s="13">
        <f t="shared" si="91"/>
        <v>33.502280509335172</v>
      </c>
      <c r="BG76" s="20">
        <f t="shared" si="61"/>
        <v>281.04599322042537</v>
      </c>
      <c r="BH76" s="59">
        <f t="shared" si="62"/>
        <v>548.82877741834716</v>
      </c>
      <c r="BI76" s="59">
        <f ca="1">AVERAGE(OFFSET($BH$3,0,0,'Données projet'!$E$11+1,1))-AVERAGE(OFFSET($H$3,0,0,'Données projet'!$E$11+1,1))</f>
        <v>289.06522051625166</v>
      </c>
      <c r="BJ76" s="59">
        <f t="shared" si="92"/>
        <v>173.19148969173838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4.4000000000000004</v>
      </c>
      <c r="BY76" s="12">
        <f>IF('Données projet'!$A$114&gt;35,BY75+BX76-CG75,IF(A76&lt;'Données projet'!$A$114,$BV$205^A76,IF(A76='Données projet'!$A$114,'Données projet'!$B$114,BY75+BX76-CG75)))</f>
        <v>217.2000000000003</v>
      </c>
      <c r="BZ76" s="13">
        <f>BY76*VLOOKUP('Données projet'!$B$12,Paramètres!$A$1:$I$89,3,0)*VLOOKUP('Données projet'!$B$12,Paramètres!$A$1:$I$89,5,0)</f>
        <v>176.19264000000027</v>
      </c>
      <c r="CA76" s="13">
        <f t="shared" si="93"/>
        <v>44.474067632484584</v>
      </c>
      <c r="CB76" s="20">
        <f t="shared" si="64"/>
        <v>384.32784912657775</v>
      </c>
      <c r="CC76" s="59">
        <f t="shared" si="65"/>
        <v>652.11063332449953</v>
      </c>
      <c r="CD76" s="59">
        <f ca="1">AVERAGE(OFFSET($CC$3,0,0,'Données projet'!$E$12+1,1))-AVERAGE(OFFSET($H$3,0,0,'Données projet'!$E$12+1,1))</f>
        <v>306.06916761900357</v>
      </c>
      <c r="CE76" s="59">
        <f t="shared" si="94"/>
        <v>258.90832875500337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6.0485129308389178E-8</v>
      </c>
      <c r="CN76" s="22">
        <f t="shared" si="66"/>
        <v>6.0485129308389178E-8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6.4</v>
      </c>
      <c r="CT76" s="12">
        <f>IF('Données projet'!$A$140&gt;35,CT75+CS76-DB75,IF(A76&lt;'Données projet'!$A$140,$CQ$205^A76,IF(A76='Données projet'!$A$140,'Données projet'!$B$140,CT75+CS76-DB75)))</f>
        <v>220.20000000000005</v>
      </c>
      <c r="CU76" s="17">
        <f>CT76*VLOOKUP('Données projet'!$B$13,Paramètres!$A$1:$I$89,3,0)*VLOOKUP('Données projet'!$B$13,Paramètres!$A$1:$I$89,5,0)</f>
        <v>147.71016000000003</v>
      </c>
      <c r="CV76" s="13">
        <f t="shared" si="95"/>
        <v>38.057746285511939</v>
      </c>
      <c r="CW76" s="20">
        <f t="shared" si="67"/>
        <v>323.54577011393332</v>
      </c>
      <c r="CX76" s="59">
        <f t="shared" si="68"/>
        <v>591.3285543118551</v>
      </c>
      <c r="CY76" s="59">
        <f ca="1">AVERAGE(OFFSET($CX$3,0,0,'Données projet'!$E$13+1,1))-AVERAGE(OFFSET($H$3,0,0,'Données projet'!$E$13+1,1))</f>
        <v>324.58754156328285</v>
      </c>
      <c r="CZ76" s="59">
        <f t="shared" si="96"/>
        <v>226.01037731977604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3.6678802772907781E-8</v>
      </c>
      <c r="DI76" s="22">
        <f t="shared" si="69"/>
        <v>3.6678802772907781E-8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12.913461538461533</v>
      </c>
      <c r="DO76" s="12">
        <f>IF('Données projet'!$A$166&gt;35,DO75+DN76-DW75,IF(A76&lt;'Données projet'!$A$166,$DL$205^A76,IF(A76='Données projet'!$A$166,'Données projet'!$B$166,DO75+DN76-DW75)))</f>
        <v>359.38076923076932</v>
      </c>
      <c r="DP76" s="17">
        <f>DO76*VLOOKUP('Données projet'!$B$14,Paramètres!$A$1:$I$89,3,0)*VLOOKUP('Données projet'!$B$14,Paramètres!$A$1:$I$89,5,0)</f>
        <v>168.19020000000003</v>
      </c>
      <c r="DQ76" s="13">
        <f t="shared" si="97"/>
        <v>42.684436447240749</v>
      </c>
      <c r="DR76" s="20">
        <f t="shared" si="70"/>
        <v>367.27332514561107</v>
      </c>
      <c r="DS76" s="59">
        <f t="shared" si="71"/>
        <v>635.05610934353285</v>
      </c>
      <c r="DT76" s="59">
        <f ca="1">AVERAGE(OFFSET($DS$3,0,0,'Données projet'!$E$14+1,1))-AVERAGE(OFFSET($H$3,0,0,'Données projet'!$E$14+1,1))</f>
        <v>325.93182817189722</v>
      </c>
      <c r="DU76" s="59">
        <f t="shared" si="98"/>
        <v>280.04509991782709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3.1</v>
      </c>
      <c r="EJ76" s="12">
        <f>IF('Données projet'!$A$192&gt;35,EJ75+EI76-ER75,IF(A76&lt;'Données projet'!$A$192,$EG$205^A76,IF(A76='Données projet'!$A$192,'Données projet'!$B$192,EJ75+EI76-ER75)))</f>
        <v>262.2999999999999</v>
      </c>
      <c r="EK76" s="17">
        <f>EJ76*VLOOKUP('Données projet'!$B$15,Paramètres!$A$1:$I$89,3,0)*VLOOKUP('Données projet'!$B$15,Paramètres!$A$1:$I$89,5,0)</f>
        <v>208.68587999999991</v>
      </c>
      <c r="EL76" s="13">
        <f t="shared" si="99"/>
        <v>51.648312584769947</v>
      </c>
      <c r="EM76" s="20">
        <f t="shared" si="73"/>
        <v>453.41538541847422</v>
      </c>
      <c r="EN76" s="59">
        <f t="shared" si="74"/>
        <v>721.19816961639594</v>
      </c>
      <c r="EO76" s="59">
        <f ca="1">AVERAGE(OFFSET($EN$3,0,0,'Données projet'!$E$15+1,1))-AVERAGE(OFFSET($H$3,0,0,'Données projet'!$E$15+1,1))</f>
        <v>333.52903437536651</v>
      </c>
      <c r="EP76" s="59">
        <f t="shared" si="100"/>
        <v>359.47288701414777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1.1482310051515652</v>
      </c>
      <c r="EX76" s="21">
        <f>EXP(-LN(2)/2)*EX75+(1-EXP(-LN(2)/2))/(LN(2)/2)*ER76*EU76*VLOOKUP('Données projet'!$B$15,Paramètres!$A$1:$I$89,3,0)*0.475*44/12</f>
        <v>8.5028133700831677E-8</v>
      </c>
      <c r="EY76" s="22">
        <f t="shared" si="75"/>
        <v>1.1482310901796988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7.5584615384615343</v>
      </c>
      <c r="FE76" s="12">
        <f>IF('Données projet'!$A$218&gt;35,FE75+FD76-FM75,IF(A76&lt;'Données projet'!$A$218,$FB$205^A76,IF(A76='Données projet'!$A$218,'Données projet'!$B$218,FE75+FD76-FM75)))</f>
        <v>349.9984615384613</v>
      </c>
      <c r="FF76" s="17">
        <f>FE76*VLOOKUP('Données projet'!$B$16,Paramètres!$A$1:$I$89,3,0)*VLOOKUP('Données projet'!$B$16,Paramètres!$A$1:$I$89,5,0)</f>
        <v>209.29907999999986</v>
      </c>
      <c r="FG76" s="13">
        <f t="shared" si="101"/>
        <v>51.782387252616175</v>
      </c>
      <c r="FH76" s="20">
        <f t="shared" si="76"/>
        <v>454.71688879830623</v>
      </c>
      <c r="FI76" s="59">
        <f t="shared" si="77"/>
        <v>722.49967299622801</v>
      </c>
      <c r="FJ76" s="59">
        <f ca="1">AVERAGE(OFFSET($FI$3,0,0,'Données projet'!$E$16+1,1))-AVERAGE(OFFSET($H$3,0,0,'Données projet'!$E$16+1,1))</f>
        <v>313.26988717307376</v>
      </c>
      <c r="FK76" s="59">
        <f t="shared" si="102"/>
        <v>248.17359813993201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0.99468978171688915</v>
      </c>
      <c r="FR76" s="21">
        <f>EXP(-LN(2)/25)*FR75+(1-EXP(-LN(2)/25))/(LN(2)/25)*Calculateur!FM76*Calculateur!FO76*VLOOKUP('Données projet'!$B$16,Paramètres!$A$1:$I$89,3,0)*0.475*44/12</f>
        <v>2.2885245058599297</v>
      </c>
      <c r="FS76" s="21">
        <f>EXP(-LN(2)/2)*FS75+(1-EXP(-LN(2)/2))/(LN(2)/2)*FM76*FP76*VLOOKUP('Données projet'!$B$16,Paramètres!$A$1:$I$89,3,0)*0.475*44/12</f>
        <v>1.4196054936024719E-6</v>
      </c>
      <c r="FT76" s="22">
        <f t="shared" si="78"/>
        <v>3.2832157071823125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3.4</v>
      </c>
      <c r="FZ76" s="12">
        <f>IF('Données projet'!$A$244&gt;35,FZ75+FY76-GH75,IF(A76&lt;'Données projet'!$A$244,$FW$205^A76,IF(A76='Données projet'!$A$244,'Données projet'!$B$244,FZ75+FY76-GH75)))</f>
        <v>132.19999999999999</v>
      </c>
      <c r="GA76" s="17">
        <f>FZ76*VLOOKUP('Données projet'!$B$17,Paramètres!$A$1:$I$89,3,0)*VLOOKUP('Données projet'!$B$17,Paramètres!$A$1:$I$89,5,0)</f>
        <v>142.30007999999998</v>
      </c>
      <c r="GB76" s="13">
        <f t="shared" si="103"/>
        <v>36.823420753495235</v>
      </c>
      <c r="GC76" s="20">
        <f t="shared" si="79"/>
        <v>311.97343047900415</v>
      </c>
      <c r="GD76" s="59">
        <f t="shared" si="80"/>
        <v>579.75621467692599</v>
      </c>
      <c r="GE76" s="59">
        <f ca="1">AVERAGE(OFFSET($GD$3,0,0,'Données projet'!$E$17+1,1))-AVERAGE(OFFSET($H$3,0,0,'Données projet'!$E$17+1,1))</f>
        <v>313.51355235711543</v>
      </c>
      <c r="GF76" s="59">
        <f t="shared" si="104"/>
        <v>186.0840067781198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0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0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6.4</v>
      </c>
      <c r="N77" s="13">
        <f>IF('Données projet'!$A$36&gt;35,N76+M77-V76,IF(A77&lt;'Données projet'!$A$36,$K$205^A77,IF(A77='Données projet'!$A$36,'Données projet'!$B$36,N76+M77-V76)))</f>
        <v>226.60000000000005</v>
      </c>
      <c r="O77" s="13">
        <f>N77*VLOOKUP('Données projet'!$B$9,Paramètres!$A$1:$I$89,3,0)*VLOOKUP('Données projet'!$B$9,Paramètres!$A$1:$I$89,5,0)</f>
        <v>229.77240000000009</v>
      </c>
      <c r="P77" s="13">
        <f t="shared" si="87"/>
        <v>56.233466254530725</v>
      </c>
      <c r="Q77" s="20">
        <f t="shared" si="54"/>
        <v>498.1268837266411</v>
      </c>
      <c r="R77" s="59">
        <f t="shared" si="55"/>
        <v>766.35291282959201</v>
      </c>
      <c r="S77" s="59">
        <f ca="1">AVERAGE(OFFSET($R$3,0,0,'Données projet'!$E$9+1,1))-AVERAGE(OFFSET($H$3,0,0,'Données projet'!$E$9+1,1))</f>
        <v>452.67426184967104</v>
      </c>
      <c r="T77" s="59">
        <f t="shared" si="88"/>
        <v>310.47823616327639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4.4230769230769251</v>
      </c>
      <c r="AI77" s="13">
        <f>IF('Données projet'!$A$62&gt;35,AI76+AH77-AQ76,IF(A77&lt;'Données projet'!$A$62,$AF$205^A77,IF(A77='Données projet'!$A$62,'Données projet'!$B$62,AI76+AH77-AQ76)))</f>
        <v>252.94871794871807</v>
      </c>
      <c r="AJ77" s="13">
        <f>AI77*VLOOKUP('Données projet'!$B$10,Paramètres!$A$1:$I$89,3,0)*VLOOKUP('Données projet'!$B$10,Paramètres!$A$1:$I$89,5,0)</f>
        <v>264.38200000000018</v>
      </c>
      <c r="AK77" s="13">
        <f t="shared" si="89"/>
        <v>63.65553275231148</v>
      </c>
      <c r="AL77" s="20">
        <f t="shared" si="58"/>
        <v>571.33203621027621</v>
      </c>
      <c r="AM77" s="59">
        <f t="shared" si="59"/>
        <v>839.55806531322708</v>
      </c>
      <c r="AN77" s="59">
        <f ca="1">AVERAGE(OFFSET($AM$3,0,0,'Données projet'!$E$10+1,1))-AVERAGE(OFFSET($H$3,0,0,'Données projet'!$E$10+1,1))</f>
        <v>528.45201982036087</v>
      </c>
      <c r="AO77" s="59">
        <f t="shared" si="90"/>
        <v>321.23004033257985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2.354990813082495E-8</v>
      </c>
      <c r="AX77" s="21">
        <f t="shared" si="60"/>
        <v>2.354990813082495E-8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3.4</v>
      </c>
      <c r="BD77" s="12">
        <f>IF('Données projet'!$A$88&gt;35,BD76+BC77-BL76,IF(A77&lt;'Données projet'!$A$88,$BA$205^A77,IF(A77='Données projet'!$A$88,'Données projet'!$B$88,BD76+BC77-BL76)))</f>
        <v>135.6</v>
      </c>
      <c r="BE77" s="13">
        <f>BD77*VLOOKUP('Données projet'!$B$11,Paramètres!$A$1:$I$89,3,0)*VLOOKUP('Données projet'!$B$11,Paramètres!$A$1:$I$89,5,0)</f>
        <v>131.15232</v>
      </c>
      <c r="BF77" s="13">
        <f t="shared" si="91"/>
        <v>34.262489739130991</v>
      </c>
      <c r="BG77" s="20">
        <f t="shared" si="61"/>
        <v>288.09746029565309</v>
      </c>
      <c r="BH77" s="59">
        <f t="shared" si="62"/>
        <v>556.3234893986039</v>
      </c>
      <c r="BI77" s="59">
        <f ca="1">AVERAGE(OFFSET($BH$3,0,0,'Données projet'!$E$11+1,1))-AVERAGE(OFFSET($H$3,0,0,'Données projet'!$E$11+1,1))</f>
        <v>289.06522051625166</v>
      </c>
      <c r="BJ77" s="59">
        <f t="shared" si="92"/>
        <v>173.19148969173838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4.4000000000000004</v>
      </c>
      <c r="BY77" s="12">
        <f>IF('Données projet'!$A$114&gt;35,BY76+BX77-CG76,IF(A77&lt;'Données projet'!$A$114,$BV$205^A77,IF(A77='Données projet'!$A$114,'Données projet'!$B$114,BY76+BX77-CG76)))</f>
        <v>221.60000000000031</v>
      </c>
      <c r="BZ77" s="13">
        <f>BY77*VLOOKUP('Données projet'!$B$12,Paramètres!$A$1:$I$89,3,0)*VLOOKUP('Données projet'!$B$12,Paramètres!$A$1:$I$89,5,0)</f>
        <v>179.76192000000026</v>
      </c>
      <c r="CA77" s="13">
        <f t="shared" si="93"/>
        <v>45.269213673453336</v>
      </c>
      <c r="CB77" s="20">
        <f t="shared" si="64"/>
        <v>391.92922448126501</v>
      </c>
      <c r="CC77" s="59">
        <f t="shared" si="65"/>
        <v>660.15525358421587</v>
      </c>
      <c r="CD77" s="59">
        <f ca="1">AVERAGE(OFFSET($CC$3,0,0,'Données projet'!$E$12+1,1))-AVERAGE(OFFSET($H$3,0,0,'Données projet'!$E$12+1,1))</f>
        <v>306.06916761900357</v>
      </c>
      <c r="CE77" s="59">
        <f t="shared" si="94"/>
        <v>258.90832875500337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4.276944509490718E-8</v>
      </c>
      <c r="CN77" s="22">
        <f t="shared" si="66"/>
        <v>4.276944509490718E-8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6.4</v>
      </c>
      <c r="CT77" s="12">
        <f>IF('Données projet'!$A$140&gt;35,CT76+CS77-DB76,IF(A77&lt;'Données projet'!$A$140,$CQ$205^A77,IF(A77='Données projet'!$A$140,'Données projet'!$B$140,CT76+CS77-DB76)))</f>
        <v>226.60000000000005</v>
      </c>
      <c r="CU77" s="17">
        <f>CT77*VLOOKUP('Données projet'!$B$13,Paramètres!$A$1:$I$89,3,0)*VLOOKUP('Données projet'!$B$13,Paramètres!$A$1:$I$89,5,0)</f>
        <v>152.00328000000002</v>
      </c>
      <c r="CV77" s="13">
        <f t="shared" si="95"/>
        <v>39.033486080292285</v>
      </c>
      <c r="CW77" s="20">
        <f t="shared" si="67"/>
        <v>332.72236758984241</v>
      </c>
      <c r="CX77" s="59">
        <f t="shared" si="68"/>
        <v>600.94839669279327</v>
      </c>
      <c r="CY77" s="59">
        <f ca="1">AVERAGE(OFFSET($CX$3,0,0,'Données projet'!$E$13+1,1))-AVERAGE(OFFSET($H$3,0,0,'Données projet'!$E$13+1,1))</f>
        <v>324.58754156328285</v>
      </c>
      <c r="CZ77" s="59">
        <f t="shared" si="96"/>
        <v>226.01037731977604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2.5935830166527035E-8</v>
      </c>
      <c r="DI77" s="22">
        <f t="shared" si="69"/>
        <v>2.5935830166527035E-8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12.913461538461533</v>
      </c>
      <c r="DO77" s="12">
        <f>IF('Données projet'!$A$166&gt;35,DO76+DN77-DW76,IF(A77&lt;'Données projet'!$A$166,$DL$205^A77,IF(A77='Données projet'!$A$166,'Données projet'!$B$166,DO76+DN77-DW76)))</f>
        <v>372.29423076923086</v>
      </c>
      <c r="DP77" s="17">
        <f>DO77*VLOOKUP('Données projet'!$B$14,Paramètres!$A$1:$I$89,3,0)*VLOOKUP('Données projet'!$B$14,Paramètres!$A$1:$I$89,5,0)</f>
        <v>174.23370000000006</v>
      </c>
      <c r="DQ77" s="13">
        <f t="shared" si="97"/>
        <v>44.036869769028705</v>
      </c>
      <c r="DR77" s="20">
        <f t="shared" si="70"/>
        <v>380.15457568105836</v>
      </c>
      <c r="DS77" s="59">
        <f t="shared" si="71"/>
        <v>648.38060478400917</v>
      </c>
      <c r="DT77" s="59">
        <f ca="1">AVERAGE(OFFSET($DS$3,0,0,'Données projet'!$E$14+1,1))-AVERAGE(OFFSET($H$3,0,0,'Données projet'!$E$14+1,1))</f>
        <v>325.93182817189722</v>
      </c>
      <c r="DU77" s="59">
        <f t="shared" si="98"/>
        <v>280.04509991782709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3.1</v>
      </c>
      <c r="EJ77" s="12">
        <f>IF('Données projet'!$A$192&gt;35,EJ76+EI77-ER76,IF(A77&lt;'Données projet'!$A$192,$EG$205^A77,IF(A77='Données projet'!$A$192,'Données projet'!$B$192,EJ76+EI77-ER76)))</f>
        <v>265.39999999999992</v>
      </c>
      <c r="EK77" s="17">
        <f>EJ77*VLOOKUP('Données projet'!$B$15,Paramètres!$A$1:$I$89,3,0)*VLOOKUP('Données projet'!$B$15,Paramètres!$A$1:$I$89,5,0)</f>
        <v>211.15223999999995</v>
      </c>
      <c r="EL77" s="13">
        <f t="shared" si="99"/>
        <v>52.187298885462759</v>
      </c>
      <c r="EM77" s="20">
        <f t="shared" si="73"/>
        <v>458.64969689218088</v>
      </c>
      <c r="EN77" s="59">
        <f t="shared" si="74"/>
        <v>726.87572599513169</v>
      </c>
      <c r="EO77" s="59">
        <f ca="1">AVERAGE(OFFSET($EN$3,0,0,'Données projet'!$E$15+1,1))-AVERAGE(OFFSET($H$3,0,0,'Données projet'!$E$15+1,1))</f>
        <v>333.52903437536651</v>
      </c>
      <c r="EP77" s="59">
        <f t="shared" si="100"/>
        <v>359.47288701414777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1.1168325679328515</v>
      </c>
      <c r="EX77" s="21">
        <f>EXP(-LN(2)/2)*EX76+(1-EXP(-LN(2)/2))/(LN(2)/2)*ER77*EU77*VLOOKUP('Données projet'!$B$15,Paramètres!$A$1:$I$89,3,0)*0.475*44/12</f>
        <v>6.012396993149449E-8</v>
      </c>
      <c r="EY77" s="22">
        <f t="shared" si="75"/>
        <v>1.1168326280568215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7.5584615384615343</v>
      </c>
      <c r="FE77" s="12">
        <f>IF('Données projet'!$A$218&gt;35,FE76+FD77-FM76,IF(A77&lt;'Données projet'!$A$218,$FB$205^A77,IF(A77='Données projet'!$A$218,'Données projet'!$B$218,FE76+FD77-FM76)))</f>
        <v>357.55692307692283</v>
      </c>
      <c r="FF77" s="17">
        <f>FE77*VLOOKUP('Données projet'!$B$16,Paramètres!$A$1:$I$89,3,0)*VLOOKUP('Données projet'!$B$16,Paramètres!$A$1:$I$89,5,0)</f>
        <v>213.81903999999986</v>
      </c>
      <c r="FG77" s="13">
        <f t="shared" si="101"/>
        <v>52.769264634128973</v>
      </c>
      <c r="FH77" s="20">
        <f t="shared" si="76"/>
        <v>464.30796390444101</v>
      </c>
      <c r="FI77" s="59">
        <f t="shared" si="77"/>
        <v>732.53399300739193</v>
      </c>
      <c r="FJ77" s="59">
        <f ca="1">AVERAGE(OFFSET($FI$3,0,0,'Données projet'!$E$16+1,1))-AVERAGE(OFFSET($H$3,0,0,'Données projet'!$E$16+1,1))</f>
        <v>313.26988717307376</v>
      </c>
      <c r="FK77" s="59">
        <f t="shared" si="102"/>
        <v>248.17359813993201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0.97518452179828108</v>
      </c>
      <c r="FR77" s="21">
        <f>EXP(-LN(2)/25)*FR76+(1-EXP(-LN(2)/25))/(LN(2)/25)*Calculateur!FM77*Calculateur!FO77*VLOOKUP('Données projet'!$B$16,Paramètres!$A$1:$I$89,3,0)*0.475*44/12</f>
        <v>2.2259446828989167</v>
      </c>
      <c r="FS77" s="21">
        <f>EXP(-LN(2)/2)*FS76+(1-EXP(-LN(2)/2))/(LN(2)/2)*FM77*FP77*VLOOKUP('Données projet'!$B$16,Paramètres!$A$1:$I$89,3,0)*0.475*44/12</f>
        <v>1.0038126711359839E-6</v>
      </c>
      <c r="FT77" s="22">
        <f t="shared" si="78"/>
        <v>3.201130208509869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3.4</v>
      </c>
      <c r="FZ77" s="12">
        <f>IF('Données projet'!$A$244&gt;35,FZ76+FY77-GH76,IF(A77&lt;'Données projet'!$A$244,$FW$205^A77,IF(A77='Données projet'!$A$244,'Données projet'!$B$244,FZ76+FY77-GH76)))</f>
        <v>135.6</v>
      </c>
      <c r="GA77" s="17">
        <f>FZ77*VLOOKUP('Données projet'!$B$17,Paramètres!$A$1:$I$89,3,0)*VLOOKUP('Données projet'!$B$17,Paramètres!$A$1:$I$89,5,0)</f>
        <v>145.95983999999999</v>
      </c>
      <c r="GB77" s="13">
        <f t="shared" si="103"/>
        <v>37.658990867047969</v>
      </c>
      <c r="GC77" s="20">
        <f t="shared" si="79"/>
        <v>319.80279709344182</v>
      </c>
      <c r="GD77" s="59">
        <f t="shared" si="80"/>
        <v>588.02882619639263</v>
      </c>
      <c r="GE77" s="59">
        <f ca="1">AVERAGE(OFFSET($GD$3,0,0,'Données projet'!$E$17+1,1))-AVERAGE(OFFSET($H$3,0,0,'Données projet'!$E$17+1,1))</f>
        <v>313.51355235711543</v>
      </c>
      <c r="GF77" s="59">
        <f t="shared" si="104"/>
        <v>186.0840067781198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0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0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6.4</v>
      </c>
      <c r="N78" s="13">
        <f>IF('Données projet'!$A$36&gt;35,N77+M78-V77,IF(A78&lt;'Données projet'!$A$36,$K$205^A78,IF(A78='Données projet'!$A$36,'Données projet'!$B$36,N77+M78-V77)))</f>
        <v>233.00000000000006</v>
      </c>
      <c r="O78" s="13">
        <f>N78*VLOOKUP('Données projet'!$B$9,Paramètres!$A$1:$I$89,3,0)*VLOOKUP('Données projet'!$B$9,Paramètres!$A$1:$I$89,5,0)</f>
        <v>236.26200000000009</v>
      </c>
      <c r="P78" s="13">
        <f t="shared" si="87"/>
        <v>57.634548288898394</v>
      </c>
      <c r="Q78" s="20">
        <f t="shared" si="54"/>
        <v>511.86982160316484</v>
      </c>
      <c r="R78" s="59">
        <f t="shared" si="55"/>
        <v>780.53140630298958</v>
      </c>
      <c r="S78" s="59">
        <f ca="1">AVERAGE(OFFSET($R$3,0,0,'Données projet'!$E$9+1,1))-AVERAGE(OFFSET($H$3,0,0,'Données projet'!$E$9+1,1))</f>
        <v>452.67426184967104</v>
      </c>
      <c r="T78" s="59">
        <f t="shared" si="88"/>
        <v>310.47823616327639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0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4.4230769230769251</v>
      </c>
      <c r="AI78" s="13">
        <f>IF('Données projet'!$A$62&gt;35,AI77+AH78-AQ77,IF(A78&lt;'Données projet'!$A$62,$AF$205^A78,IF(A78='Données projet'!$A$62,'Données projet'!$B$62,AI77+AH78-AQ77)))</f>
        <v>257.37179487179498</v>
      </c>
      <c r="AJ78" s="13">
        <f>AI78*VLOOKUP('Données projet'!$B$10,Paramètres!$A$1:$I$89,3,0)*VLOOKUP('Données projet'!$B$10,Paramètres!$A$1:$I$89,5,0)</f>
        <v>269.00500000000017</v>
      </c>
      <c r="AK78" s="13">
        <f t="shared" si="89"/>
        <v>64.638059823483175</v>
      </c>
      <c r="AL78" s="20">
        <f t="shared" si="58"/>
        <v>581.09499585923345</v>
      </c>
      <c r="AM78" s="59">
        <f t="shared" si="59"/>
        <v>849.75658055905819</v>
      </c>
      <c r="AN78" s="59">
        <f ca="1">AVERAGE(OFFSET($AM$3,0,0,'Données projet'!$E$10+1,1))-AVERAGE(OFFSET($H$3,0,0,'Données projet'!$E$10+1,1))</f>
        <v>528.45201982036087</v>
      </c>
      <c r="AO78" s="59">
        <f t="shared" si="90"/>
        <v>321.23004033257985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1.6652299735626534E-8</v>
      </c>
      <c r="AX78" s="21">
        <f t="shared" si="60"/>
        <v>1.6652299735626534E-8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3.4</v>
      </c>
      <c r="BD78" s="12">
        <f>IF('Données projet'!$A$88&gt;35,BD77+BC78-BL77,IF(A78&lt;'Données projet'!$A$88,$BA$205^A78,IF(A78='Données projet'!$A$88,'Données projet'!$B$88,BD77+BC78-BL77)))</f>
        <v>139</v>
      </c>
      <c r="BE78" s="13">
        <f>BD78*VLOOKUP('Données projet'!$B$11,Paramètres!$A$1:$I$89,3,0)*VLOOKUP('Données projet'!$B$11,Paramètres!$A$1:$I$89,5,0)</f>
        <v>134.4408</v>
      </c>
      <c r="BF78" s="13">
        <f t="shared" si="91"/>
        <v>35.02048322365038</v>
      </c>
      <c r="BG78" s="20">
        <f t="shared" si="61"/>
        <v>295.14506828119107</v>
      </c>
      <c r="BH78" s="59">
        <f t="shared" si="62"/>
        <v>563.80665298101587</v>
      </c>
      <c r="BI78" s="59">
        <f ca="1">AVERAGE(OFFSET($BH$3,0,0,'Données projet'!$E$11+1,1))-AVERAGE(OFFSET($H$3,0,0,'Données projet'!$E$11+1,1))</f>
        <v>289.06522051625166</v>
      </c>
      <c r="BJ78" s="59">
        <f t="shared" si="92"/>
        <v>173.19148969173838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4.4000000000000004</v>
      </c>
      <c r="BY78" s="12">
        <f>IF('Données projet'!$A$114&gt;35,BY77+BX78-CG77,IF(A78&lt;'Données projet'!$A$114,$BV$205^A78,IF(A78='Données projet'!$A$114,'Données projet'!$B$114,BY77+BX78-CG77)))</f>
        <v>226.00000000000031</v>
      </c>
      <c r="BZ78" s="13">
        <f>BY78*VLOOKUP('Données projet'!$B$12,Paramètres!$A$1:$I$89,3,0)*VLOOKUP('Données projet'!$B$12,Paramètres!$A$1:$I$89,5,0)</f>
        <v>183.33120000000028</v>
      </c>
      <c r="CA78" s="13">
        <f t="shared" si="93"/>
        <v>46.062523974317905</v>
      </c>
      <c r="CB78" s="20">
        <f t="shared" si="64"/>
        <v>399.52740258860416</v>
      </c>
      <c r="CC78" s="59">
        <f t="shared" si="65"/>
        <v>668.18898728842896</v>
      </c>
      <c r="CD78" s="59">
        <f ca="1">AVERAGE(OFFSET($CC$3,0,0,'Données projet'!$E$12+1,1))-AVERAGE(OFFSET($H$3,0,0,'Données projet'!$E$12+1,1))</f>
        <v>306.06916761900357</v>
      </c>
      <c r="CE78" s="59">
        <f t="shared" si="94"/>
        <v>258.90832875500337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3.0242564654194589E-8</v>
      </c>
      <c r="CN78" s="22">
        <f t="shared" si="66"/>
        <v>3.0242564654194589E-8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6.4</v>
      </c>
      <c r="CT78" s="12">
        <f>IF('Données projet'!$A$140&gt;35,CT77+CS78-DB77,IF(A78&lt;'Données projet'!$A$140,$CQ$205^A78,IF(A78='Données projet'!$A$140,'Données projet'!$B$140,CT77+CS78-DB77)))</f>
        <v>233.00000000000006</v>
      </c>
      <c r="CU78" s="17">
        <f>CT78*VLOOKUP('Données projet'!$B$13,Paramètres!$A$1:$I$89,3,0)*VLOOKUP('Données projet'!$B$13,Paramètres!$A$1:$I$89,5,0)</f>
        <v>156.29640000000003</v>
      </c>
      <c r="CV78" s="13">
        <f t="shared" si="95"/>
        <v>40.006022893838505</v>
      </c>
      <c r="CW78" s="20">
        <f t="shared" si="67"/>
        <v>341.89338654010209</v>
      </c>
      <c r="CX78" s="59">
        <f t="shared" si="68"/>
        <v>610.55497123992689</v>
      </c>
      <c r="CY78" s="59">
        <f ca="1">AVERAGE(OFFSET($CX$3,0,0,'Données projet'!$E$13+1,1))-AVERAGE(OFFSET($H$3,0,0,'Données projet'!$E$13+1,1))</f>
        <v>324.58754156328285</v>
      </c>
      <c r="CZ78" s="59">
        <f t="shared" si="96"/>
        <v>226.01037731977604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1.833940138645389E-8</v>
      </c>
      <c r="DI78" s="22">
        <f t="shared" si="69"/>
        <v>1.833940138645389E-8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12.913461538461533</v>
      </c>
      <c r="DO78" s="12">
        <f>IF('Données projet'!$A$166&gt;35,DO77+DN78-DW77,IF(A78&lt;'Données projet'!$A$166,$DL$205^A78,IF(A78='Données projet'!$A$166,'Données projet'!$B$166,DO77+DN78-DW77)))</f>
        <v>385.20769230769241</v>
      </c>
      <c r="DP78" s="17">
        <f>DO78*VLOOKUP('Données projet'!$B$14,Paramètres!$A$1:$I$89,3,0)*VLOOKUP('Données projet'!$B$14,Paramètres!$A$1:$I$89,5,0)</f>
        <v>180.27720000000005</v>
      </c>
      <c r="DQ78" s="13">
        <f t="shared" si="97"/>
        <v>45.383852535093837</v>
      </c>
      <c r="DR78" s="20">
        <f t="shared" si="70"/>
        <v>393.02633316528846</v>
      </c>
      <c r="DS78" s="59">
        <f t="shared" si="71"/>
        <v>661.68791786511326</v>
      </c>
      <c r="DT78" s="59">
        <f ca="1">AVERAGE(OFFSET($DS$3,0,0,'Données projet'!$E$14+1,1))-AVERAGE(OFFSET($H$3,0,0,'Données projet'!$E$14+1,1))</f>
        <v>325.93182817189722</v>
      </c>
      <c r="DU78" s="59">
        <f t="shared" si="98"/>
        <v>280.04509991782709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3.1</v>
      </c>
      <c r="EJ78" s="12">
        <f>IF('Données projet'!$A$192&gt;35,EJ77+EI78-ER77,IF(A78&lt;'Données projet'!$A$192,$EG$205^A78,IF(A78='Données projet'!$A$192,'Données projet'!$B$192,EJ77+EI78-ER77)))</f>
        <v>268.49999999999994</v>
      </c>
      <c r="EK78" s="17">
        <f>EJ78*VLOOKUP('Données projet'!$B$15,Paramètres!$A$1:$I$89,3,0)*VLOOKUP('Données projet'!$B$15,Paramètres!$A$1:$I$89,5,0)</f>
        <v>213.61859999999996</v>
      </c>
      <c r="EL78" s="13">
        <f t="shared" si="99"/>
        <v>52.725552856326011</v>
      </c>
      <c r="EM78" s="20">
        <f t="shared" si="73"/>
        <v>463.88273289143444</v>
      </c>
      <c r="EN78" s="59">
        <f t="shared" si="74"/>
        <v>732.54431759125919</v>
      </c>
      <c r="EO78" s="59">
        <f ca="1">AVERAGE(OFFSET($EN$3,0,0,'Données projet'!$E$15+1,1))-AVERAGE(OFFSET($H$3,0,0,'Données projet'!$E$15+1,1))</f>
        <v>333.52903437536651</v>
      </c>
      <c r="EP78" s="59">
        <f t="shared" si="100"/>
        <v>359.47288701414777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1.0862927226310555</v>
      </c>
      <c r="EX78" s="21">
        <f>EXP(-LN(2)/2)*EX77+(1-EXP(-LN(2)/2))/(LN(2)/2)*ER78*EU78*VLOOKUP('Données projet'!$B$15,Paramètres!$A$1:$I$89,3,0)*0.475*44/12</f>
        <v>4.2514066850415839E-8</v>
      </c>
      <c r="EY78" s="22">
        <f t="shared" si="75"/>
        <v>1.0862927651451224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7.5584615384615343</v>
      </c>
      <c r="FE78" s="12">
        <f>IF('Données projet'!$A$218&gt;35,FE77+FD78-FM77,IF(A78&lt;'Données projet'!$A$218,$FB$205^A78,IF(A78='Données projet'!$A$218,'Données projet'!$B$218,FE77+FD78-FM77)))</f>
        <v>365.11538461538436</v>
      </c>
      <c r="FF78" s="17">
        <f>FE78*VLOOKUP('Données projet'!$B$16,Paramètres!$A$1:$I$89,3,0)*VLOOKUP('Données projet'!$B$16,Paramètres!$A$1:$I$89,5,0)</f>
        <v>218.33899999999988</v>
      </c>
      <c r="FG78" s="13">
        <f t="shared" si="101"/>
        <v>53.753716498326504</v>
      </c>
      <c r="FH78" s="20">
        <f t="shared" si="76"/>
        <v>473.8948145679185</v>
      </c>
      <c r="FI78" s="59">
        <f t="shared" si="77"/>
        <v>742.55639926774325</v>
      </c>
      <c r="FJ78" s="59">
        <f ca="1">AVERAGE(OFFSET($FI$3,0,0,'Données projet'!$E$16+1,1))-AVERAGE(OFFSET($H$3,0,0,'Données projet'!$E$16+1,1))</f>
        <v>313.26988717307376</v>
      </c>
      <c r="FK78" s="59">
        <f t="shared" si="102"/>
        <v>248.17359813993201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0.95606174812964306</v>
      </c>
      <c r="FR78" s="21">
        <f>EXP(-LN(2)/25)*FR77+(1-EXP(-LN(2)/25))/(LN(2)/25)*Calculateur!FM78*Calculateur!FO78*VLOOKUP('Données projet'!$B$16,Paramètres!$A$1:$I$89,3,0)*0.475*44/12</f>
        <v>2.1650761084877024</v>
      </c>
      <c r="FS78" s="21">
        <f>EXP(-LN(2)/2)*FS77+(1-EXP(-LN(2)/2))/(LN(2)/2)*FM78*FP78*VLOOKUP('Données projet'!$B$16,Paramètres!$A$1:$I$89,3,0)*0.475*44/12</f>
        <v>7.0980274680123597E-7</v>
      </c>
      <c r="FT78" s="22">
        <f t="shared" si="78"/>
        <v>3.1211385664200924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3.4</v>
      </c>
      <c r="FZ78" s="12">
        <f>IF('Données projet'!$A$244&gt;35,FZ77+FY78-GH77,IF(A78&lt;'Données projet'!$A$244,$FW$205^A78,IF(A78='Données projet'!$A$244,'Données projet'!$B$244,FZ77+FY78-GH77)))</f>
        <v>139</v>
      </c>
      <c r="GA78" s="17">
        <f>FZ78*VLOOKUP('Données projet'!$B$17,Paramètres!$A$1:$I$89,3,0)*VLOOKUP('Données projet'!$B$17,Paramètres!$A$1:$I$89,5,0)</f>
        <v>149.61959999999999</v>
      </c>
      <c r="GB78" s="13">
        <f t="shared" si="103"/>
        <v>38.492125584581245</v>
      </c>
      <c r="GC78" s="20">
        <f t="shared" si="79"/>
        <v>327.62792205981231</v>
      </c>
      <c r="GD78" s="59">
        <f t="shared" si="80"/>
        <v>596.28950675963711</v>
      </c>
      <c r="GE78" s="59">
        <f ca="1">AVERAGE(OFFSET($GD$3,0,0,'Données projet'!$E$17+1,1))-AVERAGE(OFFSET($H$3,0,0,'Données projet'!$E$17+1,1))</f>
        <v>313.51355235711543</v>
      </c>
      <c r="GF78" s="59">
        <f t="shared" si="104"/>
        <v>186.0840067781198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0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0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6.4</v>
      </c>
      <c r="N79" s="13">
        <f>IF('Données projet'!$A$36&gt;35,N78+M79-V78,IF(A79&lt;'Données projet'!$A$36,$K$205^A79,IF(A79='Données projet'!$A$36,'Données projet'!$B$36,N78+M79-V78)))</f>
        <v>239.40000000000006</v>
      </c>
      <c r="O79" s="13">
        <f>N79*VLOOKUP('Données projet'!$B$9,Paramètres!$A$1:$I$89,3,0)*VLOOKUP('Données projet'!$B$9,Paramètres!$A$1:$I$89,5,0)</f>
        <v>242.75160000000008</v>
      </c>
      <c r="P79" s="13">
        <f t="shared" si="87"/>
        <v>59.031157268460241</v>
      </c>
      <c r="Q79" s="20">
        <f t="shared" si="54"/>
        <v>525.60496890923503</v>
      </c>
      <c r="R79" s="59">
        <f t="shared" si="55"/>
        <v>794.69455329008451</v>
      </c>
      <c r="S79" s="59">
        <f ca="1">AVERAGE(OFFSET($R$3,0,0,'Données projet'!$E$9+1,1))-AVERAGE(OFFSET($H$3,0,0,'Données projet'!$E$9+1,1))</f>
        <v>452.67426184967104</v>
      </c>
      <c r="T79" s="59">
        <f t="shared" si="88"/>
        <v>310.47823616327639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0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4.4230769230769251</v>
      </c>
      <c r="AI79" s="13">
        <f>IF('Données projet'!$A$62&gt;35,AI78+AH79-AQ78,IF(A79&lt;'Données projet'!$A$62,$AF$205^A79,IF(A79='Données projet'!$A$62,'Données projet'!$B$62,AI78+AH79-AQ78)))</f>
        <v>261.79487179487188</v>
      </c>
      <c r="AJ79" s="13">
        <f>AI79*VLOOKUP('Données projet'!$B$10,Paramètres!$A$1:$I$89,3,0)*VLOOKUP('Données projet'!$B$10,Paramètres!$A$1:$I$89,5,0)</f>
        <v>273.62800000000016</v>
      </c>
      <c r="AK79" s="13">
        <f t="shared" si="89"/>
        <v>65.618623311311509</v>
      </c>
      <c r="AL79" s="20">
        <f t="shared" si="58"/>
        <v>590.8545356005344</v>
      </c>
      <c r="AM79" s="59">
        <f t="shared" si="59"/>
        <v>859.94411998138389</v>
      </c>
      <c r="AN79" s="59">
        <f ca="1">AVERAGE(OFFSET($AM$3,0,0,'Données projet'!$E$10+1,1))-AVERAGE(OFFSET($H$3,0,0,'Données projet'!$E$10+1,1))</f>
        <v>528.45201982036087</v>
      </c>
      <c r="AO79" s="59">
        <f t="shared" si="90"/>
        <v>321.23004033257985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1.1774954065412475E-8</v>
      </c>
      <c r="AX79" s="21">
        <f t="shared" si="60"/>
        <v>1.1774954065412475E-8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3.4</v>
      </c>
      <c r="BD79" s="12">
        <f>IF('Données projet'!$A$88&gt;35,BD78+BC79-BL78,IF(A79&lt;'Données projet'!$A$88,$BA$205^A79,IF(A79='Données projet'!$A$88,'Données projet'!$B$88,BD78+BC79-BL78)))</f>
        <v>142.4</v>
      </c>
      <c r="BE79" s="13">
        <f>BD79*VLOOKUP('Données projet'!$B$11,Paramètres!$A$1:$I$89,3,0)*VLOOKUP('Données projet'!$B$11,Paramètres!$A$1:$I$89,5,0)</f>
        <v>137.72927999999999</v>
      </c>
      <c r="BF79" s="13">
        <f t="shared" si="91"/>
        <v>35.776321395769124</v>
      </c>
      <c r="BG79" s="20">
        <f t="shared" si="61"/>
        <v>302.18892243096451</v>
      </c>
      <c r="BH79" s="59">
        <f t="shared" si="62"/>
        <v>571.27850681181394</v>
      </c>
      <c r="BI79" s="59">
        <f ca="1">AVERAGE(OFFSET($BH$3,0,0,'Données projet'!$E$11+1,1))-AVERAGE(OFFSET($H$3,0,0,'Données projet'!$E$11+1,1))</f>
        <v>289.06522051625166</v>
      </c>
      <c r="BJ79" s="59">
        <f t="shared" si="92"/>
        <v>173.19148969173838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4.4000000000000004</v>
      </c>
      <c r="BY79" s="12">
        <f>IF('Données projet'!$A$114&gt;35,BY78+BX79-CG78,IF(A79&lt;'Données projet'!$A$114,$BV$205^A79,IF(A79='Données projet'!$A$114,'Données projet'!$B$114,BY78+BX79-CG78)))</f>
        <v>230.40000000000032</v>
      </c>
      <c r="BZ79" s="13">
        <f>BY79*VLOOKUP('Données projet'!$B$12,Paramètres!$A$1:$I$89,3,0)*VLOOKUP('Données projet'!$B$12,Paramètres!$A$1:$I$89,5,0)</f>
        <v>186.90048000000027</v>
      </c>
      <c r="CA79" s="13">
        <f t="shared" si="93"/>
        <v>46.854038395199787</v>
      </c>
      <c r="CB79" s="20">
        <f t="shared" si="64"/>
        <v>407.12245287164006</v>
      </c>
      <c r="CC79" s="59">
        <f t="shared" si="65"/>
        <v>676.21203725248949</v>
      </c>
      <c r="CD79" s="59">
        <f ca="1">AVERAGE(OFFSET($CC$3,0,0,'Données projet'!$E$12+1,1))-AVERAGE(OFFSET($H$3,0,0,'Données projet'!$E$12+1,1))</f>
        <v>306.06916761900357</v>
      </c>
      <c r="CE79" s="59">
        <f t="shared" si="94"/>
        <v>258.90832875500337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2.138472254745359E-8</v>
      </c>
      <c r="CN79" s="22">
        <f t="shared" si="66"/>
        <v>2.138472254745359E-8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6.4</v>
      </c>
      <c r="CT79" s="12">
        <f>IF('Données projet'!$A$140&gt;35,CT78+CS79-DB78,IF(A79&lt;'Données projet'!$A$140,$CQ$205^A79,IF(A79='Données projet'!$A$140,'Données projet'!$B$140,CT78+CS79-DB78)))</f>
        <v>239.40000000000006</v>
      </c>
      <c r="CU79" s="17">
        <f>CT79*VLOOKUP('Données projet'!$B$13,Paramètres!$A$1:$I$89,3,0)*VLOOKUP('Données projet'!$B$13,Paramètres!$A$1:$I$89,5,0)</f>
        <v>160.58952000000005</v>
      </c>
      <c r="CV79" s="13">
        <f t="shared" si="95"/>
        <v>40.975454813908776</v>
      </c>
      <c r="CW79" s="20">
        <f t="shared" si="67"/>
        <v>351.05899780089118</v>
      </c>
      <c r="CX79" s="59">
        <f t="shared" si="68"/>
        <v>620.14858218174061</v>
      </c>
      <c r="CY79" s="59">
        <f ca="1">AVERAGE(OFFSET($CX$3,0,0,'Données projet'!$E$13+1,1))-AVERAGE(OFFSET($H$3,0,0,'Données projet'!$E$13+1,1))</f>
        <v>324.58754156328285</v>
      </c>
      <c r="CZ79" s="59">
        <f t="shared" si="96"/>
        <v>226.01037731977604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1.2967915083263517E-8</v>
      </c>
      <c r="DI79" s="22">
        <f t="shared" si="69"/>
        <v>1.2967915083263517E-8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12.913461538461533</v>
      </c>
      <c r="DO79" s="12">
        <f>IF('Données projet'!$A$166&gt;35,DO78+DN79-DW78,IF(A79&lt;'Données projet'!$A$166,$DL$205^A79,IF(A79='Données projet'!$A$166,'Données projet'!$B$166,DO78+DN79-DW78)))</f>
        <v>398.12115384615396</v>
      </c>
      <c r="DP79" s="17">
        <f>DO79*VLOOKUP('Données projet'!$B$14,Paramètres!$A$1:$I$89,3,0)*VLOOKUP('Données projet'!$B$14,Paramètres!$A$1:$I$89,5,0)</f>
        <v>186.32070000000004</v>
      </c>
      <c r="DQ79" s="13">
        <f t="shared" si="97"/>
        <v>46.725588415193215</v>
      </c>
      <c r="DR79" s="20">
        <f t="shared" si="70"/>
        <v>405.88895232312825</v>
      </c>
      <c r="DS79" s="59">
        <f t="shared" si="71"/>
        <v>674.97853670397762</v>
      </c>
      <c r="DT79" s="59">
        <f ca="1">AVERAGE(OFFSET($DS$3,0,0,'Données projet'!$E$14+1,1))-AVERAGE(OFFSET($H$3,0,0,'Données projet'!$E$14+1,1))</f>
        <v>325.93182817189722</v>
      </c>
      <c r="DU79" s="59">
        <f t="shared" si="98"/>
        <v>280.04509991782709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3.1</v>
      </c>
      <c r="EJ79" s="12">
        <f>IF('Données projet'!$A$192&gt;35,EJ78+EI79-ER78,IF(A79&lt;'Données projet'!$A$192,$EG$205^A79,IF(A79='Données projet'!$A$192,'Données projet'!$B$192,EJ78+EI79-ER78)))</f>
        <v>271.59999999999997</v>
      </c>
      <c r="EK79" s="17">
        <f>EJ79*VLOOKUP('Données projet'!$B$15,Paramètres!$A$1:$I$89,3,0)*VLOOKUP('Données projet'!$B$15,Paramètres!$A$1:$I$89,5,0)</f>
        <v>216.08496</v>
      </c>
      <c r="EL79" s="13">
        <f t="shared" si="99"/>
        <v>53.26308393083157</v>
      </c>
      <c r="EM79" s="20">
        <f t="shared" si="73"/>
        <v>469.11450984619825</v>
      </c>
      <c r="EN79" s="59">
        <f t="shared" si="74"/>
        <v>738.20409422704768</v>
      </c>
      <c r="EO79" s="59">
        <f ca="1">AVERAGE(OFFSET($EN$3,0,0,'Données projet'!$E$15+1,1))-AVERAGE(OFFSET($H$3,0,0,'Données projet'!$E$15+1,1))</f>
        <v>333.52903437536651</v>
      </c>
      <c r="EP79" s="59">
        <f t="shared" si="100"/>
        <v>359.47288701414777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1.0565879910050577</v>
      </c>
      <c r="EX79" s="21">
        <f>EXP(-LN(2)/2)*EX78+(1-EXP(-LN(2)/2))/(LN(2)/2)*ER79*EU79*VLOOKUP('Données projet'!$B$15,Paramètres!$A$1:$I$89,3,0)*0.475*44/12</f>
        <v>3.0061984965747245E-8</v>
      </c>
      <c r="EY79" s="22">
        <f t="shared" si="75"/>
        <v>1.0565880210670426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7.5584615384615343</v>
      </c>
      <c r="FE79" s="12">
        <f>IF('Données projet'!$A$218&gt;35,FE78+FD79-FM78,IF(A79&lt;'Données projet'!$A$218,$FB$205^A79,IF(A79='Données projet'!$A$218,'Données projet'!$B$218,FE78+FD79-FM78)))</f>
        <v>372.67384615384589</v>
      </c>
      <c r="FF79" s="17">
        <f>FE79*VLOOKUP('Données projet'!$B$16,Paramètres!$A$1:$I$89,3,0)*VLOOKUP('Données projet'!$B$16,Paramètres!$A$1:$I$89,5,0)</f>
        <v>222.85895999999985</v>
      </c>
      <c r="FG79" s="13">
        <f t="shared" si="101"/>
        <v>54.735798842493168</v>
      </c>
      <c r="FH79" s="20">
        <f t="shared" si="76"/>
        <v>483.47753831734195</v>
      </c>
      <c r="FI79" s="59">
        <f t="shared" si="77"/>
        <v>752.56712269819138</v>
      </c>
      <c r="FJ79" s="59">
        <f ca="1">AVERAGE(OFFSET($FI$3,0,0,'Données projet'!$E$16+1,1))-AVERAGE(OFFSET($H$3,0,0,'Données projet'!$E$16+1,1))</f>
        <v>313.26988717307376</v>
      </c>
      <c r="FK79" s="59">
        <f t="shared" si="102"/>
        <v>248.17359813993201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0.9373139603889068</v>
      </c>
      <c r="FR79" s="21">
        <f>EXP(-LN(2)/25)*FR78+(1-EXP(-LN(2)/25))/(LN(2)/25)*Calculateur!FM79*Calculateur!FO79*VLOOKUP('Données projet'!$B$16,Paramètres!$A$1:$I$89,3,0)*0.475*44/12</f>
        <v>2.1058719884447021</v>
      </c>
      <c r="FS79" s="21">
        <f>EXP(-LN(2)/2)*FS78+(1-EXP(-LN(2)/2))/(LN(2)/2)*FM79*FP79*VLOOKUP('Données projet'!$B$16,Paramètres!$A$1:$I$89,3,0)*0.475*44/12</f>
        <v>5.0190633556799194E-7</v>
      </c>
      <c r="FT79" s="22">
        <f t="shared" si="78"/>
        <v>3.0431864507399444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3.4</v>
      </c>
      <c r="FZ79" s="12">
        <f>IF('Données projet'!$A$244&gt;35,FZ78+FY79-GH78,IF(A79&lt;'Données projet'!$A$244,$FW$205^A79,IF(A79='Données projet'!$A$244,'Données projet'!$B$244,FZ78+FY79-GH78)))</f>
        <v>142.4</v>
      </c>
      <c r="GA79" s="17">
        <f>FZ79*VLOOKUP('Données projet'!$B$17,Paramètres!$A$1:$I$89,3,0)*VLOOKUP('Données projet'!$B$17,Paramètres!$A$1:$I$89,5,0)</f>
        <v>153.27936</v>
      </c>
      <c r="GB79" s="13">
        <f t="shared" si="103"/>
        <v>39.322891329788561</v>
      </c>
      <c r="GC79" s="20">
        <f t="shared" si="79"/>
        <v>335.4489210660484</v>
      </c>
      <c r="GD79" s="59">
        <f t="shared" si="80"/>
        <v>604.53850544689783</v>
      </c>
      <c r="GE79" s="59">
        <f ca="1">AVERAGE(OFFSET($GD$3,0,0,'Données projet'!$E$17+1,1))-AVERAGE(OFFSET($H$3,0,0,'Données projet'!$E$17+1,1))</f>
        <v>313.51355235711543</v>
      </c>
      <c r="GF79" s="59">
        <f t="shared" si="104"/>
        <v>186.0840067781198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0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0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6.4</v>
      </c>
      <c r="N80" s="13">
        <f>IF('Données projet'!$A$36&gt;35,N79+M80-V79,IF(A80&lt;'Données projet'!$A$36,$K$205^A80,IF(A80='Données projet'!$A$36,'Données projet'!$B$36,N79+M80-V79)))</f>
        <v>245.80000000000007</v>
      </c>
      <c r="O80" s="13">
        <f>N80*VLOOKUP('Données projet'!$B$9,Paramètres!$A$1:$I$89,3,0)*VLOOKUP('Données projet'!$B$9,Paramètres!$A$1:$I$89,5,0)</f>
        <v>249.24120000000008</v>
      </c>
      <c r="P80" s="13">
        <f t="shared" si="87"/>
        <v>60.42342651744692</v>
      </c>
      <c r="Q80" s="20">
        <f t="shared" si="54"/>
        <v>539.33255785122026</v>
      </c>
      <c r="R80" s="59">
        <f t="shared" si="55"/>
        <v>808.8427170754926</v>
      </c>
      <c r="S80" s="59">
        <f ca="1">AVERAGE(OFFSET($R$3,0,0,'Données projet'!$E$9+1,1))-AVERAGE(OFFSET($H$3,0,0,'Données projet'!$E$9+1,1))</f>
        <v>452.67426184967104</v>
      </c>
      <c r="T80" s="59">
        <f t="shared" si="88"/>
        <v>310.47823616327639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0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4.4230769230769251</v>
      </c>
      <c r="AI80" s="13">
        <f>IF('Données projet'!$A$62&gt;35,AI79+AH80-AQ79,IF(A80&lt;'Données projet'!$A$62,$AF$205^A80,IF(A80='Données projet'!$A$62,'Données projet'!$B$62,AI79+AH80-AQ79)))</f>
        <v>266.21794871794879</v>
      </c>
      <c r="AJ80" s="13">
        <f>AI80*VLOOKUP('Données projet'!$B$10,Paramètres!$A$1:$I$89,3,0)*VLOOKUP('Données projet'!$B$10,Paramètres!$A$1:$I$89,5,0)</f>
        <v>278.25100000000009</v>
      </c>
      <c r="AK80" s="13">
        <f t="shared" si="89"/>
        <v>66.597260219670645</v>
      </c>
      <c r="AL80" s="20">
        <f t="shared" si="58"/>
        <v>600.61071988259312</v>
      </c>
      <c r="AM80" s="59">
        <f t="shared" si="59"/>
        <v>870.12087910686546</v>
      </c>
      <c r="AN80" s="59">
        <f ca="1">AVERAGE(OFFSET($AM$3,0,0,'Données projet'!$E$10+1,1))-AVERAGE(OFFSET($H$3,0,0,'Données projet'!$E$10+1,1))</f>
        <v>528.45201982036087</v>
      </c>
      <c r="AO80" s="59">
        <f t="shared" si="90"/>
        <v>321.23004033257985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8.3261498678132669E-9</v>
      </c>
      <c r="AX80" s="21">
        <f t="shared" si="60"/>
        <v>8.3261498678132669E-9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3.4</v>
      </c>
      <c r="BD80" s="12">
        <f>IF('Données projet'!$A$88&gt;35,BD79+BC80-BL79,IF(A80&lt;'Données projet'!$A$88,$BA$205^A80,IF(A80='Données projet'!$A$88,'Données projet'!$B$88,BD79+BC80-BL79)))</f>
        <v>145.80000000000001</v>
      </c>
      <c r="BE80" s="13">
        <f>BD80*VLOOKUP('Données projet'!$B$11,Paramètres!$A$1:$I$89,3,0)*VLOOKUP('Données projet'!$B$11,Paramètres!$A$1:$I$89,5,0)</f>
        <v>141.01776000000001</v>
      </c>
      <c r="BF80" s="13">
        <f t="shared" si="91"/>
        <v>36.530061637934431</v>
      </c>
      <c r="BG80" s="20">
        <f t="shared" si="61"/>
        <v>309.22912268606916</v>
      </c>
      <c r="BH80" s="59">
        <f t="shared" si="62"/>
        <v>578.73928191034145</v>
      </c>
      <c r="BI80" s="59">
        <f ca="1">AVERAGE(OFFSET($BH$3,0,0,'Données projet'!$E$11+1,1))-AVERAGE(OFFSET($H$3,0,0,'Données projet'!$E$11+1,1))</f>
        <v>289.06522051625166</v>
      </c>
      <c r="BJ80" s="59">
        <f t="shared" si="92"/>
        <v>173.19148969173838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4.4000000000000004</v>
      </c>
      <c r="BY80" s="12">
        <f>IF('Données projet'!$A$114&gt;35,BY79+BX80-CG79,IF(A80&lt;'Données projet'!$A$114,$BV$205^A80,IF(A80='Données projet'!$A$114,'Données projet'!$B$114,BY79+BX80-CG79)))</f>
        <v>234.80000000000032</v>
      </c>
      <c r="BZ80" s="13">
        <f>BY80*VLOOKUP('Données projet'!$B$12,Paramètres!$A$1:$I$89,3,0)*VLOOKUP('Données projet'!$B$12,Paramètres!$A$1:$I$89,5,0)</f>
        <v>190.46976000000029</v>
      </c>
      <c r="CA80" s="13">
        <f t="shared" si="93"/>
        <v>47.643795186675668</v>
      </c>
      <c r="CB80" s="20">
        <f t="shared" si="64"/>
        <v>414.71444195012731</v>
      </c>
      <c r="CC80" s="59">
        <f t="shared" si="65"/>
        <v>684.2246011743996</v>
      </c>
      <c r="CD80" s="59">
        <f ca="1">AVERAGE(OFFSET($CC$3,0,0,'Données projet'!$E$12+1,1))-AVERAGE(OFFSET($H$3,0,0,'Données projet'!$E$12+1,1))</f>
        <v>306.06916761900357</v>
      </c>
      <c r="CE80" s="59">
        <f t="shared" si="94"/>
        <v>258.90832875500337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1.5121282327097295E-8</v>
      </c>
      <c r="CN80" s="22">
        <f t="shared" si="66"/>
        <v>1.5121282327097295E-8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6.4</v>
      </c>
      <c r="CT80" s="12">
        <f>IF('Données projet'!$A$140&gt;35,CT79+CS80-DB79,IF(A80&lt;'Données projet'!$A$140,$CQ$205^A80,IF(A80='Données projet'!$A$140,'Données projet'!$B$140,CT79+CS80-DB79)))</f>
        <v>245.80000000000007</v>
      </c>
      <c r="CU80" s="17">
        <f>CT80*VLOOKUP('Données projet'!$B$13,Paramètres!$A$1:$I$89,3,0)*VLOOKUP('Données projet'!$B$13,Paramètres!$A$1:$I$89,5,0)</f>
        <v>164.88264000000007</v>
      </c>
      <c r="CV80" s="13">
        <f t="shared" si="95"/>
        <v>41.941874385207463</v>
      </c>
      <c r="CW80" s="20">
        <f t="shared" si="67"/>
        <v>360.2193625542364</v>
      </c>
      <c r="CX80" s="59">
        <f t="shared" si="68"/>
        <v>629.72952177850868</v>
      </c>
      <c r="CY80" s="59">
        <f ca="1">AVERAGE(OFFSET($CX$3,0,0,'Données projet'!$E$13+1,1))-AVERAGE(OFFSET($H$3,0,0,'Données projet'!$E$13+1,1))</f>
        <v>324.58754156328285</v>
      </c>
      <c r="CZ80" s="59">
        <f t="shared" si="96"/>
        <v>226.01037731977604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9.1697006932269452E-9</v>
      </c>
      <c r="DI80" s="22">
        <f t="shared" si="69"/>
        <v>9.1697006932269452E-9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12.913461538461533</v>
      </c>
      <c r="DO80" s="12">
        <f>IF('Données projet'!$A$166&gt;35,DO79+DN80-DW79,IF(A80&lt;'Données projet'!$A$166,$DL$205^A80,IF(A80='Données projet'!$A$166,'Données projet'!$B$166,DO79+DN80-DW79)))</f>
        <v>411.03461538461551</v>
      </c>
      <c r="DP80" s="17">
        <f>DO80*VLOOKUP('Données projet'!$B$14,Paramètres!$A$1:$I$89,3,0)*VLOOKUP('Données projet'!$B$14,Paramètres!$A$1:$I$89,5,0)</f>
        <v>192.36420000000004</v>
      </c>
      <c r="DQ80" s="13">
        <f t="shared" si="97"/>
        <v>48.062267116572606</v>
      </c>
      <c r="DR80" s="20">
        <f t="shared" si="70"/>
        <v>418.74276356136397</v>
      </c>
      <c r="DS80" s="59">
        <f t="shared" si="71"/>
        <v>688.2529227856362</v>
      </c>
      <c r="DT80" s="59">
        <f ca="1">AVERAGE(OFFSET($DS$3,0,0,'Données projet'!$E$14+1,1))-AVERAGE(OFFSET($H$3,0,0,'Données projet'!$E$14+1,1))</f>
        <v>325.93182817189722</v>
      </c>
      <c r="DU80" s="59">
        <f t="shared" si="98"/>
        <v>280.04509991782709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3.1</v>
      </c>
      <c r="EJ80" s="12">
        <f>IF('Données projet'!$A$192&gt;35,EJ79+EI80-ER79,IF(A80&lt;'Données projet'!$A$192,$EG$205^A80,IF(A80='Données projet'!$A$192,'Données projet'!$B$192,EJ79+EI80-ER79)))</f>
        <v>274.7</v>
      </c>
      <c r="EK80" s="17">
        <f>EJ80*VLOOKUP('Données projet'!$B$15,Paramètres!$A$1:$I$89,3,0)*VLOOKUP('Données projet'!$B$15,Paramètres!$A$1:$I$89,5,0)</f>
        <v>218.55132000000003</v>
      </c>
      <c r="EL80" s="13">
        <f t="shared" si="99"/>
        <v>53.79990131471051</v>
      </c>
      <c r="EM80" s="20">
        <f t="shared" si="73"/>
        <v>474.3450437897875</v>
      </c>
      <c r="EN80" s="59">
        <f t="shared" si="74"/>
        <v>743.85520301405973</v>
      </c>
      <c r="EO80" s="59">
        <f ca="1">AVERAGE(OFFSET($EN$3,0,0,'Données projet'!$E$15+1,1))-AVERAGE(OFFSET($H$3,0,0,'Données projet'!$E$15+1,1))</f>
        <v>333.52903437536651</v>
      </c>
      <c r="EP80" s="59">
        <f t="shared" si="100"/>
        <v>359.47288701414777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1.0276955368274769</v>
      </c>
      <c r="EX80" s="21">
        <f>EXP(-LN(2)/2)*EX79+(1-EXP(-LN(2)/2))/(LN(2)/2)*ER80*EU80*VLOOKUP('Données projet'!$B$15,Paramètres!$A$1:$I$89,3,0)*0.475*44/12</f>
        <v>2.1257033425207919E-8</v>
      </c>
      <c r="EY80" s="22">
        <f t="shared" si="75"/>
        <v>1.0276955580845104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7.5584615384615343</v>
      </c>
      <c r="FE80" s="12">
        <f>IF('Données projet'!$A$218&gt;35,FE79+FD80-FM79,IF(A80&lt;'Données projet'!$A$218,$FB$205^A80,IF(A80='Données projet'!$A$218,'Données projet'!$B$218,FE79+FD80-FM79)))</f>
        <v>380.23230769230742</v>
      </c>
      <c r="FF80" s="17">
        <f>FE80*VLOOKUP('Données projet'!$B$16,Paramètres!$A$1:$I$89,3,0)*VLOOKUP('Données projet'!$B$16,Paramètres!$A$1:$I$89,5,0)</f>
        <v>227.37891999999985</v>
      </c>
      <c r="FG80" s="13">
        <f t="shared" si="101"/>
        <v>55.715565262615499</v>
      </c>
      <c r="FH80" s="20">
        <f t="shared" si="76"/>
        <v>493.05622849905507</v>
      </c>
      <c r="FI80" s="59">
        <f t="shared" si="77"/>
        <v>762.56638772332735</v>
      </c>
      <c r="FJ80" s="59">
        <f ca="1">AVERAGE(OFFSET($FI$3,0,0,'Données projet'!$E$16+1,1))-AVERAGE(OFFSET($H$3,0,0,'Données projet'!$E$16+1,1))</f>
        <v>313.26988717307376</v>
      </c>
      <c r="FK80" s="59">
        <f t="shared" si="102"/>
        <v>248.17359813993201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0.91893380533074498</v>
      </c>
      <c r="FR80" s="21">
        <f>EXP(-LN(2)/25)*FR79+(1-EXP(-LN(2)/25))/(LN(2)/25)*Calculateur!FM80*Calculateur!FO80*VLOOKUP('Données projet'!$B$16,Paramètres!$A$1:$I$89,3,0)*0.475*44/12</f>
        <v>2.048286808177687</v>
      </c>
      <c r="FS80" s="21">
        <f>EXP(-LN(2)/2)*FS79+(1-EXP(-LN(2)/2))/(LN(2)/2)*FM80*FP80*VLOOKUP('Données projet'!$B$16,Paramètres!$A$1:$I$89,3,0)*0.475*44/12</f>
        <v>3.5490137340061798E-7</v>
      </c>
      <c r="FT80" s="22">
        <f t="shared" si="78"/>
        <v>2.967220968409805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3.4</v>
      </c>
      <c r="FZ80" s="12">
        <f>IF('Données projet'!$A$244&gt;35,FZ79+FY80-GH79,IF(A80&lt;'Données projet'!$A$244,$FW$205^A80,IF(A80='Données projet'!$A$244,'Données projet'!$B$244,FZ79+FY80-GH79)))</f>
        <v>145.80000000000001</v>
      </c>
      <c r="GA80" s="17">
        <f>FZ80*VLOOKUP('Données projet'!$B$17,Paramètres!$A$1:$I$89,3,0)*VLOOKUP('Données projet'!$B$17,Paramètres!$A$1:$I$89,5,0)</f>
        <v>156.93912</v>
      </c>
      <c r="GB80" s="13">
        <f t="shared" si="103"/>
        <v>40.151351173540377</v>
      </c>
      <c r="GC80" s="20">
        <f t="shared" si="79"/>
        <v>343.26590396058282</v>
      </c>
      <c r="GD80" s="59">
        <f t="shared" si="80"/>
        <v>612.77606318485505</v>
      </c>
      <c r="GE80" s="59">
        <f ca="1">AVERAGE(OFFSET($GD$3,0,0,'Données projet'!$E$17+1,1))-AVERAGE(OFFSET($H$3,0,0,'Données projet'!$E$17+1,1))</f>
        <v>313.51355235711543</v>
      </c>
      <c r="GF80" s="59">
        <f t="shared" si="104"/>
        <v>186.0840067781198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0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0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6.4</v>
      </c>
      <c r="N81" s="13">
        <f>IF('Données projet'!$A$36&gt;35,N80+M81-V80,IF(A81&lt;'Données projet'!$A$36,$K$205^A81,IF(A81='Données projet'!$A$36,'Données projet'!$B$36,N80+M81-V80)))</f>
        <v>252.20000000000007</v>
      </c>
      <c r="O81" s="13">
        <f>N81*VLOOKUP('Données projet'!$B$9,Paramètres!$A$1:$I$89,3,0)*VLOOKUP('Données projet'!$B$9,Paramètres!$A$1:$I$89,5,0)</f>
        <v>255.7308000000001</v>
      </c>
      <c r="P81" s="13">
        <f t="shared" si="87"/>
        <v>61.811482021795229</v>
      </c>
      <c r="Q81" s="20">
        <f t="shared" si="54"/>
        <v>553.05280785462685</v>
      </c>
      <c r="R81" s="59">
        <f t="shared" si="55"/>
        <v>822.97624588905308</v>
      </c>
      <c r="S81" s="59">
        <f ca="1">AVERAGE(OFFSET($R$3,0,0,'Données projet'!$E$9+1,1))-AVERAGE(OFFSET($H$3,0,0,'Données projet'!$E$9+1,1))</f>
        <v>452.67426184967104</v>
      </c>
      <c r="T81" s="59">
        <f t="shared" si="88"/>
        <v>310.47823616327639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0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4.4230769230769251</v>
      </c>
      <c r="AI81" s="13">
        <f>IF('Données projet'!$A$62&gt;35,AI80+AH81-AQ80,IF(A81&lt;'Données projet'!$A$62,$AF$205^A81,IF(A81='Données projet'!$A$62,'Données projet'!$B$62,AI80+AH81-AQ80)))</f>
        <v>270.64102564102569</v>
      </c>
      <c r="AJ81" s="13">
        <f>AI81*VLOOKUP('Données projet'!$B$10,Paramètres!$A$1:$I$89,3,0)*VLOOKUP('Données projet'!$B$10,Paramètres!$A$1:$I$89,5,0)</f>
        <v>282.87400000000008</v>
      </c>
      <c r="AK81" s="13">
        <f t="shared" si="89"/>
        <v>67.57400625234888</v>
      </c>
      <c r="AL81" s="20">
        <f t="shared" si="58"/>
        <v>610.36361088950775</v>
      </c>
      <c r="AM81" s="59">
        <f t="shared" si="59"/>
        <v>880.28704892393398</v>
      </c>
      <c r="AN81" s="59">
        <f ca="1">AVERAGE(OFFSET($AM$3,0,0,'Données projet'!$E$10+1,1))-AVERAGE(OFFSET($H$3,0,0,'Données projet'!$E$10+1,1))</f>
        <v>528.45201982036087</v>
      </c>
      <c r="AO81" s="59">
        <f t="shared" si="90"/>
        <v>321.23004033257985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5.8874770327062374E-9</v>
      </c>
      <c r="AX81" s="21">
        <f t="shared" si="60"/>
        <v>5.8874770327062374E-9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3.4</v>
      </c>
      <c r="BD81" s="12">
        <f>IF('Données projet'!$A$88&gt;35,BD80+BC81-BL80,IF(A81&lt;'Données projet'!$A$88,$BA$205^A81,IF(A81='Données projet'!$A$88,'Données projet'!$B$88,BD80+BC81-BL80)))</f>
        <v>149.20000000000002</v>
      </c>
      <c r="BE81" s="13">
        <f>BD81*VLOOKUP('Données projet'!$B$11,Paramètres!$A$1:$I$89,3,0)*VLOOKUP('Données projet'!$B$11,Paramètres!$A$1:$I$89,5,0)</f>
        <v>144.30624</v>
      </c>
      <c r="BF81" s="13">
        <f t="shared" si="91"/>
        <v>37.281758503629554</v>
      </c>
      <c r="BG81" s="20">
        <f t="shared" si="61"/>
        <v>316.26576406048815</v>
      </c>
      <c r="BH81" s="59">
        <f t="shared" si="62"/>
        <v>586.18920209491444</v>
      </c>
      <c r="BI81" s="59">
        <f ca="1">AVERAGE(OFFSET($BH$3,0,0,'Données projet'!$E$11+1,1))-AVERAGE(OFFSET($H$3,0,0,'Données projet'!$E$11+1,1))</f>
        <v>289.06522051625166</v>
      </c>
      <c r="BJ81" s="59">
        <f t="shared" si="92"/>
        <v>173.19148969173838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4.4000000000000004</v>
      </c>
      <c r="BY81" s="12">
        <f>IF('Données projet'!$A$114&gt;35,BY80+BX81-CG80,IF(A81&lt;'Données projet'!$A$114,$BV$205^A81,IF(A81='Données projet'!$A$114,'Données projet'!$B$114,BY80+BX81-CG80)))</f>
        <v>239.20000000000033</v>
      </c>
      <c r="BZ81" s="13">
        <f>BY81*VLOOKUP('Données projet'!$B$12,Paramètres!$A$1:$I$89,3,0)*VLOOKUP('Données projet'!$B$12,Paramètres!$A$1:$I$89,5,0)</f>
        <v>194.03904000000028</v>
      </c>
      <c r="CA81" s="13">
        <f t="shared" si="93"/>
        <v>48.431831083693268</v>
      </c>
      <c r="CB81" s="20">
        <f t="shared" si="64"/>
        <v>422.3034338040996</v>
      </c>
      <c r="CC81" s="59">
        <f t="shared" si="65"/>
        <v>692.22687183852577</v>
      </c>
      <c r="CD81" s="59">
        <f ca="1">AVERAGE(OFFSET($CC$3,0,0,'Données projet'!$E$12+1,1))-AVERAGE(OFFSET($H$3,0,0,'Données projet'!$E$12+1,1))</f>
        <v>306.06916761900357</v>
      </c>
      <c r="CE81" s="59">
        <f t="shared" si="94"/>
        <v>258.90832875500337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1.0692361273726795E-8</v>
      </c>
      <c r="CN81" s="22">
        <f t="shared" si="66"/>
        <v>1.0692361273726795E-8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6.4</v>
      </c>
      <c r="CT81" s="12">
        <f>IF('Données projet'!$A$140&gt;35,CT80+CS81-DB80,IF(A81&lt;'Données projet'!$A$140,$CQ$205^A81,IF(A81='Données projet'!$A$140,'Données projet'!$B$140,CT80+CS81-DB80)))</f>
        <v>252.20000000000007</v>
      </c>
      <c r="CU81" s="17">
        <f>CT81*VLOOKUP('Données projet'!$B$13,Paramètres!$A$1:$I$89,3,0)*VLOOKUP('Données projet'!$B$13,Paramètres!$A$1:$I$89,5,0)</f>
        <v>169.17576000000005</v>
      </c>
      <c r="CV81" s="13">
        <f t="shared" si="95"/>
        <v>42.905369058689153</v>
      </c>
      <c r="CW81" s="20">
        <f t="shared" si="67"/>
        <v>369.37463311055035</v>
      </c>
      <c r="CX81" s="59">
        <f t="shared" si="68"/>
        <v>639.29807114497657</v>
      </c>
      <c r="CY81" s="59">
        <f ca="1">AVERAGE(OFFSET($CX$3,0,0,'Données projet'!$E$13+1,1))-AVERAGE(OFFSET($H$3,0,0,'Données projet'!$E$13+1,1))</f>
        <v>324.58754156328285</v>
      </c>
      <c r="CZ81" s="59">
        <f t="shared" si="96"/>
        <v>226.01037731977604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6.4839575416317587E-9</v>
      </c>
      <c r="DI81" s="22">
        <f t="shared" si="69"/>
        <v>6.4839575416317587E-9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12.913461538461533</v>
      </c>
      <c r="DO81" s="12">
        <f>IF('Données projet'!$A$166&gt;35,DO80+DN81-DW80,IF(A81&lt;'Données projet'!$A$166,$DL$205^A81,IF(A81='Données projet'!$A$166,'Données projet'!$B$166,DO80+DN81-DW80)))</f>
        <v>423.94807692307705</v>
      </c>
      <c r="DP81" s="17">
        <f>DO81*VLOOKUP('Données projet'!$B$14,Paramètres!$A$1:$I$89,3,0)*VLOOKUP('Données projet'!$B$14,Paramètres!$A$1:$I$89,5,0)</f>
        <v>198.40770000000006</v>
      </c>
      <c r="DQ81" s="13">
        <f t="shared" si="97"/>
        <v>49.394065749424826</v>
      </c>
      <c r="DR81" s="20">
        <f t="shared" si="70"/>
        <v>431.58807534691499</v>
      </c>
      <c r="DS81" s="59">
        <f t="shared" si="71"/>
        <v>701.51151338134127</v>
      </c>
      <c r="DT81" s="59">
        <f ca="1">AVERAGE(OFFSET($DS$3,0,0,'Données projet'!$E$14+1,1))-AVERAGE(OFFSET($H$3,0,0,'Données projet'!$E$14+1,1))</f>
        <v>325.93182817189722</v>
      </c>
      <c r="DU81" s="59">
        <f t="shared" si="98"/>
        <v>280.04509991782709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3.1</v>
      </c>
      <c r="EJ81" s="12">
        <f>IF('Données projet'!$A$192&gt;35,EJ80+EI81-ER80,IF(A81&lt;'Données projet'!$A$192,$EG$205^A81,IF(A81='Données projet'!$A$192,'Données projet'!$B$192,EJ80+EI81-ER80)))</f>
        <v>277.8</v>
      </c>
      <c r="EK81" s="17">
        <f>EJ81*VLOOKUP('Données projet'!$B$15,Paramètres!$A$1:$I$89,3,0)*VLOOKUP('Données projet'!$B$15,Paramètres!$A$1:$I$89,5,0)</f>
        <v>221.01768000000001</v>
      </c>
      <c r="EL81" s="13">
        <f t="shared" si="99"/>
        <v>54.336013993957934</v>
      </c>
      <c r="EM81" s="20">
        <f t="shared" si="73"/>
        <v>479.5743503728101</v>
      </c>
      <c r="EN81" s="59">
        <f t="shared" si="74"/>
        <v>749.49778840723638</v>
      </c>
      <c r="EO81" s="59">
        <f ca="1">AVERAGE(OFFSET($EN$3,0,0,'Données projet'!$E$15+1,1))-AVERAGE(OFFSET($H$3,0,0,'Données projet'!$E$15+1,1))</f>
        <v>333.52903437536651</v>
      </c>
      <c r="EP81" s="59">
        <f t="shared" si="100"/>
        <v>359.47288701414777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0.99959314832877011</v>
      </c>
      <c r="EX81" s="21">
        <f>EXP(-LN(2)/2)*EX80+(1-EXP(-LN(2)/2))/(LN(2)/2)*ER81*EU81*VLOOKUP('Données projet'!$B$15,Paramètres!$A$1:$I$89,3,0)*0.475*44/12</f>
        <v>1.5030992482873622E-8</v>
      </c>
      <c r="EY81" s="22">
        <f t="shared" si="75"/>
        <v>0.99959316335976256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7.5584615384615343</v>
      </c>
      <c r="FE81" s="12">
        <f>IF('Données projet'!$A$218&gt;35,FE80+FD81-FM80,IF(A81&lt;'Données projet'!$A$218,$FB$205^A81,IF(A81='Données projet'!$A$218,'Données projet'!$B$218,FE80+FD81-FM80)))</f>
        <v>387.79076923076894</v>
      </c>
      <c r="FF81" s="17">
        <f>FE81*VLOOKUP('Données projet'!$B$16,Paramètres!$A$1:$I$89,3,0)*VLOOKUP('Données projet'!$B$16,Paramètres!$A$1:$I$89,5,0)</f>
        <v>231.89887999999985</v>
      </c>
      <c r="FG81" s="13">
        <f t="shared" si="101"/>
        <v>56.693067102008712</v>
      </c>
      <c r="FH81" s="20">
        <f t="shared" si="76"/>
        <v>502.63097453599829</v>
      </c>
      <c r="FI81" s="59">
        <f t="shared" si="77"/>
        <v>772.55441257042457</v>
      </c>
      <c r="FJ81" s="59">
        <f ca="1">AVERAGE(OFFSET($FI$3,0,0,'Données projet'!$E$16+1,1))-AVERAGE(OFFSET($H$3,0,0,'Données projet'!$E$16+1,1))</f>
        <v>313.26988717307376</v>
      </c>
      <c r="FK81" s="59">
        <f t="shared" si="102"/>
        <v>248.17359813993201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0.90091407390248612</v>
      </c>
      <c r="FR81" s="21">
        <f>EXP(-LN(2)/25)*FR80+(1-EXP(-LN(2)/25))/(LN(2)/25)*Calculateur!FM81*Calculateur!FO81*VLOOKUP('Données projet'!$B$16,Paramètres!$A$1:$I$89,3,0)*0.475*44/12</f>
        <v>1.9922762976933464</v>
      </c>
      <c r="FS81" s="21">
        <f>EXP(-LN(2)/2)*FS80+(1-EXP(-LN(2)/2))/(LN(2)/2)*FM81*FP81*VLOOKUP('Données projet'!$B$16,Paramètres!$A$1:$I$89,3,0)*0.475*44/12</f>
        <v>2.5095316778399597E-7</v>
      </c>
      <c r="FT81" s="22">
        <f t="shared" si="78"/>
        <v>2.8931906225490001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3.4</v>
      </c>
      <c r="FZ81" s="12">
        <f>IF('Données projet'!$A$244&gt;35,FZ80+FY81-GH80,IF(A81&lt;'Données projet'!$A$244,$FW$205^A81,IF(A81='Données projet'!$A$244,'Données projet'!$B$244,FZ80+FY81-GH80)))</f>
        <v>149.20000000000002</v>
      </c>
      <c r="GA81" s="17">
        <f>FZ81*VLOOKUP('Données projet'!$B$17,Paramètres!$A$1:$I$89,3,0)*VLOOKUP('Données projet'!$B$17,Paramètres!$A$1:$I$89,5,0)</f>
        <v>160.59888000000001</v>
      </c>
      <c r="GB81" s="13">
        <f t="shared" si="103"/>
        <v>40.97756507730324</v>
      </c>
      <c r="GC81" s="20">
        <f t="shared" si="79"/>
        <v>351.07897517630312</v>
      </c>
      <c r="GD81" s="59">
        <f t="shared" si="80"/>
        <v>621.0024132107294</v>
      </c>
      <c r="GE81" s="59">
        <f ca="1">AVERAGE(OFFSET($GD$3,0,0,'Données projet'!$E$17+1,1))-AVERAGE(OFFSET($H$3,0,0,'Données projet'!$E$17+1,1))</f>
        <v>313.51355235711543</v>
      </c>
      <c r="GF81" s="59">
        <f t="shared" si="104"/>
        <v>186.0840067781198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0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0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6.4</v>
      </c>
      <c r="N82" s="13">
        <f>IF('Données projet'!$A$36&gt;35,N81+M82-V81,IF(A82&lt;'Données projet'!$A$36,$K$205^A82,IF(A82='Données projet'!$A$36,'Données projet'!$B$36,N81+M82-V81)))</f>
        <v>258.60000000000008</v>
      </c>
      <c r="O82" s="13">
        <f>N82*VLOOKUP('Données projet'!$B$9,Paramètres!$A$1:$I$89,3,0)*VLOOKUP('Données projet'!$B$9,Paramètres!$A$1:$I$89,5,0)</f>
        <v>262.2204000000001</v>
      </c>
      <c r="P82" s="13">
        <f t="shared" si="87"/>
        <v>63.195443008884048</v>
      </c>
      <c r="Q82" s="20">
        <f t="shared" si="54"/>
        <v>566.76592657380661</v>
      </c>
      <c r="R82" s="59">
        <f t="shared" si="55"/>
        <v>837.09547395498362</v>
      </c>
      <c r="S82" s="59">
        <f ca="1">AVERAGE(OFFSET($R$3,0,0,'Données projet'!$E$9+1,1))-AVERAGE(OFFSET($H$3,0,0,'Données projet'!$E$9+1,1))</f>
        <v>452.67426184967104</v>
      </c>
      <c r="T82" s="59">
        <f t="shared" si="88"/>
        <v>310.47823616327639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0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4.4230769230769251</v>
      </c>
      <c r="AI82" s="13">
        <f>IF('Données projet'!$A$62&gt;35,AI81+AH82-AQ81,IF(A82&lt;'Données projet'!$A$62,$AF$205^A82,IF(A82='Données projet'!$A$62,'Données projet'!$B$62,AI81+AH82-AQ81)))</f>
        <v>275.0641025641026</v>
      </c>
      <c r="AJ82" s="13">
        <f>AI82*VLOOKUP('Données projet'!$B$10,Paramètres!$A$1:$I$89,3,0)*VLOOKUP('Données projet'!$B$10,Paramètres!$A$1:$I$89,5,0)</f>
        <v>287.49700000000007</v>
      </c>
      <c r="AK82" s="13">
        <f t="shared" si="89"/>
        <v>68.548895879212708</v>
      </c>
      <c r="AL82" s="20">
        <f t="shared" si="58"/>
        <v>620.11326865629553</v>
      </c>
      <c r="AM82" s="59">
        <f t="shared" si="59"/>
        <v>890.44281603747254</v>
      </c>
      <c r="AN82" s="59">
        <f ca="1">AVERAGE(OFFSET($AM$3,0,0,'Données projet'!$E$10+1,1))-AVERAGE(OFFSET($H$3,0,0,'Données projet'!$E$10+1,1))</f>
        <v>528.45201982036087</v>
      </c>
      <c r="AO82" s="59">
        <f t="shared" si="90"/>
        <v>321.23004033257985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4.1630749339066334E-9</v>
      </c>
      <c r="AX82" s="21">
        <f t="shared" si="60"/>
        <v>4.1630749339066334E-9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3.4</v>
      </c>
      <c r="BD82" s="12">
        <f>IF('Données projet'!$A$88&gt;35,BD81+BC82-BL81,IF(A82&lt;'Données projet'!$A$88,$BA$205^A82,IF(A82='Données projet'!$A$88,'Données projet'!$B$88,BD81+BC82-BL81)))</f>
        <v>152.60000000000002</v>
      </c>
      <c r="BE82" s="13">
        <f>BD82*VLOOKUP('Données projet'!$B$11,Paramètres!$A$1:$I$89,3,0)*VLOOKUP('Données projet'!$B$11,Paramètres!$A$1:$I$89,5,0)</f>
        <v>147.59472000000002</v>
      </c>
      <c r="BF82" s="13">
        <f t="shared" si="91"/>
        <v>38.031463918082679</v>
      </c>
      <c r="BG82" s="20">
        <f t="shared" si="61"/>
        <v>323.29893699066071</v>
      </c>
      <c r="BH82" s="59">
        <f t="shared" si="62"/>
        <v>593.62848437183766</v>
      </c>
      <c r="BI82" s="59">
        <f ca="1">AVERAGE(OFFSET($BH$3,0,0,'Données projet'!$E$11+1,1))-AVERAGE(OFFSET($H$3,0,0,'Données projet'!$E$11+1,1))</f>
        <v>289.06522051625166</v>
      </c>
      <c r="BJ82" s="59">
        <f t="shared" si="92"/>
        <v>173.19148969173838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4.4000000000000004</v>
      </c>
      <c r="BY82" s="12">
        <f>IF('Données projet'!$A$114&gt;35,BY81+BX82-CG81,IF(A82&lt;'Données projet'!$A$114,$BV$205^A82,IF(A82='Données projet'!$A$114,'Données projet'!$B$114,BY81+BX82-CG81)))</f>
        <v>243.60000000000034</v>
      </c>
      <c r="BZ82" s="13">
        <f>BY82*VLOOKUP('Données projet'!$B$12,Paramètres!$A$1:$I$89,3,0)*VLOOKUP('Données projet'!$B$12,Paramètres!$A$1:$I$89,5,0)</f>
        <v>197.60832000000028</v>
      </c>
      <c r="CA82" s="13">
        <f t="shared" si="93"/>
        <v>49.218181392381446</v>
      </c>
      <c r="CB82" s="20">
        <f t="shared" si="64"/>
        <v>429.88948992506477</v>
      </c>
      <c r="CC82" s="59">
        <f t="shared" si="65"/>
        <v>700.21903730624172</v>
      </c>
      <c r="CD82" s="59">
        <f ca="1">AVERAGE(OFFSET($CC$3,0,0,'Données projet'!$E$12+1,1))-AVERAGE(OFFSET($H$3,0,0,'Données projet'!$E$12+1,1))</f>
        <v>306.06916761900357</v>
      </c>
      <c r="CE82" s="59">
        <f t="shared" si="94"/>
        <v>258.90832875500337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7.5606411635486473E-9</v>
      </c>
      <c r="CN82" s="22">
        <f t="shared" si="66"/>
        <v>7.5606411635486473E-9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6.4</v>
      </c>
      <c r="CT82" s="12">
        <f>IF('Données projet'!$A$140&gt;35,CT81+CS82-DB81,IF(A82&lt;'Données projet'!$A$140,$CQ$205^A82,IF(A82='Données projet'!$A$140,'Données projet'!$B$140,CT81+CS82-DB81)))</f>
        <v>258.60000000000008</v>
      </c>
      <c r="CU82" s="17">
        <f>CT82*VLOOKUP('Données projet'!$B$13,Paramètres!$A$1:$I$89,3,0)*VLOOKUP('Données projet'!$B$13,Paramètres!$A$1:$I$89,5,0)</f>
        <v>173.46888000000007</v>
      </c>
      <c r="CV82" s="13">
        <f t="shared" si="95"/>
        <v>43.866021593972739</v>
      </c>
      <c r="CW82" s="20">
        <f t="shared" si="67"/>
        <v>378.52495360950257</v>
      </c>
      <c r="CX82" s="59">
        <f t="shared" si="68"/>
        <v>648.85450099067953</v>
      </c>
      <c r="CY82" s="59">
        <f ca="1">AVERAGE(OFFSET($CX$3,0,0,'Données projet'!$E$13+1,1))-AVERAGE(OFFSET($H$3,0,0,'Données projet'!$E$13+1,1))</f>
        <v>324.58754156328285</v>
      </c>
      <c r="CZ82" s="59">
        <f t="shared" si="96"/>
        <v>226.01037731977604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4.5848503466134726E-9</v>
      </c>
      <c r="DI82" s="22">
        <f t="shared" si="69"/>
        <v>4.5848503466134726E-9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>
        <f>VLOOKUP(A82,'Données projet'!$A$165:$I$185,2,0)</f>
        <v>436.86153846153843</v>
      </c>
      <c r="DM82" s="12">
        <f>VLOOKUP(A82,'Données projet'!$A$165:$I$185,9,0)</f>
        <v>12.913461538461533</v>
      </c>
      <c r="DN82" s="12">
        <f t="array" ref="DN82">INDEX(DM:DM,MIN(IF(ISNUMBER(DM82:DM278),ROW(DM82:DM278),"")))</f>
        <v>12.913461538461533</v>
      </c>
      <c r="DO82" s="12">
        <f>IF('Données projet'!$A$166&gt;35,DO81+DN82-DW81,IF(A82&lt;'Données projet'!$A$166,$DL$205^A82,IF(A82='Données projet'!$A$166,'Données projet'!$B$166,DO81+DN82-DW81)))</f>
        <v>436.8615384615386</v>
      </c>
      <c r="DP82" s="17">
        <f>DO82*VLOOKUP('Données projet'!$B$14,Paramètres!$A$1:$I$89,3,0)*VLOOKUP('Données projet'!$B$14,Paramètres!$A$1:$I$89,5,0)</f>
        <v>204.45120000000009</v>
      </c>
      <c r="DQ82" s="13">
        <f t="shared" si="97"/>
        <v>50.721150021305952</v>
      </c>
      <c r="DR82" s="20">
        <f t="shared" si="70"/>
        <v>444.42517628710794</v>
      </c>
      <c r="DS82" s="59">
        <f t="shared" si="71"/>
        <v>714.7547236682849</v>
      </c>
      <c r="DT82" s="59">
        <f ca="1">AVERAGE(OFFSET($DS$3,0,0,'Données projet'!$E$14+1,1))-AVERAGE(OFFSET($H$3,0,0,'Données projet'!$E$14+1,1))</f>
        <v>325.93182817189722</v>
      </c>
      <c r="DU82" s="59">
        <f t="shared" si="98"/>
        <v>280.04509991782709</v>
      </c>
      <c r="DV82" s="15">
        <f>IF(ISNA(VLOOKUP(A82,'Données projet'!$A$165:$I$185,3,0)),0,VLOOKUP(A82,'Données projet'!$A$165:$I$185,3,0))</f>
        <v>6</v>
      </c>
      <c r="DW82" s="15">
        <f>IF(ISNA(VLOOKUP(A82,'Données projet'!$A$165:$I$185,4,0)),0,VLOOKUP(A82,'Données projet'!$A$165:$I$185,4,0))</f>
        <v>77.338461538461544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3.1</v>
      </c>
      <c r="EJ82" s="12">
        <f>IF('Données projet'!$A$192&gt;35,EJ81+EI82-ER81,IF(A82&lt;'Données projet'!$A$192,$EG$205^A82,IF(A82='Données projet'!$A$192,'Données projet'!$B$192,EJ81+EI82-ER81)))</f>
        <v>280.90000000000003</v>
      </c>
      <c r="EK82" s="17">
        <f>EJ82*VLOOKUP('Données projet'!$B$15,Paramètres!$A$1:$I$89,3,0)*VLOOKUP('Données projet'!$B$15,Paramètres!$A$1:$I$89,5,0)</f>
        <v>223.48404000000002</v>
      </c>
      <c r="EL82" s="13">
        <f t="shared" si="99"/>
        <v>54.871430742470253</v>
      </c>
      <c r="EM82" s="20">
        <f t="shared" si="73"/>
        <v>484.80244487646905</v>
      </c>
      <c r="EN82" s="59">
        <f t="shared" si="74"/>
        <v>755.13199225764606</v>
      </c>
      <c r="EO82" s="59">
        <f ca="1">AVERAGE(OFFSET($EN$3,0,0,'Données projet'!$E$15+1,1))-AVERAGE(OFFSET($H$3,0,0,'Données projet'!$E$15+1,1))</f>
        <v>333.52903437536651</v>
      </c>
      <c r="EP82" s="59">
        <f t="shared" si="100"/>
        <v>359.47288701414777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0.97225922112140084</v>
      </c>
      <c r="EX82" s="21">
        <f>EXP(-LN(2)/2)*EX81+(1-EXP(-LN(2)/2))/(LN(2)/2)*ER82*EU82*VLOOKUP('Données projet'!$B$15,Paramètres!$A$1:$I$89,3,0)*0.475*44/12</f>
        <v>1.062851671260396E-8</v>
      </c>
      <c r="EY82" s="22">
        <f t="shared" si="75"/>
        <v>0.97225923174991757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7.5584615384615343</v>
      </c>
      <c r="FE82" s="12">
        <f>IF('Données projet'!$A$218&gt;35,FE81+FD82-FM81,IF(A82&lt;'Données projet'!$A$218,$FB$205^A82,IF(A82='Données projet'!$A$218,'Données projet'!$B$218,FE81+FD82-FM81)))</f>
        <v>395.34923076923047</v>
      </c>
      <c r="FF82" s="17">
        <f>FE82*VLOOKUP('Données projet'!$B$16,Paramètres!$A$1:$I$89,3,0)*VLOOKUP('Données projet'!$B$16,Paramètres!$A$1:$I$89,5,0)</f>
        <v>236.41883999999985</v>
      </c>
      <c r="FG82" s="13">
        <f t="shared" si="101"/>
        <v>57.668353588027863</v>
      </c>
      <c r="FH82" s="20">
        <f t="shared" si="76"/>
        <v>512.20186216581487</v>
      </c>
      <c r="FI82" s="59">
        <f t="shared" si="77"/>
        <v>782.53140954699188</v>
      </c>
      <c r="FJ82" s="59">
        <f ca="1">AVERAGE(OFFSET($FI$3,0,0,'Données projet'!$E$16+1,1))-AVERAGE(OFFSET($H$3,0,0,'Données projet'!$E$16+1,1))</f>
        <v>313.26988717307376</v>
      </c>
      <c r="FK82" s="59">
        <f t="shared" si="102"/>
        <v>248.17359813993201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0.88324769841658446</v>
      </c>
      <c r="FR82" s="21">
        <f>EXP(-LN(2)/25)*FR81+(1-EXP(-LN(2)/25))/(LN(2)/25)*Calculateur!FM82*Calculateur!FO82*VLOOKUP('Données projet'!$B$16,Paramètres!$A$1:$I$89,3,0)*0.475*44/12</f>
        <v>1.9377973975636646</v>
      </c>
      <c r="FS82" s="21">
        <f>EXP(-LN(2)/2)*FS81+(1-EXP(-LN(2)/2))/(LN(2)/2)*FM82*FP82*VLOOKUP('Données projet'!$B$16,Paramètres!$A$1:$I$89,3,0)*0.475*44/12</f>
        <v>1.7745068670030899E-7</v>
      </c>
      <c r="FT82" s="22">
        <f t="shared" si="78"/>
        <v>2.8210452734309359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3.4</v>
      </c>
      <c r="FZ82" s="12">
        <f>IF('Données projet'!$A$244&gt;35,FZ81+FY82-GH81,IF(A82&lt;'Données projet'!$A$244,$FW$205^A82,IF(A82='Données projet'!$A$244,'Données projet'!$B$244,FZ81+FY82-GH81)))</f>
        <v>152.60000000000002</v>
      </c>
      <c r="GA82" s="17">
        <f>FZ82*VLOOKUP('Données projet'!$B$17,Paramètres!$A$1:$I$89,3,0)*VLOOKUP('Données projet'!$B$17,Paramètres!$A$1:$I$89,5,0)</f>
        <v>164.25864000000001</v>
      </c>
      <c r="GB82" s="13">
        <f t="shared" si="103"/>
        <v>41.80159011374478</v>
      </c>
      <c r="GC82" s="20">
        <f t="shared" si="79"/>
        <v>358.88823411477216</v>
      </c>
      <c r="GD82" s="59">
        <f t="shared" si="80"/>
        <v>629.21778149594911</v>
      </c>
      <c r="GE82" s="59">
        <f ca="1">AVERAGE(OFFSET($GD$3,0,0,'Données projet'!$E$17+1,1))-AVERAGE(OFFSET($H$3,0,0,'Données projet'!$E$17+1,1))</f>
        <v>313.51355235711543</v>
      </c>
      <c r="GF82" s="59">
        <f t="shared" si="104"/>
        <v>186.0840067781198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0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0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265</v>
      </c>
      <c r="L83" s="12">
        <f>VLOOKUP(A83,'Données projet'!$A$35:$I$55,9,0)</f>
        <v>6.4</v>
      </c>
      <c r="M83" s="12">
        <f t="array" ref="M83">INDEX(L:L,MIN(IF(ISNUMBER(L83:L279),ROW(L83:L279),"")))</f>
        <v>6.4</v>
      </c>
      <c r="N83" s="13">
        <f>IF('Données projet'!$A$36&gt;35,N82+M83-V82,IF(A83&lt;'Données projet'!$A$36,$K$205^A83,IF(A83='Données projet'!$A$36,'Données projet'!$B$36,N82+M83-V82)))</f>
        <v>265.00000000000006</v>
      </c>
      <c r="O83" s="13">
        <f>N83*VLOOKUP('Données projet'!$B$9,Paramètres!$A$1:$I$89,3,0)*VLOOKUP('Données projet'!$B$9,Paramètres!$A$1:$I$89,5,0)</f>
        <v>268.71000000000009</v>
      </c>
      <c r="P83" s="13">
        <f t="shared" si="87"/>
        <v>64.575422468263369</v>
      </c>
      <c r="Q83" s="20">
        <f t="shared" si="54"/>
        <v>580.47211079889212</v>
      </c>
      <c r="R83" s="59">
        <f t="shared" si="55"/>
        <v>851.20072243757818</v>
      </c>
      <c r="S83" s="59">
        <f ca="1">AVERAGE(OFFSET($R$3,0,0,'Données projet'!$E$9+1,1))-AVERAGE(OFFSET($H$3,0,0,'Données projet'!$E$9+1,1))</f>
        <v>452.67426184967104</v>
      </c>
      <c r="T83" s="59">
        <f t="shared" si="88"/>
        <v>310.47823616327639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43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0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279.4871794871795</v>
      </c>
      <c r="AG83" s="12">
        <f>VLOOKUP(A83,'Données projet'!$A$61:$I$81,9,0)</f>
        <v>4.4230769230769251</v>
      </c>
      <c r="AH83" s="12">
        <f t="array" ref="AH83">INDEX(AG:AG,MIN(IF(ISNUMBER(AG83:AG279),ROW(AG83:AG279),"")))</f>
        <v>4.4230769230769251</v>
      </c>
      <c r="AI83" s="13">
        <f>IF('Données projet'!$A$62&gt;35,AI82+AH83-AQ82,IF(A83&lt;'Données projet'!$A$62,$AF$205^A83,IF(A83='Données projet'!$A$62,'Données projet'!$B$62,AI82+AH83-AQ82)))</f>
        <v>279.4871794871795</v>
      </c>
      <c r="AJ83" s="13">
        <f>AI83*VLOOKUP('Données projet'!$B$10,Paramètres!$A$1:$I$89,3,0)*VLOOKUP('Données projet'!$B$10,Paramètres!$A$1:$I$89,5,0)</f>
        <v>292.12000000000006</v>
      </c>
      <c r="AK83" s="13">
        <f t="shared" si="89"/>
        <v>69.521962397994116</v>
      </c>
      <c r="AL83" s="20">
        <f t="shared" si="58"/>
        <v>629.85975117650651</v>
      </c>
      <c r="AM83" s="59">
        <f t="shared" si="59"/>
        <v>900.58836281519257</v>
      </c>
      <c r="AN83" s="59">
        <f ca="1">AVERAGE(OFFSET($AM$3,0,0,'Données projet'!$E$10+1,1))-AVERAGE(OFFSET($H$3,0,0,'Données projet'!$E$10+1,1))</f>
        <v>528.45201982036087</v>
      </c>
      <c r="AO83" s="59">
        <f t="shared" si="90"/>
        <v>321.23004033257985</v>
      </c>
      <c r="AP83" s="15">
        <f>IF(ISNA(VLOOKUP(A83,'Données projet'!$A$61:$I$81,3,0)),0,VLOOKUP(A83,'Données projet'!$A$61:$I$81,3,0))</f>
        <v>8</v>
      </c>
      <c r="AQ83" s="15">
        <f>IF(ISNA(VLOOKUP(A83,'Données projet'!$A$61:$I$81,4,0)),0,VLOOKUP(A83,'Données projet'!$A$61:$I$81,4,0))</f>
        <v>22.435897435897434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2.9437385163531187E-9</v>
      </c>
      <c r="AX83" s="21">
        <f t="shared" si="60"/>
        <v>2.9437385163531187E-9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156</v>
      </c>
      <c r="BB83" s="12">
        <f>VLOOKUP(A83,'Données projet'!$A$87:$I$107,9,0)</f>
        <v>3.4</v>
      </c>
      <c r="BC83" s="12">
        <f t="array" ref="BC83">INDEX(BB:BB,MIN(IF(ISNUMBER(BB83:BB279),ROW(BB83:BB279),"")))</f>
        <v>3.4</v>
      </c>
      <c r="BD83" s="12">
        <f>IF('Données projet'!$A$88&gt;35,BD82+BC83-BL82,IF(A83&lt;'Données projet'!$A$88,$BA$205^A83,IF(A83='Données projet'!$A$88,'Données projet'!$B$88,BD82+BC83-BL82)))</f>
        <v>156.00000000000003</v>
      </c>
      <c r="BE83" s="13">
        <f>BD83*VLOOKUP('Données projet'!$B$11,Paramètres!$A$1:$I$89,3,0)*VLOOKUP('Données projet'!$B$11,Paramètres!$A$1:$I$89,5,0)</f>
        <v>150.88320000000002</v>
      </c>
      <c r="BF83" s="13">
        <f t="shared" si="91"/>
        <v>38.779227360583199</v>
      </c>
      <c r="BG83" s="20">
        <f t="shared" si="61"/>
        <v>330.32872765301573</v>
      </c>
      <c r="BH83" s="59">
        <f t="shared" si="62"/>
        <v>601.05733929170185</v>
      </c>
      <c r="BI83" s="59">
        <f ca="1">AVERAGE(OFFSET($BH$3,0,0,'Données projet'!$E$11+1,1))-AVERAGE(OFFSET($H$3,0,0,'Données projet'!$E$11+1,1))</f>
        <v>289.06522051625166</v>
      </c>
      <c r="BJ83" s="59">
        <f t="shared" si="92"/>
        <v>173.19148969173838</v>
      </c>
      <c r="BK83" s="15">
        <f>IF(ISNA(VLOOKUP(A83,'Données projet'!$A$87:$I$107,3,0)),0,VLOOKUP(A83,'Données projet'!$A$87:$I$107,3,0))</f>
        <v>6</v>
      </c>
      <c r="BL83" s="21">
        <f>IF(ISNA(VLOOKUP(A83,'Données projet'!$A$87:$I$107,4,0)),0,VLOOKUP(A83,'Données projet'!$A$87:$I$107,4,0))</f>
        <v>19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248</v>
      </c>
      <c r="BW83" s="12">
        <f>VLOOKUP(A83,'Données projet'!$A$113:$I$133,9,0)</f>
        <v>4.4000000000000004</v>
      </c>
      <c r="BX83" s="12">
        <f t="array" ref="BX83">INDEX(BW:BW,MIN(IF(ISNUMBER(BW83:BW279),ROW(BW83:BW279),"")))</f>
        <v>4.4000000000000004</v>
      </c>
      <c r="BY83" s="12">
        <f>IF('Données projet'!$A$114&gt;35,BY82+BX83-CG82,IF(A83&lt;'Données projet'!$A$114,$BV$205^A83,IF(A83='Données projet'!$A$114,'Données projet'!$B$114,BY82+BX83-CG82)))</f>
        <v>248.00000000000034</v>
      </c>
      <c r="BZ83" s="13">
        <f>BY83*VLOOKUP('Données projet'!$B$12,Paramètres!$A$1:$I$89,3,0)*VLOOKUP('Données projet'!$B$12,Paramètres!$A$1:$I$89,5,0)</f>
        <v>201.1776000000003</v>
      </c>
      <c r="CA83" s="13">
        <f t="shared" si="93"/>
        <v>50.002880070410818</v>
      </c>
      <c r="CB83" s="20">
        <f t="shared" si="64"/>
        <v>437.47266945596601</v>
      </c>
      <c r="CC83" s="59">
        <f t="shared" si="65"/>
        <v>708.20128109465213</v>
      </c>
      <c r="CD83" s="59">
        <f ca="1">AVERAGE(OFFSET($CC$3,0,0,'Données projet'!$E$12+1,1))-AVERAGE(OFFSET($H$3,0,0,'Données projet'!$E$12+1,1))</f>
        <v>306.06916761900357</v>
      </c>
      <c r="CE83" s="59">
        <f t="shared" si="94"/>
        <v>258.90832875500337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27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5.3461806368633975E-9</v>
      </c>
      <c r="CN83" s="22">
        <f t="shared" si="66"/>
        <v>5.3461806368633975E-9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265</v>
      </c>
      <c r="CR83" s="12">
        <f>VLOOKUP(A83,'Données projet'!$A$139:$I$159,9,0)</f>
        <v>6.4</v>
      </c>
      <c r="CS83" s="12">
        <f t="array" ref="CS83">INDEX(CR:CR,MIN(IF(ISNUMBER(CR83:CR279),ROW(CR83:CR279),"")))</f>
        <v>6.4</v>
      </c>
      <c r="CT83" s="12">
        <f>IF('Données projet'!$A$140&gt;35,CT82+CS83-DB82,IF(A83&lt;'Données projet'!$A$140,$CQ$205^A83,IF(A83='Données projet'!$A$140,'Données projet'!$B$140,CT82+CS83-DB82)))</f>
        <v>265.00000000000006</v>
      </c>
      <c r="CU83" s="17">
        <f>CT83*VLOOKUP('Données projet'!$B$13,Paramètres!$A$1:$I$89,3,0)*VLOOKUP('Données projet'!$B$13,Paramètres!$A$1:$I$89,5,0)</f>
        <v>177.76200000000003</v>
      </c>
      <c r="CV83" s="13">
        <f t="shared" si="95"/>
        <v>44.82391042079621</v>
      </c>
      <c r="CW83" s="20">
        <f t="shared" si="67"/>
        <v>387.67046064955343</v>
      </c>
      <c r="CX83" s="59">
        <f t="shared" si="68"/>
        <v>658.39907228823949</v>
      </c>
      <c r="CY83" s="59">
        <f ca="1">AVERAGE(OFFSET($CX$3,0,0,'Données projet'!$E$13+1,1))-AVERAGE(OFFSET($H$3,0,0,'Données projet'!$E$13+1,1))</f>
        <v>324.58754156328285</v>
      </c>
      <c r="CZ83" s="59">
        <f t="shared" si="96"/>
        <v>226.01037731977604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43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3.2419787708158794E-9</v>
      </c>
      <c r="DI83" s="22">
        <f t="shared" si="69"/>
        <v>3.2419787708158794E-9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12.124038461538468</v>
      </c>
      <c r="DO83" s="12">
        <f>IF('Données projet'!$A$166&gt;35,DO82+DN83-DW82,IF(A83&lt;'Données projet'!$A$166,$DL$205^A83,IF(A83='Données projet'!$A$166,'Données projet'!$B$166,DO82+DN83-DW82)))</f>
        <v>371.64711538461552</v>
      </c>
      <c r="DP83" s="17">
        <f>DO83*VLOOKUP('Données projet'!$B$14,Paramètres!$A$1:$I$89,3,0)*VLOOKUP('Données projet'!$B$14,Paramètres!$A$1:$I$89,5,0)</f>
        <v>173.93085000000008</v>
      </c>
      <c r="DQ83" s="13">
        <f t="shared" si="97"/>
        <v>43.969228534222836</v>
      </c>
      <c r="DR83" s="20">
        <f t="shared" si="70"/>
        <v>379.50930344710491</v>
      </c>
      <c r="DS83" s="59">
        <f t="shared" si="71"/>
        <v>650.23791508579097</v>
      </c>
      <c r="DT83" s="59">
        <f ca="1">AVERAGE(OFFSET($DS$3,0,0,'Données projet'!$E$14+1,1))-AVERAGE(OFFSET($H$3,0,0,'Données projet'!$E$14+1,1))</f>
        <v>325.93182817189722</v>
      </c>
      <c r="DU83" s="59">
        <f t="shared" si="98"/>
        <v>280.04509991782709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284</v>
      </c>
      <c r="EH83" s="12">
        <f>VLOOKUP(A83,'Données projet'!$A$191:$I$211,9,0)</f>
        <v>3.1</v>
      </c>
      <c r="EI83" s="12">
        <f t="array" ref="EI83">INDEX(EH:EH,MIN(IF(ISNUMBER(EH83:EH279),ROW(EH83:EH279),"")))</f>
        <v>3.1</v>
      </c>
      <c r="EJ83" s="12">
        <f>IF('Données projet'!$A$192&gt;35,EJ82+EI83-ER82,IF(A83&lt;'Données projet'!$A$192,$EG$205^A83,IF(A83='Données projet'!$A$192,'Données projet'!$B$192,EJ82+EI83-ER82)))</f>
        <v>284.00000000000006</v>
      </c>
      <c r="EK83" s="17">
        <f>EJ83*VLOOKUP('Données projet'!$B$15,Paramètres!$A$1:$I$89,3,0)*VLOOKUP('Données projet'!$B$15,Paramètres!$A$1:$I$89,5,0)</f>
        <v>225.95040000000006</v>
      </c>
      <c r="EL83" s="13">
        <f t="shared" si="99"/>
        <v>55.406160129335312</v>
      </c>
      <c r="EM83" s="20">
        <f t="shared" si="73"/>
        <v>490.02934222525914</v>
      </c>
      <c r="EN83" s="59">
        <f t="shared" si="74"/>
        <v>760.7579538639452</v>
      </c>
      <c r="EO83" s="59">
        <f ca="1">AVERAGE(OFFSET($EN$3,0,0,'Données projet'!$E$15+1,1))-AVERAGE(OFFSET($H$3,0,0,'Données projet'!$E$15+1,1))</f>
        <v>333.52903437536651</v>
      </c>
      <c r="EP83" s="59">
        <f t="shared" si="100"/>
        <v>359.47288701414777</v>
      </c>
      <c r="EQ83" s="15">
        <f>IF(ISNA(VLOOKUP(A83,'Données projet'!$A$191:$I$211,3,0)),0,VLOOKUP(A83,'Données projet'!$A$191:$I$211,3,0))</f>
        <v>7</v>
      </c>
      <c r="ER83" s="15">
        <f>IF(ISNA(VLOOKUP(A83,'Données projet'!$A$191:$I$211,4,0)),0,VLOOKUP(A83,'Données projet'!$A$191:$I$211,4,0))</f>
        <v>284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0.94567274159094583</v>
      </c>
      <c r="EX83" s="21">
        <f>EXP(-LN(2)/2)*EX82+(1-EXP(-LN(2)/2))/(LN(2)/2)*ER83*EU83*VLOOKUP('Données projet'!$B$15,Paramètres!$A$1:$I$89,3,0)*0.475*44/12</f>
        <v>7.5154962414368112E-9</v>
      </c>
      <c r="EY83" s="22">
        <f t="shared" si="75"/>
        <v>0.94567274910644206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402.90769230769229</v>
      </c>
      <c r="FC83" s="12">
        <f>VLOOKUP(A83,'Données projet'!$A$217:$I$237,9,0)</f>
        <v>7.5584615384615343</v>
      </c>
      <c r="FD83" s="12">
        <f t="array" ref="FD83">INDEX(FC:FC,MIN(IF(ISNUMBER(FC83:FC279),ROW(FC83:FC279),"")))</f>
        <v>7.5584615384615343</v>
      </c>
      <c r="FE83" s="12">
        <f>IF('Données projet'!$A$218&gt;35,FE82+FD83-FM82,IF(A83&lt;'Données projet'!$A$218,$FB$205^A83,IF(A83='Données projet'!$A$218,'Données projet'!$B$218,FE82+FD83-FM82)))</f>
        <v>402.907692307692</v>
      </c>
      <c r="FF83" s="17">
        <f>FE83*VLOOKUP('Données projet'!$B$16,Paramètres!$A$1:$I$89,3,0)*VLOOKUP('Données projet'!$B$16,Paramètres!$A$1:$I$89,5,0)</f>
        <v>240.93879999999982</v>
      </c>
      <c r="FG83" s="13">
        <f t="shared" si="101"/>
        <v>58.64147195802866</v>
      </c>
      <c r="FH83" s="20">
        <f t="shared" si="76"/>
        <v>521.76897366023286</v>
      </c>
      <c r="FI83" s="59">
        <f t="shared" si="77"/>
        <v>792.49758529891892</v>
      </c>
      <c r="FJ83" s="59">
        <f ca="1">AVERAGE(OFFSET($FI$3,0,0,'Données projet'!$E$16+1,1))-AVERAGE(OFFSET($H$3,0,0,'Données projet'!$E$16+1,1))</f>
        <v>313.26988717307376</v>
      </c>
      <c r="FK83" s="59">
        <f t="shared" si="102"/>
        <v>248.17359813993201</v>
      </c>
      <c r="FL83" s="15">
        <f>IF(ISNA(VLOOKUP(A83,'Données projet'!$A$217:$I$237,3,0)),0,VLOOKUP(A83,'Données projet'!$A$217:$I$237,3,0))</f>
        <v>8</v>
      </c>
      <c r="FM83" s="15">
        <f>IF(ISNA(VLOOKUP(A83,'Données projet'!$A$217:$I$237,4,0)),0,VLOOKUP(A83,'Données projet'!$A$217:$I$237,4,0))</f>
        <v>402.90769230769229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0.86592774977853626</v>
      </c>
      <c r="FR83" s="21">
        <f>EXP(-LN(2)/25)*FR82+(1-EXP(-LN(2)/25))/(LN(2)/25)*Calculateur!FM83*Calculateur!FO83*VLOOKUP('Données projet'!$B$16,Paramètres!$A$1:$I$89,3,0)*0.475*44/12</f>
        <v>1.8848082258229499</v>
      </c>
      <c r="FS83" s="21">
        <f>EXP(-LN(2)/2)*FS82+(1-EXP(-LN(2)/2))/(LN(2)/2)*FM83*FP83*VLOOKUP('Données projet'!$B$16,Paramètres!$A$1:$I$89,3,0)*0.475*44/12</f>
        <v>1.2547658389199798E-7</v>
      </c>
      <c r="FT83" s="22">
        <f t="shared" si="78"/>
        <v>2.7507361010780702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156</v>
      </c>
      <c r="FX83" s="12">
        <f>VLOOKUP(A83,'Données projet'!$A$243:$I$263,9,0)</f>
        <v>3.4</v>
      </c>
      <c r="FY83" s="12">
        <f t="array" ref="FY83">INDEX(FX:FX,MIN(IF(ISNUMBER(FX83:FX279),ROW(FX83:FX279),"")))</f>
        <v>3.4</v>
      </c>
      <c r="FZ83" s="12">
        <f>IF('Données projet'!$A$244&gt;35,FZ82+FY83-GH82,IF(A83&lt;'Données projet'!$A$244,$FW$205^A83,IF(A83='Données projet'!$A$244,'Données projet'!$B$244,FZ82+FY83-GH82)))</f>
        <v>156.00000000000003</v>
      </c>
      <c r="GA83" s="17">
        <f>FZ83*VLOOKUP('Données projet'!$B$17,Paramètres!$A$1:$I$89,3,0)*VLOOKUP('Données projet'!$B$17,Paramètres!$A$1:$I$89,5,0)</f>
        <v>167.91840000000002</v>
      </c>
      <c r="GB83" s="13">
        <f t="shared" si="103"/>
        <v>42.623480667123907</v>
      </c>
      <c r="GC83" s="20">
        <f t="shared" si="79"/>
        <v>366.6937754952408</v>
      </c>
      <c r="GD83" s="59">
        <f t="shared" si="80"/>
        <v>637.42238713392692</v>
      </c>
      <c r="GE83" s="59">
        <f ca="1">AVERAGE(OFFSET($GD$3,0,0,'Données projet'!$E$17+1,1))-AVERAGE(OFFSET($H$3,0,0,'Données projet'!$E$17+1,1))</f>
        <v>313.51355235711543</v>
      </c>
      <c r="GF83" s="59">
        <f t="shared" si="104"/>
        <v>186.0840067781198</v>
      </c>
      <c r="GG83" s="15">
        <f>IF(ISNA(VLOOKUP(A83,'Données projet'!$A$243:$I$263,3,0)),0,VLOOKUP(A83,'Données projet'!$A$243:$I$263,3,0))</f>
        <v>6</v>
      </c>
      <c r="GH83" s="15">
        <f>IF(ISNA(VLOOKUP(A83,'Données projet'!$A$243:$I$263,4,0)),0,VLOOKUP(A83,'Données projet'!$A$243:$I$263,4,0))</f>
        <v>19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0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0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5.7</v>
      </c>
      <c r="N84" s="13">
        <f>IF('Données projet'!$A$36&gt;35,N83+M84-V83,IF(A84&lt;'Données projet'!$A$36,$K$205^A84,IF(A84='Données projet'!$A$36,'Données projet'!$B$36,N83+M84-V83)))</f>
        <v>227.70000000000005</v>
      </c>
      <c r="O84" s="13">
        <f>N84*VLOOKUP('Données projet'!$B$9,Paramètres!$A$1:$I$89,3,0)*VLOOKUP('Données projet'!$B$9,Paramètres!$A$1:$I$89,5,0)</f>
        <v>230.88780000000006</v>
      </c>
      <c r="P84" s="13">
        <f t="shared" si="87"/>
        <v>56.474601584830367</v>
      </c>
      <c r="Q84" s="20">
        <f t="shared" si="54"/>
        <v>500.48951609357965</v>
      </c>
      <c r="R84" s="59">
        <f t="shared" si="55"/>
        <v>771.61026911708109</v>
      </c>
      <c r="S84" s="59">
        <f ca="1">AVERAGE(OFFSET($R$3,0,0,'Données projet'!$E$9+1,1))-AVERAGE(OFFSET($H$3,0,0,'Données projet'!$E$9+1,1))</f>
        <v>452.67426184967104</v>
      </c>
      <c r="T84" s="59">
        <f t="shared" si="88"/>
        <v>310.47823616327639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0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3.9102564102564088</v>
      </c>
      <c r="AI84" s="13">
        <f>IF('Données projet'!$A$62&gt;35,AI83+AH84-AQ83,IF(A84&lt;'Données projet'!$A$62,$AF$205^A84,IF(A84='Données projet'!$A$62,'Données projet'!$B$62,AI83+AH84-AQ83)))</f>
        <v>260.96153846153845</v>
      </c>
      <c r="AJ84" s="13">
        <f>AI84*VLOOKUP('Données projet'!$B$10,Paramètres!$A$1:$I$89,3,0)*VLOOKUP('Données projet'!$B$10,Paramètres!$A$1:$I$89,5,0)</f>
        <v>272.75700000000001</v>
      </c>
      <c r="AK84" s="13">
        <f t="shared" si="89"/>
        <v>65.434027863966435</v>
      </c>
      <c r="AL84" s="20">
        <f t="shared" si="58"/>
        <v>589.0160401964082</v>
      </c>
      <c r="AM84" s="59">
        <f t="shared" si="59"/>
        <v>860.13679321990958</v>
      </c>
      <c r="AN84" s="59">
        <f ca="1">AVERAGE(OFFSET($AM$3,0,0,'Données projet'!$E$10+1,1))-AVERAGE(OFFSET($H$3,0,0,'Données projet'!$E$10+1,1))</f>
        <v>528.45201982036087</v>
      </c>
      <c r="AO84" s="59">
        <f t="shared" si="90"/>
        <v>321.23004033257985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2.0815374669533167E-9</v>
      </c>
      <c r="AX84" s="21">
        <f t="shared" si="60"/>
        <v>2.0815374669533167E-9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3.1</v>
      </c>
      <c r="BD84" s="12">
        <f>IF('Données projet'!$A$88&gt;35,BD83+BC84-BL83,IF(A84&lt;'Données projet'!$A$88,$BA$205^A84,IF(A84='Données projet'!$A$88,'Données projet'!$B$88,BD83+BC84-BL83)))</f>
        <v>140.10000000000002</v>
      </c>
      <c r="BE84" s="13">
        <f>BD84*VLOOKUP('Données projet'!$B$11,Paramètres!$A$1:$I$89,3,0)*VLOOKUP('Données projet'!$B$11,Paramètres!$A$1:$I$89,5,0)</f>
        <v>135.50472000000002</v>
      </c>
      <c r="BF84" s="13">
        <f t="shared" si="91"/>
        <v>35.265252126857767</v>
      </c>
      <c r="BG84" s="20">
        <f t="shared" si="61"/>
        <v>297.42436812094394</v>
      </c>
      <c r="BH84" s="59">
        <f t="shared" si="62"/>
        <v>568.54512114444537</v>
      </c>
      <c r="BI84" s="59">
        <f ca="1">AVERAGE(OFFSET($BH$3,0,0,'Données projet'!$E$11+1,1))-AVERAGE(OFFSET($H$3,0,0,'Données projet'!$E$11+1,1))</f>
        <v>289.06522051625166</v>
      </c>
      <c r="BJ84" s="59">
        <f t="shared" si="92"/>
        <v>173.19148969173838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3.8</v>
      </c>
      <c r="BY84" s="12">
        <f>IF('Données projet'!$A$114&gt;35,BY83+BX84-CG83,IF(A84&lt;'Données projet'!$A$114,$BV$205^A84,IF(A84='Données projet'!$A$114,'Données projet'!$B$114,BY83+BX84-CG83)))</f>
        <v>224.80000000000035</v>
      </c>
      <c r="BZ84" s="13">
        <f>BY84*VLOOKUP('Données projet'!$B$12,Paramètres!$A$1:$I$89,3,0)*VLOOKUP('Données projet'!$B$12,Paramètres!$A$1:$I$89,5,0)</f>
        <v>182.3577600000003</v>
      </c>
      <c r="CA84" s="13">
        <f t="shared" si="93"/>
        <v>45.846346370344527</v>
      </c>
      <c r="CB84" s="20">
        <f t="shared" si="64"/>
        <v>397.45548526168386</v>
      </c>
      <c r="CC84" s="59">
        <f t="shared" si="65"/>
        <v>668.57623828518535</v>
      </c>
      <c r="CD84" s="59">
        <f ca="1">AVERAGE(OFFSET($CC$3,0,0,'Données projet'!$E$12+1,1))-AVERAGE(OFFSET($H$3,0,0,'Données projet'!$E$12+1,1))</f>
        <v>306.06916761900357</v>
      </c>
      <c r="CE84" s="59">
        <f t="shared" si="94"/>
        <v>258.90832875500337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3.7803205817743236E-9</v>
      </c>
      <c r="CN84" s="22">
        <f t="shared" si="66"/>
        <v>3.7803205817743236E-9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5.7</v>
      </c>
      <c r="CT84" s="12">
        <f>IF('Données projet'!$A$140&gt;35,CT83+CS84-DB83,IF(A84&lt;'Données projet'!$A$140,$CQ$205^A84,IF(A84='Données projet'!$A$140,'Données projet'!$B$140,CT83+CS84-DB83)))</f>
        <v>227.70000000000005</v>
      </c>
      <c r="CU84" s="17">
        <f>CT84*VLOOKUP('Données projet'!$B$13,Paramètres!$A$1:$I$89,3,0)*VLOOKUP('Données projet'!$B$13,Paramètres!$A$1:$I$89,5,0)</f>
        <v>152.74116000000004</v>
      </c>
      <c r="CV84" s="13">
        <f t="shared" si="95"/>
        <v>39.200865990968865</v>
      </c>
      <c r="CW84" s="20">
        <f t="shared" si="67"/>
        <v>334.29902860093745</v>
      </c>
      <c r="CX84" s="59">
        <f t="shared" si="68"/>
        <v>605.41978162443888</v>
      </c>
      <c r="CY84" s="59">
        <f ca="1">AVERAGE(OFFSET($CX$3,0,0,'Données projet'!$E$13+1,1))-AVERAGE(OFFSET($H$3,0,0,'Données projet'!$E$13+1,1))</f>
        <v>324.58754156328285</v>
      </c>
      <c r="CZ84" s="59">
        <f t="shared" si="96"/>
        <v>226.01037731977604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2.2924251733067363E-9</v>
      </c>
      <c r="DI84" s="22">
        <f t="shared" si="69"/>
        <v>2.2924251733067363E-9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12.124038461538468</v>
      </c>
      <c r="DO84" s="12">
        <f>IF('Données projet'!$A$166&gt;35,DO83+DN84-DW83,IF(A84&lt;'Données projet'!$A$166,$DL$205^A84,IF(A84='Données projet'!$A$166,'Données projet'!$B$166,DO83+DN84-DW83)))</f>
        <v>383.77115384615399</v>
      </c>
      <c r="DP84" s="17">
        <f>DO84*VLOOKUP('Données projet'!$B$14,Paramètres!$A$1:$I$89,3,0)*VLOOKUP('Données projet'!$B$14,Paramètres!$A$1:$I$89,5,0)</f>
        <v>179.60490000000007</v>
      </c>
      <c r="DQ84" s="13">
        <f t="shared" si="97"/>
        <v>45.234272457213635</v>
      </c>
      <c r="DR84" s="20">
        <f t="shared" si="70"/>
        <v>391.59489202964716</v>
      </c>
      <c r="DS84" s="59">
        <f t="shared" si="71"/>
        <v>662.71564505314859</v>
      </c>
      <c r="DT84" s="59">
        <f ca="1">AVERAGE(OFFSET($DS$3,0,0,'Données projet'!$E$14+1,1))-AVERAGE(OFFSET($H$3,0,0,'Données projet'!$E$14+1,1))</f>
        <v>325.93182817189722</v>
      </c>
      <c r="DU84" s="59">
        <f t="shared" si="98"/>
        <v>280.04509991782709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5.6843418860808015E-14</v>
      </c>
      <c r="EK84" s="17">
        <f>EJ84*VLOOKUP('Données projet'!$B$15,Paramètres!$A$1:$I$89,3,0)*VLOOKUP('Données projet'!$B$15,Paramètres!$A$1:$I$89,5,0)</f>
        <v>4.5224624045658861E-14</v>
      </c>
      <c r="EL84" s="13">
        <f t="shared" si="99"/>
        <v>7.4514601661523691E-13</v>
      </c>
      <c r="EM84" s="20">
        <f t="shared" si="73"/>
        <v>1.3765621991510601E-12</v>
      </c>
      <c r="EN84" s="59">
        <f t="shared" si="74"/>
        <v>271.1207530235028</v>
      </c>
      <c r="EO84" s="59">
        <f ca="1">AVERAGE(OFFSET($EN$3,0,0,'Données projet'!$E$15+1,1))-AVERAGE(OFFSET($H$3,0,0,'Données projet'!$E$15+1,1))</f>
        <v>333.52903437536651</v>
      </c>
      <c r="EP84" s="59">
        <f t="shared" si="100"/>
        <v>359.47288701414777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0.91981327074137331</v>
      </c>
      <c r="EX84" s="21">
        <f>EXP(-LN(2)/2)*EX83+(1-EXP(-LN(2)/2))/(LN(2)/2)*ER84*EU84*VLOOKUP('Données projet'!$B$15,Paramètres!$A$1:$I$89,3,0)*0.475*44/12</f>
        <v>5.3142583563019798E-9</v>
      </c>
      <c r="EY84" s="22">
        <f t="shared" si="75"/>
        <v>0.91981327605563168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-2.8421709430404007E-13</v>
      </c>
      <c r="FF84" s="17">
        <f>FE84*VLOOKUP('Données projet'!$B$16,Paramètres!$A$1:$I$89,3,0)*VLOOKUP('Données projet'!$B$16,Paramètres!$A$1:$I$89,5,0)</f>
        <v>-1.69961822393816E-13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313.26988717307376</v>
      </c>
      <c r="FK84" s="59">
        <f t="shared" si="102"/>
        <v>248.17359813993201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0.84894743476915469</v>
      </c>
      <c r="FR84" s="21">
        <f>EXP(-LN(2)/25)*FR83+(1-EXP(-LN(2)/25))/(LN(2)/25)*Calculateur!FM84*Calculateur!FO84*VLOOKUP('Données projet'!$B$16,Paramètres!$A$1:$I$89,3,0)*0.475*44/12</f>
        <v>1.8332680457700645</v>
      </c>
      <c r="FS84" s="21">
        <f>EXP(-LN(2)/2)*FS83+(1-EXP(-LN(2)/2))/(LN(2)/2)*FM84*FP84*VLOOKUP('Données projet'!$B$16,Paramètres!$A$1:$I$89,3,0)*0.475*44/12</f>
        <v>8.8725343350154496E-8</v>
      </c>
      <c r="FT84" s="22">
        <f t="shared" si="78"/>
        <v>2.6822155692645628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3.1</v>
      </c>
      <c r="FZ84" s="12">
        <f>IF('Données projet'!$A$244&gt;35,FZ83+FY84-GH83,IF(A84&lt;'Données projet'!$A$244,$FW$205^A84,IF(A84='Données projet'!$A$244,'Données projet'!$B$244,FZ83+FY84-GH83)))</f>
        <v>140.10000000000002</v>
      </c>
      <c r="GA84" s="17">
        <f>FZ84*VLOOKUP('Données projet'!$B$17,Paramètres!$A$1:$I$89,3,0)*VLOOKUP('Données projet'!$B$17,Paramètres!$A$1:$I$89,5,0)</f>
        <v>150.80364000000003</v>
      </c>
      <c r="GB84" s="13">
        <f t="shared" si="103"/>
        <v>38.761158861514943</v>
      </c>
      <c r="GC84" s="20">
        <f t="shared" si="79"/>
        <v>330.15869135047194</v>
      </c>
      <c r="GD84" s="59">
        <f t="shared" si="80"/>
        <v>601.27944437397332</v>
      </c>
      <c r="GE84" s="59">
        <f ca="1">AVERAGE(OFFSET($GD$3,0,0,'Données projet'!$E$17+1,1))-AVERAGE(OFFSET($H$3,0,0,'Données projet'!$E$17+1,1))</f>
        <v>313.51355235711543</v>
      </c>
      <c r="GF84" s="59">
        <f t="shared" si="104"/>
        <v>186.0840067781198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0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0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5.7</v>
      </c>
      <c r="N85" s="13">
        <f>IF('Données projet'!$A$36&gt;35,N84+M85-V84,IF(A85&lt;'Données projet'!$A$36,$K$205^A85,IF(A85='Données projet'!$A$36,'Données projet'!$B$36,N84+M85-V84)))</f>
        <v>233.40000000000003</v>
      </c>
      <c r="O85" s="13">
        <f>N85*VLOOKUP('Données projet'!$B$9,Paramètres!$A$1:$I$89,3,0)*VLOOKUP('Données projet'!$B$9,Paramètres!$A$1:$I$89,5,0)</f>
        <v>236.66760000000008</v>
      </c>
      <c r="P85" s="13">
        <f t="shared" si="87"/>
        <v>57.721965974560888</v>
      </c>
      <c r="Q85" s="20">
        <f t="shared" si="54"/>
        <v>512.72849407236038</v>
      </c>
      <c r="R85" s="59">
        <f t="shared" si="55"/>
        <v>784.23458570434741</v>
      </c>
      <c r="S85" s="59">
        <f ca="1">AVERAGE(OFFSET($R$3,0,0,'Données projet'!$E$9+1,1))-AVERAGE(OFFSET($H$3,0,0,'Données projet'!$E$9+1,1))</f>
        <v>452.67426184967104</v>
      </c>
      <c r="T85" s="59">
        <f t="shared" si="88"/>
        <v>310.47823616327639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0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3.9102564102564088</v>
      </c>
      <c r="AI85" s="13">
        <f>IF('Données projet'!$A$62&gt;35,AI84+AH85-AQ84,IF(A85&lt;'Données projet'!$A$62,$AF$205^A85,IF(A85='Données projet'!$A$62,'Données projet'!$B$62,AI84+AH85-AQ84)))</f>
        <v>264.87179487179486</v>
      </c>
      <c r="AJ85" s="13">
        <f>AI85*VLOOKUP('Données projet'!$B$10,Paramètres!$A$1:$I$89,3,0)*VLOOKUP('Données projet'!$B$10,Paramètres!$A$1:$I$89,5,0)</f>
        <v>276.84400000000005</v>
      </c>
      <c r="AK85" s="13">
        <f t="shared" si="89"/>
        <v>66.299615991052789</v>
      </c>
      <c r="AL85" s="20">
        <f t="shared" si="58"/>
        <v>597.64179785108377</v>
      </c>
      <c r="AM85" s="59">
        <f t="shared" si="59"/>
        <v>869.1478894830708</v>
      </c>
      <c r="AN85" s="59">
        <f ca="1">AVERAGE(OFFSET($AM$3,0,0,'Données projet'!$E$10+1,1))-AVERAGE(OFFSET($H$3,0,0,'Données projet'!$E$10+1,1))</f>
        <v>528.45201982036087</v>
      </c>
      <c r="AO85" s="59">
        <f t="shared" si="90"/>
        <v>321.23004033257985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1.4718692581765594E-9</v>
      </c>
      <c r="AX85" s="21">
        <f t="shared" si="60"/>
        <v>1.4718692581765594E-9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3.1</v>
      </c>
      <c r="BD85" s="12">
        <f>IF('Données projet'!$A$88&gt;35,BD84+BC85-BL84,IF(A85&lt;'Données projet'!$A$88,$BA$205^A85,IF(A85='Données projet'!$A$88,'Données projet'!$B$88,BD84+BC85-BL84)))</f>
        <v>143.20000000000002</v>
      </c>
      <c r="BE85" s="13">
        <f>BD85*VLOOKUP('Données projet'!$B$11,Paramètres!$A$1:$I$89,3,0)*VLOOKUP('Données projet'!$B$11,Paramètres!$A$1:$I$89,5,0)</f>
        <v>138.50304000000003</v>
      </c>
      <c r="BF85" s="13">
        <f t="shared" si="91"/>
        <v>35.953858716475033</v>
      </c>
      <c r="BG85" s="20">
        <f t="shared" si="61"/>
        <v>303.84576526452736</v>
      </c>
      <c r="BH85" s="59">
        <f t="shared" si="62"/>
        <v>575.35185689651439</v>
      </c>
      <c r="BI85" s="59">
        <f ca="1">AVERAGE(OFFSET($BH$3,0,0,'Données projet'!$E$11+1,1))-AVERAGE(OFFSET($H$3,0,0,'Données projet'!$E$11+1,1))</f>
        <v>289.06522051625166</v>
      </c>
      <c r="BJ85" s="59">
        <f t="shared" si="92"/>
        <v>173.19148969173838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3.8</v>
      </c>
      <c r="BY85" s="12">
        <f>IF('Données projet'!$A$114&gt;35,BY84+BX85-CG84,IF(A85&lt;'Données projet'!$A$114,$BV$205^A85,IF(A85='Données projet'!$A$114,'Données projet'!$B$114,BY84+BX85-CG84)))</f>
        <v>228.60000000000036</v>
      </c>
      <c r="BZ85" s="13">
        <f>BY85*VLOOKUP('Données projet'!$B$12,Paramètres!$A$1:$I$89,3,0)*VLOOKUP('Données projet'!$B$12,Paramètres!$A$1:$I$89,5,0)</f>
        <v>185.44032000000033</v>
      </c>
      <c r="CA85" s="13">
        <f t="shared" si="93"/>
        <v>46.530451618270206</v>
      </c>
      <c r="CB85" s="20">
        <f t="shared" si="64"/>
        <v>404.01576056848785</v>
      </c>
      <c r="CC85" s="59">
        <f t="shared" si="65"/>
        <v>675.52185220047488</v>
      </c>
      <c r="CD85" s="59">
        <f ca="1">AVERAGE(OFFSET($CC$3,0,0,'Données projet'!$E$12+1,1))-AVERAGE(OFFSET($H$3,0,0,'Données projet'!$E$12+1,1))</f>
        <v>306.06916761900357</v>
      </c>
      <c r="CE85" s="59">
        <f t="shared" si="94"/>
        <v>258.90832875500337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2.6730903184316987E-9</v>
      </c>
      <c r="CN85" s="22">
        <f t="shared" si="66"/>
        <v>2.6730903184316987E-9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5.7</v>
      </c>
      <c r="CT85" s="12">
        <f>IF('Données projet'!$A$140&gt;35,CT84+CS85-DB84,IF(A85&lt;'Données projet'!$A$140,$CQ$205^A85,IF(A85='Données projet'!$A$140,'Données projet'!$B$140,CT84+CS85-DB84)))</f>
        <v>233.40000000000003</v>
      </c>
      <c r="CU85" s="17">
        <f>CT85*VLOOKUP('Données projet'!$B$13,Paramètres!$A$1:$I$89,3,0)*VLOOKUP('Données projet'!$B$13,Paramètres!$A$1:$I$89,5,0)</f>
        <v>156.56472000000002</v>
      </c>
      <c r="CV85" s="13">
        <f t="shared" si="95"/>
        <v>40.066702365401426</v>
      </c>
      <c r="CW85" s="20">
        <f t="shared" si="67"/>
        <v>342.46639395307415</v>
      </c>
      <c r="CX85" s="59">
        <f t="shared" si="68"/>
        <v>613.97248558506112</v>
      </c>
      <c r="CY85" s="59">
        <f ca="1">AVERAGE(OFFSET($CX$3,0,0,'Données projet'!$E$13+1,1))-AVERAGE(OFFSET($H$3,0,0,'Données projet'!$E$13+1,1))</f>
        <v>324.58754156328285</v>
      </c>
      <c r="CZ85" s="59">
        <f t="shared" si="96"/>
        <v>226.01037731977604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1.6209893854079397E-9</v>
      </c>
      <c r="DI85" s="22">
        <f t="shared" si="69"/>
        <v>1.6209893854079397E-9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12.124038461538468</v>
      </c>
      <c r="DO85" s="12">
        <f>IF('Données projet'!$A$166&gt;35,DO84+DN85-DW84,IF(A85&lt;'Données projet'!$A$166,$DL$205^A85,IF(A85='Données projet'!$A$166,'Données projet'!$B$166,DO84+DN85-DW84)))</f>
        <v>395.89519230769247</v>
      </c>
      <c r="DP85" s="17">
        <f>DO85*VLOOKUP('Données projet'!$B$14,Paramètres!$A$1:$I$89,3,0)*VLOOKUP('Données projet'!$B$14,Paramètres!$A$1:$I$89,5,0)</f>
        <v>185.27895000000009</v>
      </c>
      <c r="DQ85" s="13">
        <f t="shared" si="97"/>
        <v>46.494672172616063</v>
      </c>
      <c r="DR85" s="20">
        <f t="shared" si="70"/>
        <v>403.67239195063979</v>
      </c>
      <c r="DS85" s="59">
        <f t="shared" si="71"/>
        <v>675.17848358262677</v>
      </c>
      <c r="DT85" s="59">
        <f ca="1">AVERAGE(OFFSET($DS$3,0,0,'Données projet'!$E$14+1,1))-AVERAGE(OFFSET($H$3,0,0,'Données projet'!$E$14+1,1))</f>
        <v>325.93182817189722</v>
      </c>
      <c r="DU85" s="59">
        <f t="shared" si="98"/>
        <v>280.04509991782709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5.6843418860808015E-14</v>
      </c>
      <c r="EK85" s="17">
        <f>EJ85*VLOOKUP('Données projet'!$B$15,Paramètres!$A$1:$I$89,3,0)*VLOOKUP('Données projet'!$B$15,Paramètres!$A$1:$I$89,5,0)</f>
        <v>4.5224624045658861E-14</v>
      </c>
      <c r="EL85" s="13">
        <f t="shared" si="99"/>
        <v>7.4514601661523691E-13</v>
      </c>
      <c r="EM85" s="20">
        <f t="shared" si="73"/>
        <v>1.3765621991510601E-12</v>
      </c>
      <c r="EN85" s="59">
        <f t="shared" si="74"/>
        <v>271.5060916319884</v>
      </c>
      <c r="EO85" s="59">
        <f ca="1">AVERAGE(OFFSET($EN$3,0,0,'Données projet'!$E$15+1,1))-AVERAGE(OFFSET($H$3,0,0,'Données projet'!$E$15+1,1))</f>
        <v>333.52903437536651</v>
      </c>
      <c r="EP85" s="59">
        <f t="shared" si="100"/>
        <v>359.47288701414777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0.89466092848207279</v>
      </c>
      <c r="EX85" s="21">
        <f>EXP(-LN(2)/2)*EX84+(1-EXP(-LN(2)/2))/(LN(2)/2)*ER85*EU85*VLOOKUP('Données projet'!$B$15,Paramètres!$A$1:$I$89,3,0)*0.475*44/12</f>
        <v>3.7577481207184056E-9</v>
      </c>
      <c r="EY85" s="22">
        <f t="shared" si="75"/>
        <v>0.89466093223982091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-2.8421709430404007E-13</v>
      </c>
      <c r="FF85" s="17">
        <f>FE85*VLOOKUP('Données projet'!$B$16,Paramètres!$A$1:$I$89,3,0)*VLOOKUP('Données projet'!$B$16,Paramètres!$A$1:$I$89,5,0)</f>
        <v>-1.69961822393816E-13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313.26988717307376</v>
      </c>
      <c r="FK85" s="59">
        <f t="shared" si="102"/>
        <v>248.17359813993201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0.83230009338013755</v>
      </c>
      <c r="FR85" s="21">
        <f>EXP(-LN(2)/25)*FR84+(1-EXP(-LN(2)/25))/(LN(2)/25)*Calculateur!FM85*Calculateur!FO85*VLOOKUP('Données projet'!$B$16,Paramètres!$A$1:$I$89,3,0)*0.475*44/12</f>
        <v>1.7831372346511056</v>
      </c>
      <c r="FS85" s="21">
        <f>EXP(-LN(2)/2)*FS84+(1-EXP(-LN(2)/2))/(LN(2)/2)*FM85*FP85*VLOOKUP('Données projet'!$B$16,Paramètres!$A$1:$I$89,3,0)*0.475*44/12</f>
        <v>6.2738291945998992E-8</v>
      </c>
      <c r="FT85" s="22">
        <f t="shared" si="78"/>
        <v>2.615437390769535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3.1</v>
      </c>
      <c r="FZ85" s="12">
        <f>IF('Données projet'!$A$244&gt;35,FZ84+FY85-GH84,IF(A85&lt;'Données projet'!$A$244,$FW$205^A85,IF(A85='Données projet'!$A$244,'Données projet'!$B$244,FZ84+FY85-GH84)))</f>
        <v>143.20000000000002</v>
      </c>
      <c r="GA85" s="17">
        <f>FZ85*VLOOKUP('Données projet'!$B$17,Paramètres!$A$1:$I$89,3,0)*VLOOKUP('Données projet'!$B$17,Paramètres!$A$1:$I$89,5,0)</f>
        <v>154.14048000000003</v>
      </c>
      <c r="GB85" s="13">
        <f t="shared" si="103"/>
        <v>39.518028238691798</v>
      </c>
      <c r="GC85" s="20">
        <f t="shared" si="79"/>
        <v>337.28856851572158</v>
      </c>
      <c r="GD85" s="59">
        <f t="shared" si="80"/>
        <v>608.79466014770856</v>
      </c>
      <c r="GE85" s="59">
        <f ca="1">AVERAGE(OFFSET($GD$3,0,0,'Données projet'!$E$17+1,1))-AVERAGE(OFFSET($H$3,0,0,'Données projet'!$E$17+1,1))</f>
        <v>313.51355235711543</v>
      </c>
      <c r="GF85" s="59">
        <f t="shared" si="104"/>
        <v>186.0840067781198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0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0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5.7</v>
      </c>
      <c r="N86" s="13">
        <f>IF('Données projet'!$A$36&gt;35,N85+M86-V85,IF(A86&lt;'Données projet'!$A$36,$K$205^A86,IF(A86='Données projet'!$A$36,'Données projet'!$B$36,N85+M86-V85)))</f>
        <v>239.10000000000002</v>
      </c>
      <c r="O86" s="13">
        <f>N86*VLOOKUP('Données projet'!$B$9,Paramètres!$A$1:$I$89,3,0)*VLOOKUP('Données projet'!$B$9,Paramètres!$A$1:$I$89,5,0)</f>
        <v>242.44740000000004</v>
      </c>
      <c r="P86" s="13">
        <f t="shared" si="87"/>
        <v>58.965789177629553</v>
      </c>
      <c r="Q86" s="20">
        <f t="shared" si="54"/>
        <v>524.96130448437145</v>
      </c>
      <c r="R86" s="59">
        <f t="shared" si="55"/>
        <v>796.84604996147493</v>
      </c>
      <c r="S86" s="59">
        <f ca="1">AVERAGE(OFFSET($R$3,0,0,'Données projet'!$E$9+1,1))-AVERAGE(OFFSET($H$3,0,0,'Données projet'!$E$9+1,1))</f>
        <v>452.67426184967104</v>
      </c>
      <c r="T86" s="59">
        <f t="shared" si="88"/>
        <v>310.47823616327639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0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3.9102564102564088</v>
      </c>
      <c r="AI86" s="13">
        <f>IF('Données projet'!$A$62&gt;35,AI85+AH86-AQ85,IF(A86&lt;'Données projet'!$A$62,$AF$205^A86,IF(A86='Données projet'!$A$62,'Données projet'!$B$62,AI85+AH86-AQ85)))</f>
        <v>268.78205128205127</v>
      </c>
      <c r="AJ86" s="13">
        <f>AI86*VLOOKUP('Données projet'!$B$10,Paramètres!$A$1:$I$89,3,0)*VLOOKUP('Données projet'!$B$10,Paramètres!$A$1:$I$89,5,0)</f>
        <v>280.93099999999998</v>
      </c>
      <c r="AK86" s="13">
        <f t="shared" si="89"/>
        <v>67.163717917709832</v>
      </c>
      <c r="AL86" s="20">
        <f t="shared" si="58"/>
        <v>606.26496704001136</v>
      </c>
      <c r="AM86" s="59">
        <f t="shared" si="59"/>
        <v>878.14971251711484</v>
      </c>
      <c r="AN86" s="59">
        <f ca="1">AVERAGE(OFFSET($AM$3,0,0,'Données projet'!$E$10+1,1))-AVERAGE(OFFSET($H$3,0,0,'Données projet'!$E$10+1,1))</f>
        <v>528.45201982036087</v>
      </c>
      <c r="AO86" s="59">
        <f t="shared" si="90"/>
        <v>321.23004033257985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1.0407687334766584E-9</v>
      </c>
      <c r="AX86" s="21">
        <f t="shared" si="60"/>
        <v>1.0407687334766584E-9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3.1</v>
      </c>
      <c r="BD86" s="12">
        <f>IF('Données projet'!$A$88&gt;35,BD85+BC86-BL85,IF(A86&lt;'Données projet'!$A$88,$BA$205^A86,IF(A86='Données projet'!$A$88,'Données projet'!$B$88,BD85+BC86-BL85)))</f>
        <v>146.30000000000001</v>
      </c>
      <c r="BE86" s="13">
        <f>BD86*VLOOKUP('Données projet'!$B$11,Paramètres!$A$1:$I$89,3,0)*VLOOKUP('Données projet'!$B$11,Paramètres!$A$1:$I$89,5,0)</f>
        <v>141.50136000000001</v>
      </c>
      <c r="BF86" s="13">
        <f t="shared" si="91"/>
        <v>36.64073217415028</v>
      </c>
      <c r="BG86" s="20">
        <f t="shared" si="61"/>
        <v>310.2641438699784</v>
      </c>
      <c r="BH86" s="59">
        <f t="shared" si="62"/>
        <v>582.14888934708188</v>
      </c>
      <c r="BI86" s="59">
        <f ca="1">AVERAGE(OFFSET($BH$3,0,0,'Données projet'!$E$11+1,1))-AVERAGE(OFFSET($H$3,0,0,'Données projet'!$E$11+1,1))</f>
        <v>289.06522051625166</v>
      </c>
      <c r="BJ86" s="59">
        <f t="shared" si="92"/>
        <v>173.19148969173838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3.8</v>
      </c>
      <c r="BY86" s="12">
        <f>IF('Données projet'!$A$114&gt;35,BY85+BX86-CG85,IF(A86&lt;'Données projet'!$A$114,$BV$205^A86,IF(A86='Données projet'!$A$114,'Données projet'!$B$114,BY85+BX86-CG85)))</f>
        <v>232.40000000000038</v>
      </c>
      <c r="BZ86" s="13">
        <f>BY86*VLOOKUP('Données projet'!$B$12,Paramètres!$A$1:$I$89,3,0)*VLOOKUP('Données projet'!$B$12,Paramètres!$A$1:$I$89,5,0)</f>
        <v>188.52288000000033</v>
      </c>
      <c r="CA86" s="13">
        <f t="shared" si="93"/>
        <v>47.213234400769387</v>
      </c>
      <c r="CB86" s="20">
        <f t="shared" si="64"/>
        <v>410.57373258134049</v>
      </c>
      <c r="CC86" s="59">
        <f t="shared" si="65"/>
        <v>682.45847805844392</v>
      </c>
      <c r="CD86" s="59">
        <f ca="1">AVERAGE(OFFSET($CC$3,0,0,'Données projet'!$E$12+1,1))-AVERAGE(OFFSET($H$3,0,0,'Données projet'!$E$12+1,1))</f>
        <v>306.06916761900357</v>
      </c>
      <c r="CE86" s="59">
        <f t="shared" si="94"/>
        <v>258.90832875500337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1.8901602908871618E-9</v>
      </c>
      <c r="CN86" s="22">
        <f t="shared" si="66"/>
        <v>1.8901602908871618E-9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5.7</v>
      </c>
      <c r="CT86" s="12">
        <f>IF('Données projet'!$A$140&gt;35,CT85+CS86-DB85,IF(A86&lt;'Données projet'!$A$140,$CQ$205^A86,IF(A86='Données projet'!$A$140,'Données projet'!$B$140,CT85+CS86-DB85)))</f>
        <v>239.10000000000002</v>
      </c>
      <c r="CU86" s="17">
        <f>CT86*VLOOKUP('Données projet'!$B$13,Paramètres!$A$1:$I$89,3,0)*VLOOKUP('Données projet'!$B$13,Paramètres!$A$1:$I$89,5,0)</f>
        <v>160.38828000000001</v>
      </c>
      <c r="CV86" s="13">
        <f t="shared" si="95"/>
        <v>40.930080686481062</v>
      </c>
      <c r="CW86" s="20">
        <f t="shared" si="67"/>
        <v>350.62947819562123</v>
      </c>
      <c r="CX86" s="59">
        <f t="shared" si="68"/>
        <v>622.51422367272471</v>
      </c>
      <c r="CY86" s="59">
        <f ca="1">AVERAGE(OFFSET($CX$3,0,0,'Données projet'!$E$13+1,1))-AVERAGE(OFFSET($H$3,0,0,'Données projet'!$E$13+1,1))</f>
        <v>324.58754156328285</v>
      </c>
      <c r="CZ86" s="59">
        <f t="shared" si="96"/>
        <v>226.01037731977604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1.1462125866533681E-9</v>
      </c>
      <c r="DI86" s="22">
        <f t="shared" si="69"/>
        <v>1.1462125866533681E-9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12.124038461538468</v>
      </c>
      <c r="DO86" s="12">
        <f>IF('Données projet'!$A$166&gt;35,DO85+DN86-DW85,IF(A86&lt;'Données projet'!$A$166,$DL$205^A86,IF(A86='Données projet'!$A$166,'Données projet'!$B$166,DO85+DN86-DW85)))</f>
        <v>408.01923076923094</v>
      </c>
      <c r="DP86" s="17">
        <f>DO86*VLOOKUP('Données projet'!$B$14,Paramètres!$A$1:$I$89,3,0)*VLOOKUP('Données projet'!$B$14,Paramètres!$A$1:$I$89,5,0)</f>
        <v>190.95300000000006</v>
      </c>
      <c r="DQ86" s="13">
        <f t="shared" si="97"/>
        <v>47.750586229034354</v>
      </c>
      <c r="DR86" s="20">
        <f t="shared" si="70"/>
        <v>415.7420793489016</v>
      </c>
      <c r="DS86" s="59">
        <f t="shared" si="71"/>
        <v>687.62682482600508</v>
      </c>
      <c r="DT86" s="59">
        <f ca="1">AVERAGE(OFFSET($DS$3,0,0,'Données projet'!$E$14+1,1))-AVERAGE(OFFSET($H$3,0,0,'Données projet'!$E$14+1,1))</f>
        <v>325.93182817189722</v>
      </c>
      <c r="DU86" s="59">
        <f t="shared" si="98"/>
        <v>280.04509991782709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5.6843418860808015E-14</v>
      </c>
      <c r="EK86" s="17">
        <f>EJ86*VLOOKUP('Données projet'!$B$15,Paramètres!$A$1:$I$89,3,0)*VLOOKUP('Données projet'!$B$15,Paramètres!$A$1:$I$89,5,0)</f>
        <v>4.5224624045658861E-14</v>
      </c>
      <c r="EL86" s="13">
        <f t="shared" si="99"/>
        <v>7.4514601661523691E-13</v>
      </c>
      <c r="EM86" s="20">
        <f t="shared" si="73"/>
        <v>1.3765621991510601E-12</v>
      </c>
      <c r="EN86" s="59">
        <f t="shared" si="74"/>
        <v>271.88474547710484</v>
      </c>
      <c r="EO86" s="59">
        <f ca="1">AVERAGE(OFFSET($EN$3,0,0,'Données projet'!$E$15+1,1))-AVERAGE(OFFSET($H$3,0,0,'Données projet'!$E$15+1,1))</f>
        <v>333.52903437536651</v>
      </c>
      <c r="EP86" s="59">
        <f t="shared" si="100"/>
        <v>359.47288701414777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0.8701963783445571</v>
      </c>
      <c r="EX86" s="21">
        <f>EXP(-LN(2)/2)*EX85+(1-EXP(-LN(2)/2))/(LN(2)/2)*ER86*EU86*VLOOKUP('Données projet'!$B$15,Paramètres!$A$1:$I$89,3,0)*0.475*44/12</f>
        <v>2.6571291781509899E-9</v>
      </c>
      <c r="EY86" s="22">
        <f t="shared" si="75"/>
        <v>0.87019638100168628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-2.8421709430404007E-13</v>
      </c>
      <c r="FF86" s="17">
        <f>FE86*VLOOKUP('Données projet'!$B$16,Paramètres!$A$1:$I$89,3,0)*VLOOKUP('Données projet'!$B$16,Paramètres!$A$1:$I$89,5,0)</f>
        <v>-1.69961822393816E-13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313.26988717307376</v>
      </c>
      <c r="FK86" s="59">
        <f t="shared" si="102"/>
        <v>248.17359813993201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0.81597919620188342</v>
      </c>
      <c r="FR86" s="21">
        <f>EXP(-LN(2)/25)*FR85+(1-EXP(-LN(2)/25))/(LN(2)/25)*Calculateur!FM86*Calculateur!FO86*VLOOKUP('Données projet'!$B$16,Paramètres!$A$1:$I$89,3,0)*0.475*44/12</f>
        <v>1.7343772531984594</v>
      </c>
      <c r="FS86" s="21">
        <f>EXP(-LN(2)/2)*FS85+(1-EXP(-LN(2)/2))/(LN(2)/2)*FM86*FP86*VLOOKUP('Données projet'!$B$16,Paramètres!$A$1:$I$89,3,0)*0.475*44/12</f>
        <v>4.4362671675077248E-8</v>
      </c>
      <c r="FT86" s="22">
        <f t="shared" si="78"/>
        <v>2.5503564937630143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3.1</v>
      </c>
      <c r="FZ86" s="12">
        <f>IF('Données projet'!$A$244&gt;35,FZ85+FY86-GH85,IF(A86&lt;'Données projet'!$A$244,$FW$205^A86,IF(A86='Données projet'!$A$244,'Données projet'!$B$244,FZ85+FY86-GH85)))</f>
        <v>146.30000000000001</v>
      </c>
      <c r="GA86" s="17">
        <f>FZ86*VLOOKUP('Données projet'!$B$17,Paramètres!$A$1:$I$89,3,0)*VLOOKUP('Données projet'!$B$17,Paramètres!$A$1:$I$89,5,0)</f>
        <v>157.47732000000002</v>
      </c>
      <c r="GB86" s="13">
        <f t="shared" si="103"/>
        <v>40.272992675495914</v>
      </c>
      <c r="GC86" s="20">
        <f t="shared" si="79"/>
        <v>344.4151279098221</v>
      </c>
      <c r="GD86" s="59">
        <f t="shared" si="80"/>
        <v>616.29987338692558</v>
      </c>
      <c r="GE86" s="59">
        <f ca="1">AVERAGE(OFFSET($GD$3,0,0,'Données projet'!$E$17+1,1))-AVERAGE(OFFSET($H$3,0,0,'Données projet'!$E$17+1,1))</f>
        <v>313.51355235711543</v>
      </c>
      <c r="GF86" s="59">
        <f t="shared" si="104"/>
        <v>186.0840067781198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0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0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5.7</v>
      </c>
      <c r="N87" s="13">
        <f>IF('Données projet'!$A$36&gt;35,N86+M87-V86,IF(A87&lt;'Données projet'!$A$36,$K$205^A87,IF(A87='Données projet'!$A$36,'Données projet'!$B$36,N86+M87-V86)))</f>
        <v>244.8</v>
      </c>
      <c r="O87" s="13">
        <f>N87*VLOOKUP('Données projet'!$B$9,Paramètres!$A$1:$I$89,3,0)*VLOOKUP('Données projet'!$B$9,Paramètres!$A$1:$I$89,5,0)</f>
        <v>248.22720000000001</v>
      </c>
      <c r="P87" s="13">
        <f t="shared" si="87"/>
        <v>60.20616532763993</v>
      </c>
      <c r="Q87" s="20">
        <f t="shared" si="54"/>
        <v>537.18811127897277</v>
      </c>
      <c r="R87" s="59">
        <f t="shared" si="55"/>
        <v>809.44494180352308</v>
      </c>
      <c r="S87" s="59">
        <f ca="1">AVERAGE(OFFSET($R$3,0,0,'Données projet'!$E$9+1,1))-AVERAGE(OFFSET($H$3,0,0,'Données projet'!$E$9+1,1))</f>
        <v>452.67426184967104</v>
      </c>
      <c r="T87" s="59">
        <f t="shared" si="88"/>
        <v>310.47823616327639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0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3.9102564102564088</v>
      </c>
      <c r="AI87" s="13">
        <f>IF('Données projet'!$A$62&gt;35,AI86+AH87-AQ86,IF(A87&lt;'Données projet'!$A$62,$AF$205^A87,IF(A87='Données projet'!$A$62,'Données projet'!$B$62,AI86+AH87-AQ86)))</f>
        <v>272.69230769230768</v>
      </c>
      <c r="AJ87" s="13">
        <f>AI87*VLOOKUP('Données projet'!$B$10,Paramètres!$A$1:$I$89,3,0)*VLOOKUP('Données projet'!$B$10,Paramètres!$A$1:$I$89,5,0)</f>
        <v>285.01799999999997</v>
      </c>
      <c r="AK87" s="13">
        <f t="shared" si="89"/>
        <v>68.02635776327412</v>
      </c>
      <c r="AL87" s="20">
        <f t="shared" si="58"/>
        <v>614.88558977103571</v>
      </c>
      <c r="AM87" s="59">
        <f t="shared" si="59"/>
        <v>887.14242029558602</v>
      </c>
      <c r="AN87" s="59">
        <f ca="1">AVERAGE(OFFSET($AM$3,0,0,'Données projet'!$E$10+1,1))-AVERAGE(OFFSET($H$3,0,0,'Données projet'!$E$10+1,1))</f>
        <v>528.45201982036087</v>
      </c>
      <c r="AO87" s="59">
        <f t="shared" si="90"/>
        <v>321.23004033257985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7.3593462908827968E-10</v>
      </c>
      <c r="AX87" s="21">
        <f t="shared" si="60"/>
        <v>7.3593462908827968E-10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3.1</v>
      </c>
      <c r="BD87" s="12">
        <f>IF('Données projet'!$A$88&gt;35,BD86+BC87-BL86,IF(A87&lt;'Données projet'!$A$88,$BA$205^A87,IF(A87='Données projet'!$A$88,'Données projet'!$B$88,BD86+BC87-BL86)))</f>
        <v>149.4</v>
      </c>
      <c r="BE87" s="13">
        <f>BD87*VLOOKUP('Données projet'!$B$11,Paramètres!$A$1:$I$89,3,0)*VLOOKUP('Données projet'!$B$11,Paramètres!$A$1:$I$89,5,0)</f>
        <v>144.49968000000001</v>
      </c>
      <c r="BF87" s="13">
        <f t="shared" si="91"/>
        <v>37.325913454134138</v>
      </c>
      <c r="BG87" s="20">
        <f t="shared" si="61"/>
        <v>316.67957526595029</v>
      </c>
      <c r="BH87" s="59">
        <f t="shared" si="62"/>
        <v>588.93640579050066</v>
      </c>
      <c r="BI87" s="59">
        <f ca="1">AVERAGE(OFFSET($BH$3,0,0,'Données projet'!$E$11+1,1))-AVERAGE(OFFSET($H$3,0,0,'Données projet'!$E$11+1,1))</f>
        <v>289.06522051625166</v>
      </c>
      <c r="BJ87" s="59">
        <f t="shared" si="92"/>
        <v>173.19148969173838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3.8</v>
      </c>
      <c r="BY87" s="12">
        <f>IF('Données projet'!$A$114&gt;35,BY86+BX87-CG86,IF(A87&lt;'Données projet'!$A$114,$BV$205^A87,IF(A87='Données projet'!$A$114,'Données projet'!$B$114,BY86+BX87-CG86)))</f>
        <v>236.20000000000039</v>
      </c>
      <c r="BZ87" s="13">
        <f>BY87*VLOOKUP('Données projet'!$B$12,Paramètres!$A$1:$I$89,3,0)*VLOOKUP('Données projet'!$B$12,Paramètres!$A$1:$I$89,5,0)</f>
        <v>191.60544000000033</v>
      </c>
      <c r="CA87" s="13">
        <f t="shared" si="93"/>
        <v>47.894718837847243</v>
      </c>
      <c r="CB87" s="20">
        <f t="shared" si="64"/>
        <v>417.1294433092512</v>
      </c>
      <c r="CC87" s="59">
        <f t="shared" si="65"/>
        <v>689.38627383380151</v>
      </c>
      <c r="CD87" s="59">
        <f ca="1">AVERAGE(OFFSET($CC$3,0,0,'Données projet'!$E$12+1,1))-AVERAGE(OFFSET($H$3,0,0,'Données projet'!$E$12+1,1))</f>
        <v>306.06916761900357</v>
      </c>
      <c r="CE87" s="59">
        <f t="shared" si="94"/>
        <v>258.90832875500337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1.3365451592158494E-9</v>
      </c>
      <c r="CN87" s="22">
        <f t="shared" si="66"/>
        <v>1.3365451592158494E-9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5.7</v>
      </c>
      <c r="CT87" s="12">
        <f>IF('Données projet'!$A$140&gt;35,CT86+CS87-DB86,IF(A87&lt;'Données projet'!$A$140,$CQ$205^A87,IF(A87='Données projet'!$A$140,'Données projet'!$B$140,CT86+CS87-DB86)))</f>
        <v>244.8</v>
      </c>
      <c r="CU87" s="17">
        <f>CT87*VLOOKUP('Données projet'!$B$13,Paramètres!$A$1:$I$89,3,0)*VLOOKUP('Données projet'!$B$13,Paramètres!$A$1:$I$89,5,0)</f>
        <v>164.21184000000002</v>
      </c>
      <c r="CV87" s="13">
        <f t="shared" si="95"/>
        <v>41.791066295417416</v>
      </c>
      <c r="CW87" s="20">
        <f t="shared" si="67"/>
        <v>358.78839513118533</v>
      </c>
      <c r="CX87" s="59">
        <f t="shared" si="68"/>
        <v>631.04522565573563</v>
      </c>
      <c r="CY87" s="59">
        <f ca="1">AVERAGE(OFFSET($CX$3,0,0,'Données projet'!$E$13+1,1))-AVERAGE(OFFSET($H$3,0,0,'Données projet'!$E$13+1,1))</f>
        <v>324.58754156328285</v>
      </c>
      <c r="CZ87" s="59">
        <f t="shared" si="96"/>
        <v>226.01037731977604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8.1049469270396984E-10</v>
      </c>
      <c r="DI87" s="22">
        <f t="shared" si="69"/>
        <v>8.1049469270396984E-10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12.124038461538468</v>
      </c>
      <c r="DO87" s="12">
        <f>IF('Données projet'!$A$166&gt;35,DO86+DN87-DW86,IF(A87&lt;'Données projet'!$A$166,$DL$205^A87,IF(A87='Données projet'!$A$166,'Données projet'!$B$166,DO86+DN87-DW86)))</f>
        <v>420.14326923076942</v>
      </c>
      <c r="DP87" s="17">
        <f>DO87*VLOOKUP('Données projet'!$B$14,Paramètres!$A$1:$I$89,3,0)*VLOOKUP('Données projet'!$B$14,Paramètres!$A$1:$I$89,5,0)</f>
        <v>196.62705000000008</v>
      </c>
      <c r="DQ87" s="13">
        <f t="shared" si="97"/>
        <v>49.002163217129386</v>
      </c>
      <c r="DR87" s="20">
        <f t="shared" si="70"/>
        <v>427.80421301983375</v>
      </c>
      <c r="DS87" s="59">
        <f t="shared" si="71"/>
        <v>700.06104354438412</v>
      </c>
      <c r="DT87" s="59">
        <f ca="1">AVERAGE(OFFSET($DS$3,0,0,'Données projet'!$E$14+1,1))-AVERAGE(OFFSET($H$3,0,0,'Données projet'!$E$14+1,1))</f>
        <v>325.93182817189722</v>
      </c>
      <c r="DU87" s="59">
        <f t="shared" si="98"/>
        <v>280.04509991782709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0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5.6843418860808015E-14</v>
      </c>
      <c r="EK87" s="17">
        <f>EJ87*VLOOKUP('Données projet'!$B$15,Paramètres!$A$1:$I$89,3,0)*VLOOKUP('Données projet'!$B$15,Paramètres!$A$1:$I$89,5,0)</f>
        <v>4.5224624045658861E-14</v>
      </c>
      <c r="EL87" s="13">
        <f t="shared" si="99"/>
        <v>7.4514601661523691E-13</v>
      </c>
      <c r="EM87" s="20">
        <f t="shared" si="73"/>
        <v>1.3765621991510601E-12</v>
      </c>
      <c r="EN87" s="59">
        <f t="shared" si="74"/>
        <v>272.25683052455167</v>
      </c>
      <c r="EO87" s="59">
        <f ca="1">AVERAGE(OFFSET($EN$3,0,0,'Données projet'!$E$15+1,1))-AVERAGE(OFFSET($H$3,0,0,'Données projet'!$E$15+1,1))</f>
        <v>333.52903437536651</v>
      </c>
      <c r="EP87" s="59">
        <f t="shared" si="100"/>
        <v>359.47288701414777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0.84640081261708655</v>
      </c>
      <c r="EX87" s="21">
        <f>EXP(-LN(2)/2)*EX86+(1-EXP(-LN(2)/2))/(LN(2)/2)*ER87*EU87*VLOOKUP('Données projet'!$B$15,Paramètres!$A$1:$I$89,3,0)*0.475*44/12</f>
        <v>1.8788740603592028E-9</v>
      </c>
      <c r="EY87" s="22">
        <f t="shared" si="75"/>
        <v>0.84640081449596061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-2.8421709430404007E-13</v>
      </c>
      <c r="FF87" s="17">
        <f>FE87*VLOOKUP('Données projet'!$B$16,Paramètres!$A$1:$I$89,3,0)*VLOOKUP('Données projet'!$B$16,Paramètres!$A$1:$I$89,5,0)</f>
        <v>-1.69961822393816E-13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313.26988717307376</v>
      </c>
      <c r="FK87" s="59">
        <f t="shared" si="102"/>
        <v>248.17359813993201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0.79997834186253058</v>
      </c>
      <c r="FR87" s="21">
        <f>EXP(-LN(2)/25)*FR86+(1-EXP(-LN(2)/25))/(LN(2)/25)*Calculateur!FM87*Calculateur!FO87*VLOOKUP('Données projet'!$B$16,Paramètres!$A$1:$I$89,3,0)*0.475*44/12</f>
        <v>1.6869506160028118</v>
      </c>
      <c r="FS87" s="21">
        <f>EXP(-LN(2)/2)*FS86+(1-EXP(-LN(2)/2))/(LN(2)/2)*FM87*FP87*VLOOKUP('Données projet'!$B$16,Paramètres!$A$1:$I$89,3,0)*0.475*44/12</f>
        <v>3.1369145972999496E-8</v>
      </c>
      <c r="FT87" s="22">
        <f t="shared" si="78"/>
        <v>2.4869289892344884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3.1</v>
      </c>
      <c r="FZ87" s="12">
        <f>IF('Données projet'!$A$244&gt;35,FZ86+FY87-GH86,IF(A87&lt;'Données projet'!$A$244,$FW$205^A87,IF(A87='Données projet'!$A$244,'Données projet'!$B$244,FZ86+FY87-GH86)))</f>
        <v>149.4</v>
      </c>
      <c r="GA87" s="17">
        <f>FZ87*VLOOKUP('Données projet'!$B$17,Paramètres!$A$1:$I$89,3,0)*VLOOKUP('Données projet'!$B$17,Paramètres!$A$1:$I$89,5,0)</f>
        <v>160.81416000000002</v>
      </c>
      <c r="GB87" s="13">
        <f t="shared" si="103"/>
        <v>41.026097186045085</v>
      </c>
      <c r="GC87" s="20">
        <f t="shared" si="79"/>
        <v>351.53844793236186</v>
      </c>
      <c r="GD87" s="59">
        <f t="shared" si="80"/>
        <v>623.79527845691223</v>
      </c>
      <c r="GE87" s="59">
        <f ca="1">AVERAGE(OFFSET($GD$3,0,0,'Données projet'!$E$17+1,1))-AVERAGE(OFFSET($H$3,0,0,'Données projet'!$E$17+1,1))</f>
        <v>313.51355235711543</v>
      </c>
      <c r="GF87" s="59">
        <f t="shared" si="104"/>
        <v>186.0840067781198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0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0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5.7</v>
      </c>
      <c r="N88" s="13">
        <f>IF('Données projet'!$A$36&gt;35,N87+M88-V87,IF(A88&lt;'Données projet'!$A$36,$K$205^A88,IF(A88='Données projet'!$A$36,'Données projet'!$B$36,N87+M88-V87)))</f>
        <v>250.5</v>
      </c>
      <c r="O88" s="13">
        <f>N88*VLOOKUP('Données projet'!$B$9,Paramètres!$A$1:$I$89,3,0)*VLOOKUP('Données projet'!$B$9,Paramètres!$A$1:$I$89,5,0)</f>
        <v>254.00700000000003</v>
      </c>
      <c r="P88" s="13">
        <f t="shared" si="87"/>
        <v>61.443183924413695</v>
      </c>
      <c r="Q88" s="20">
        <f t="shared" si="54"/>
        <v>549.4090703350206</v>
      </c>
      <c r="R88" s="59">
        <f t="shared" si="55"/>
        <v>822.03153106330205</v>
      </c>
      <c r="S88" s="59">
        <f ca="1">AVERAGE(OFFSET($R$3,0,0,'Données projet'!$E$9+1,1))-AVERAGE(OFFSET($H$3,0,0,'Données projet'!$E$9+1,1))</f>
        <v>452.67426184967104</v>
      </c>
      <c r="T88" s="59">
        <f t="shared" si="88"/>
        <v>310.47823616327639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0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3.9102564102564088</v>
      </c>
      <c r="AI88" s="13">
        <f>IF('Données projet'!$A$62&gt;35,AI87+AH88-AQ87,IF(A88&lt;'Données projet'!$A$62,$AF$205^A88,IF(A88='Données projet'!$A$62,'Données projet'!$B$62,AI87+AH88-AQ87)))</f>
        <v>276.60256410256409</v>
      </c>
      <c r="AJ88" s="13">
        <f>AI88*VLOOKUP('Données projet'!$B$10,Paramètres!$A$1:$I$89,3,0)*VLOOKUP('Données projet'!$B$10,Paramètres!$A$1:$I$89,5,0)</f>
        <v>289.10500000000002</v>
      </c>
      <c r="AK88" s="13">
        <f t="shared" si="89"/>
        <v>68.887558915644561</v>
      </c>
      <c r="AL88" s="20">
        <f t="shared" si="58"/>
        <v>623.50370677808098</v>
      </c>
      <c r="AM88" s="59">
        <f t="shared" si="59"/>
        <v>896.12616750636244</v>
      </c>
      <c r="AN88" s="59">
        <f ca="1">AVERAGE(OFFSET($AM$3,0,0,'Données projet'!$E$10+1,1))-AVERAGE(OFFSET($H$3,0,0,'Données projet'!$E$10+1,1))</f>
        <v>528.45201982036087</v>
      </c>
      <c r="AO88" s="59">
        <f t="shared" si="90"/>
        <v>321.23004033257985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5.2038436673832918E-10</v>
      </c>
      <c r="AX88" s="21">
        <f t="shared" si="60"/>
        <v>5.2038436673832918E-10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3.1</v>
      </c>
      <c r="BD88" s="12">
        <f>IF('Données projet'!$A$88&gt;35,BD87+BC88-BL87,IF(A88&lt;'Données projet'!$A$88,$BA$205^A88,IF(A88='Données projet'!$A$88,'Données projet'!$B$88,BD87+BC88-BL87)))</f>
        <v>152.5</v>
      </c>
      <c r="BE88" s="13">
        <f>BD88*VLOOKUP('Données projet'!$B$11,Paramètres!$A$1:$I$89,3,0)*VLOOKUP('Données projet'!$B$11,Paramètres!$A$1:$I$89,5,0)</f>
        <v>147.49799999999999</v>
      </c>
      <c r="BF88" s="13">
        <f t="shared" si="91"/>
        <v>38.009441713971249</v>
      </c>
      <c r="BG88" s="20">
        <f t="shared" si="61"/>
        <v>323.09212765183327</v>
      </c>
      <c r="BH88" s="59">
        <f t="shared" si="62"/>
        <v>595.71458838011472</v>
      </c>
      <c r="BI88" s="59">
        <f ca="1">AVERAGE(OFFSET($BH$3,0,0,'Données projet'!$E$11+1,1))-AVERAGE(OFFSET($H$3,0,0,'Données projet'!$E$11+1,1))</f>
        <v>289.06522051625166</v>
      </c>
      <c r="BJ88" s="59">
        <f t="shared" si="92"/>
        <v>173.19148969173838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3.8</v>
      </c>
      <c r="BY88" s="12">
        <f>IF('Données projet'!$A$114&gt;35,BY87+BX88-CG87,IF(A88&lt;'Données projet'!$A$114,$BV$205^A88,IF(A88='Données projet'!$A$114,'Données projet'!$B$114,BY87+BX88-CG87)))</f>
        <v>240.0000000000004</v>
      </c>
      <c r="BZ88" s="13">
        <f>BY88*VLOOKUP('Données projet'!$B$12,Paramètres!$A$1:$I$89,3,0)*VLOOKUP('Données projet'!$B$12,Paramètres!$A$1:$I$89,5,0)</f>
        <v>194.68800000000033</v>
      </c>
      <c r="CA88" s="13">
        <f t="shared" si="93"/>
        <v>48.57492822891507</v>
      </c>
      <c r="CB88" s="20">
        <f t="shared" si="64"/>
        <v>423.68293333202763</v>
      </c>
      <c r="CC88" s="59">
        <f t="shared" si="65"/>
        <v>696.30539406030914</v>
      </c>
      <c r="CD88" s="59">
        <f ca="1">AVERAGE(OFFSET($CC$3,0,0,'Données projet'!$E$12+1,1))-AVERAGE(OFFSET($H$3,0,0,'Données projet'!$E$12+1,1))</f>
        <v>306.06916761900357</v>
      </c>
      <c r="CE88" s="59">
        <f t="shared" si="94"/>
        <v>258.90832875500337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9.4508014544358091E-10</v>
      </c>
      <c r="CN88" s="22">
        <f t="shared" si="66"/>
        <v>9.4508014544358091E-10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5.7</v>
      </c>
      <c r="CT88" s="12">
        <f>IF('Données projet'!$A$140&gt;35,CT87+CS88-DB87,IF(A88&lt;'Données projet'!$A$140,$CQ$205^A88,IF(A88='Données projet'!$A$140,'Données projet'!$B$140,CT87+CS88-DB87)))</f>
        <v>250.5</v>
      </c>
      <c r="CU88" s="17">
        <f>CT88*VLOOKUP('Données projet'!$B$13,Paramètres!$A$1:$I$89,3,0)*VLOOKUP('Données projet'!$B$13,Paramètres!$A$1:$I$89,5,0)</f>
        <v>168.03540000000001</v>
      </c>
      <c r="CV88" s="13">
        <f t="shared" si="95"/>
        <v>42.649721316960552</v>
      </c>
      <c r="CW88" s="20">
        <f t="shared" si="67"/>
        <v>366.94325296037294</v>
      </c>
      <c r="CX88" s="59">
        <f t="shared" si="68"/>
        <v>639.56571368865445</v>
      </c>
      <c r="CY88" s="59">
        <f ca="1">AVERAGE(OFFSET($CX$3,0,0,'Données projet'!$E$13+1,1))-AVERAGE(OFFSET($H$3,0,0,'Données projet'!$E$13+1,1))</f>
        <v>324.58754156328285</v>
      </c>
      <c r="CZ88" s="59">
        <f t="shared" si="96"/>
        <v>226.01037731977604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5.7310629332668407E-10</v>
      </c>
      <c r="DI88" s="22">
        <f t="shared" si="69"/>
        <v>5.7310629332668407E-10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12.124038461538468</v>
      </c>
      <c r="DO88" s="12">
        <f>IF('Données projet'!$A$166&gt;35,DO87+DN88-DW87,IF(A88&lt;'Données projet'!$A$166,$DL$205^A88,IF(A88='Données projet'!$A$166,'Données projet'!$B$166,DO87+DN88-DW87)))</f>
        <v>432.2673076923079</v>
      </c>
      <c r="DP88" s="17">
        <f>DO88*VLOOKUP('Données projet'!$B$14,Paramètres!$A$1:$I$89,3,0)*VLOOKUP('Données projet'!$B$14,Paramètres!$A$1:$I$89,5,0)</f>
        <v>202.3011000000001</v>
      </c>
      <c r="DQ88" s="13">
        <f t="shared" si="97"/>
        <v>50.249542664134772</v>
      </c>
      <c r="DR88" s="20">
        <f t="shared" si="70"/>
        <v>439.85903597336824</v>
      </c>
      <c r="DS88" s="59">
        <f t="shared" si="71"/>
        <v>712.4814967016498</v>
      </c>
      <c r="DT88" s="59">
        <f ca="1">AVERAGE(OFFSET($DS$3,0,0,'Données projet'!$E$14+1,1))-AVERAGE(OFFSET($H$3,0,0,'Données projet'!$E$14+1,1))</f>
        <v>325.93182817189722</v>
      </c>
      <c r="DU88" s="59">
        <f t="shared" si="98"/>
        <v>280.04509991782709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0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5.6843418860808015E-14</v>
      </c>
      <c r="EK88" s="17">
        <f>EJ88*VLOOKUP('Données projet'!$B$15,Paramètres!$A$1:$I$89,3,0)*VLOOKUP('Données projet'!$B$15,Paramètres!$A$1:$I$89,5,0)</f>
        <v>4.5224624045658861E-14</v>
      </c>
      <c r="EL88" s="13">
        <f t="shared" si="99"/>
        <v>7.4514601661523691E-13</v>
      </c>
      <c r="EM88" s="20">
        <f t="shared" si="73"/>
        <v>1.3765621991510601E-12</v>
      </c>
      <c r="EN88" s="59">
        <f t="shared" si="74"/>
        <v>272.62246072828287</v>
      </c>
      <c r="EO88" s="59">
        <f ca="1">AVERAGE(OFFSET($EN$3,0,0,'Données projet'!$E$15+1,1))-AVERAGE(OFFSET($H$3,0,0,'Données projet'!$E$15+1,1))</f>
        <v>333.52903437536651</v>
      </c>
      <c r="EP88" s="59">
        <f t="shared" si="100"/>
        <v>359.47288701414777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0.8232559378857881</v>
      </c>
      <c r="EX88" s="21">
        <f>EXP(-LN(2)/2)*EX87+(1-EXP(-LN(2)/2))/(LN(2)/2)*ER88*EU88*VLOOKUP('Données projet'!$B$15,Paramètres!$A$1:$I$89,3,0)*0.475*44/12</f>
        <v>1.328564589075495E-9</v>
      </c>
      <c r="EY88" s="22">
        <f t="shared" si="75"/>
        <v>0.82325593921435269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-2.8421709430404007E-13</v>
      </c>
      <c r="FF88" s="17">
        <f>FE88*VLOOKUP('Données projet'!$B$16,Paramètres!$A$1:$I$89,3,0)*VLOOKUP('Données projet'!$B$16,Paramètres!$A$1:$I$89,5,0)</f>
        <v>-1.69961822393816E-13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313.26988717307376</v>
      </c>
      <c r="FK88" s="59">
        <f t="shared" si="102"/>
        <v>248.17359813993201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0.78429125451721493</v>
      </c>
      <c r="FR88" s="21">
        <f>EXP(-LN(2)/25)*FR87+(1-EXP(-LN(2)/25))/(LN(2)/25)*Calculateur!FM88*Calculateur!FO88*VLOOKUP('Données projet'!$B$16,Paramètres!$A$1:$I$89,3,0)*0.475*44/12</f>
        <v>1.6408208626953376</v>
      </c>
      <c r="FS88" s="21">
        <f>EXP(-LN(2)/2)*FS87+(1-EXP(-LN(2)/2))/(LN(2)/2)*FM88*FP88*VLOOKUP('Données projet'!$B$16,Paramètres!$A$1:$I$89,3,0)*0.475*44/12</f>
        <v>2.2181335837538624E-8</v>
      </c>
      <c r="FT88" s="22">
        <f t="shared" si="78"/>
        <v>2.4251121393938884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3.1</v>
      </c>
      <c r="FZ88" s="12">
        <f>IF('Données projet'!$A$244&gt;35,FZ87+FY88-GH87,IF(A88&lt;'Données projet'!$A$244,$FW$205^A88,IF(A88='Données projet'!$A$244,'Données projet'!$B$244,FZ87+FY88-GH87)))</f>
        <v>152.5</v>
      </c>
      <c r="GA88" s="17">
        <f>FZ88*VLOOKUP('Données projet'!$B$17,Paramètres!$A$1:$I$89,3,0)*VLOOKUP('Données projet'!$B$17,Paramètres!$A$1:$I$89,5,0)</f>
        <v>164.15100000000001</v>
      </c>
      <c r="GB88" s="13">
        <f t="shared" si="103"/>
        <v>41.777384809640523</v>
      </c>
      <c r="GC88" s="20">
        <f t="shared" si="79"/>
        <v>358.65860354345728</v>
      </c>
      <c r="GD88" s="59">
        <f t="shared" si="80"/>
        <v>631.28106427173884</v>
      </c>
      <c r="GE88" s="59">
        <f ca="1">AVERAGE(OFFSET($GD$3,0,0,'Données projet'!$E$17+1,1))-AVERAGE(OFFSET($H$3,0,0,'Données projet'!$E$17+1,1))</f>
        <v>313.51355235711543</v>
      </c>
      <c r="GF88" s="59">
        <f t="shared" si="104"/>
        <v>186.0840067781198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0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0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5.7</v>
      </c>
      <c r="N89" s="13">
        <f>IF('Données projet'!$A$36&gt;35,N88+M89-V88,IF(A89&lt;'Données projet'!$A$36,$K$205^A89,IF(A89='Données projet'!$A$36,'Données projet'!$B$36,N88+M89-V88)))</f>
        <v>256.2</v>
      </c>
      <c r="O89" s="13">
        <f>N89*VLOOKUP('Données projet'!$B$9,Paramètres!$A$1:$I$89,3,0)*VLOOKUP('Données projet'!$B$9,Paramètres!$A$1:$I$89,5,0)</f>
        <v>259.78680000000003</v>
      </c>
      <c r="P89" s="13">
        <f t="shared" si="87"/>
        <v>62.676930162260739</v>
      </c>
      <c r="Q89" s="20">
        <f t="shared" si="54"/>
        <v>561.62433003260412</v>
      </c>
      <c r="R89" s="59">
        <f t="shared" si="55"/>
        <v>834.60607809800877</v>
      </c>
      <c r="S89" s="59">
        <f ca="1">AVERAGE(OFFSET($R$3,0,0,'Données projet'!$E$9+1,1))-AVERAGE(OFFSET($H$3,0,0,'Données projet'!$E$9+1,1))</f>
        <v>452.67426184967104</v>
      </c>
      <c r="T89" s="59">
        <f t="shared" si="88"/>
        <v>310.47823616327639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0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3.9102564102564088</v>
      </c>
      <c r="AI89" s="13">
        <f>IF('Données projet'!$A$62&gt;35,AI88+AH89-AQ88,IF(A89&lt;'Données projet'!$A$62,$AF$205^A89,IF(A89='Données projet'!$A$62,'Données projet'!$B$62,AI88+AH89-AQ88)))</f>
        <v>280.5128205128205</v>
      </c>
      <c r="AJ89" s="13">
        <f>AI89*VLOOKUP('Données projet'!$B$10,Paramètres!$A$1:$I$89,3,0)*VLOOKUP('Données projet'!$B$10,Paramètres!$A$1:$I$89,5,0)</f>
        <v>293.19200000000001</v>
      </c>
      <c r="AK89" s="13">
        <f t="shared" si="89"/>
        <v>69.74734406348378</v>
      </c>
      <c r="AL89" s="20">
        <f t="shared" si="58"/>
        <v>632.11935757723415</v>
      </c>
      <c r="AM89" s="59">
        <f t="shared" si="59"/>
        <v>905.10110564263891</v>
      </c>
      <c r="AN89" s="59">
        <f ca="1">AVERAGE(OFFSET($AM$3,0,0,'Données projet'!$E$10+1,1))-AVERAGE(OFFSET($H$3,0,0,'Données projet'!$E$10+1,1))</f>
        <v>528.45201982036087</v>
      </c>
      <c r="AO89" s="59">
        <f t="shared" si="90"/>
        <v>321.23004033257985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3.6796731454413984E-10</v>
      </c>
      <c r="AX89" s="21">
        <f t="shared" si="60"/>
        <v>3.6796731454413984E-10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3.1</v>
      </c>
      <c r="BD89" s="12">
        <f>IF('Données projet'!$A$88&gt;35,BD88+BC89-BL88,IF(A89&lt;'Données projet'!$A$88,$BA$205^A89,IF(A89='Données projet'!$A$88,'Données projet'!$B$88,BD88+BC89-BL88)))</f>
        <v>155.6</v>
      </c>
      <c r="BE89" s="13">
        <f>BD89*VLOOKUP('Données projet'!$B$11,Paramètres!$A$1:$I$89,3,0)*VLOOKUP('Données projet'!$B$11,Paramètres!$A$1:$I$89,5,0)</f>
        <v>150.49632</v>
      </c>
      <c r="BF89" s="13">
        <f t="shared" si="91"/>
        <v>38.691354428217871</v>
      </c>
      <c r="BG89" s="20">
        <f t="shared" si="61"/>
        <v>329.50186629581282</v>
      </c>
      <c r="BH89" s="59">
        <f t="shared" si="62"/>
        <v>602.48361436121752</v>
      </c>
      <c r="BI89" s="59">
        <f ca="1">AVERAGE(OFFSET($BH$3,0,0,'Données projet'!$E$11+1,1))-AVERAGE(OFFSET($H$3,0,0,'Données projet'!$E$11+1,1))</f>
        <v>289.06522051625166</v>
      </c>
      <c r="BJ89" s="59">
        <f t="shared" si="92"/>
        <v>173.19148969173838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3.8</v>
      </c>
      <c r="BY89" s="12">
        <f>IF('Données projet'!$A$114&gt;35,BY88+BX89-CG88,IF(A89&lt;'Données projet'!$A$114,$BV$205^A89,IF(A89='Données projet'!$A$114,'Données projet'!$B$114,BY88+BX89-CG88)))</f>
        <v>243.80000000000041</v>
      </c>
      <c r="BZ89" s="13">
        <f>BY89*VLOOKUP('Données projet'!$B$12,Paramètres!$A$1:$I$89,3,0)*VLOOKUP('Données projet'!$B$12,Paramètres!$A$1:$I$89,5,0)</f>
        <v>197.77056000000036</v>
      </c>
      <c r="CA89" s="13">
        <f t="shared" si="93"/>
        <v>49.253885093250339</v>
      </c>
      <c r="CB89" s="20">
        <f t="shared" si="64"/>
        <v>430.23424187074494</v>
      </c>
      <c r="CC89" s="59">
        <f t="shared" si="65"/>
        <v>703.21598993614964</v>
      </c>
      <c r="CD89" s="59">
        <f ca="1">AVERAGE(OFFSET($CC$3,0,0,'Données projet'!$E$12+1,1))-AVERAGE(OFFSET($H$3,0,0,'Données projet'!$E$12+1,1))</f>
        <v>306.06916761900357</v>
      </c>
      <c r="CE89" s="59">
        <f t="shared" si="94"/>
        <v>258.90832875500337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6.6827257960792469E-10</v>
      </c>
      <c r="CN89" s="22">
        <f t="shared" si="66"/>
        <v>6.6827257960792469E-10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5.7</v>
      </c>
      <c r="CT89" s="12">
        <f>IF('Données projet'!$A$140&gt;35,CT88+CS89-DB88,IF(A89&lt;'Données projet'!$A$140,$CQ$205^A89,IF(A89='Données projet'!$A$140,'Données projet'!$B$140,CT88+CS89-DB88)))</f>
        <v>256.2</v>
      </c>
      <c r="CU89" s="17">
        <f>CT89*VLOOKUP('Données projet'!$B$13,Paramètres!$A$1:$I$89,3,0)*VLOOKUP('Données projet'!$B$13,Paramètres!$A$1:$I$89,5,0)</f>
        <v>171.85896</v>
      </c>
      <c r="CV89" s="13">
        <f t="shared" si="95"/>
        <v>43.506104887264392</v>
      </c>
      <c r="CW89" s="20">
        <f t="shared" si="67"/>
        <v>375.09415467865216</v>
      </c>
      <c r="CX89" s="59">
        <f t="shared" si="68"/>
        <v>648.07590274405686</v>
      </c>
      <c r="CY89" s="59">
        <f ca="1">AVERAGE(OFFSET($CX$3,0,0,'Données projet'!$E$13+1,1))-AVERAGE(OFFSET($H$3,0,0,'Données projet'!$E$13+1,1))</f>
        <v>324.58754156328285</v>
      </c>
      <c r="CZ89" s="59">
        <f t="shared" si="96"/>
        <v>226.01037731977604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4.0524734635198492E-10</v>
      </c>
      <c r="DI89" s="22">
        <f t="shared" si="69"/>
        <v>4.0524734635198492E-10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12.124038461538468</v>
      </c>
      <c r="DO89" s="12">
        <f>IF('Données projet'!$A$166&gt;35,DO88+DN89-DW88,IF(A89&lt;'Données projet'!$A$166,$DL$205^A89,IF(A89='Données projet'!$A$166,'Données projet'!$B$166,DO88+DN89-DW88)))</f>
        <v>444.39134615384637</v>
      </c>
      <c r="DP89" s="17">
        <f>DO89*VLOOKUP('Données projet'!$B$14,Paramètres!$A$1:$I$89,3,0)*VLOOKUP('Données projet'!$B$14,Paramètres!$A$1:$I$89,5,0)</f>
        <v>207.9751500000001</v>
      </c>
      <c r="DQ89" s="13">
        <f t="shared" si="97"/>
        <v>51.492855825196166</v>
      </c>
      <c r="DR89" s="20">
        <f t="shared" si="70"/>
        <v>451.90677681221678</v>
      </c>
      <c r="DS89" s="59">
        <f t="shared" si="71"/>
        <v>724.88852487762142</v>
      </c>
      <c r="DT89" s="59">
        <f ca="1">AVERAGE(OFFSET($DS$3,0,0,'Données projet'!$E$14+1,1))-AVERAGE(OFFSET($H$3,0,0,'Données projet'!$E$14+1,1))</f>
        <v>325.93182817189722</v>
      </c>
      <c r="DU89" s="59">
        <f t="shared" si="98"/>
        <v>280.04509991782709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0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5.6843418860808015E-14</v>
      </c>
      <c r="EK89" s="17">
        <f>EJ89*VLOOKUP('Données projet'!$B$15,Paramètres!$A$1:$I$89,3,0)*VLOOKUP('Données projet'!$B$15,Paramètres!$A$1:$I$89,5,0)</f>
        <v>4.5224624045658861E-14</v>
      </c>
      <c r="EL89" s="13">
        <f t="shared" si="99"/>
        <v>7.4514601661523691E-13</v>
      </c>
      <c r="EM89" s="20">
        <f t="shared" si="73"/>
        <v>1.3765621991510601E-12</v>
      </c>
      <c r="EN89" s="59">
        <f t="shared" si="74"/>
        <v>272.98174806540607</v>
      </c>
      <c r="EO89" s="59">
        <f ca="1">AVERAGE(OFFSET($EN$3,0,0,'Données projet'!$E$15+1,1))-AVERAGE(OFFSET($H$3,0,0,'Données projet'!$E$15+1,1))</f>
        <v>333.52903437536651</v>
      </c>
      <c r="EP89" s="59">
        <f t="shared" si="100"/>
        <v>359.47288701414777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0.80074396097115308</v>
      </c>
      <c r="EX89" s="21">
        <f>EXP(-LN(2)/2)*EX88+(1-EXP(-LN(2)/2))/(LN(2)/2)*ER89*EU89*VLOOKUP('Données projet'!$B$15,Paramètres!$A$1:$I$89,3,0)*0.475*44/12</f>
        <v>9.394370301796014E-10</v>
      </c>
      <c r="EY89" s="22">
        <f t="shared" si="75"/>
        <v>0.80074396191059016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-2.8421709430404007E-13</v>
      </c>
      <c r="FF89" s="17">
        <f>FE89*VLOOKUP('Données projet'!$B$16,Paramètres!$A$1:$I$89,3,0)*VLOOKUP('Données projet'!$B$16,Paramètres!$A$1:$I$89,5,0)</f>
        <v>-1.69961822393816E-13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313.26988717307376</v>
      </c>
      <c r="FK89" s="59">
        <f t="shared" si="102"/>
        <v>248.17359813993201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0.76891178138656247</v>
      </c>
      <c r="FR89" s="21">
        <f>EXP(-LN(2)/25)*FR88+(1-EXP(-LN(2)/25))/(LN(2)/25)*Calculateur!FM89*Calculateur!FO89*VLOOKUP('Données projet'!$B$16,Paramètres!$A$1:$I$89,3,0)*0.475*44/12</f>
        <v>1.5959525299179145</v>
      </c>
      <c r="FS89" s="21">
        <f>EXP(-LN(2)/2)*FS88+(1-EXP(-LN(2)/2))/(LN(2)/2)*FM89*FP89*VLOOKUP('Données projet'!$B$16,Paramètres!$A$1:$I$89,3,0)*0.475*44/12</f>
        <v>1.5684572986499748E-8</v>
      </c>
      <c r="FT89" s="22">
        <f t="shared" si="78"/>
        <v>2.3648643269890504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3.1</v>
      </c>
      <c r="FZ89" s="12">
        <f>IF('Données projet'!$A$244&gt;35,FZ88+FY89-GH88,IF(A89&lt;'Données projet'!$A$244,$FW$205^A89,IF(A89='Données projet'!$A$244,'Données projet'!$B$244,FZ88+FY89-GH88)))</f>
        <v>155.6</v>
      </c>
      <c r="GA89" s="17">
        <f>FZ89*VLOOKUP('Données projet'!$B$17,Paramètres!$A$1:$I$89,3,0)*VLOOKUP('Données projet'!$B$17,Paramètres!$A$1:$I$89,5,0)</f>
        <v>167.48783999999998</v>
      </c>
      <c r="GB89" s="13">
        <f t="shared" si="103"/>
        <v>42.526896735757454</v>
      </c>
      <c r="GC89" s="20">
        <f t="shared" si="79"/>
        <v>365.77566648144415</v>
      </c>
      <c r="GD89" s="59">
        <f t="shared" si="80"/>
        <v>638.75741454684885</v>
      </c>
      <c r="GE89" s="59">
        <f ca="1">AVERAGE(OFFSET($GD$3,0,0,'Données projet'!$E$17+1,1))-AVERAGE(OFFSET($H$3,0,0,'Données projet'!$E$17+1,1))</f>
        <v>313.51355235711543</v>
      </c>
      <c r="GF89" s="59">
        <f t="shared" si="104"/>
        <v>186.0840067781198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0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0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5.7</v>
      </c>
      <c r="N90" s="13">
        <f>IF('Données projet'!$A$36&gt;35,N89+M90-V89,IF(A90&lt;'Données projet'!$A$36,$K$205^A90,IF(A90='Données projet'!$A$36,'Données projet'!$B$36,N89+M90-V89)))</f>
        <v>261.89999999999998</v>
      </c>
      <c r="O90" s="13">
        <f>N90*VLOOKUP('Données projet'!$B$9,Paramètres!$A$1:$I$89,3,0)*VLOOKUP('Données projet'!$B$9,Paramètres!$A$1:$I$89,5,0)</f>
        <v>265.56659999999999</v>
      </c>
      <c r="P90" s="13">
        <f t="shared" si="87"/>
        <v>63.907485228212046</v>
      </c>
      <c r="Q90" s="20">
        <f t="shared" si="54"/>
        <v>573.8340317724693</v>
      </c>
      <c r="R90" s="59">
        <f t="shared" si="55"/>
        <v>847.16883434294414</v>
      </c>
      <c r="S90" s="59">
        <f ca="1">AVERAGE(OFFSET($R$3,0,0,'Données projet'!$E$9+1,1))-AVERAGE(OFFSET($H$3,0,0,'Données projet'!$E$9+1,1))</f>
        <v>452.67426184967104</v>
      </c>
      <c r="T90" s="59">
        <f t="shared" si="88"/>
        <v>310.47823616327639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0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3.9102564102564088</v>
      </c>
      <c r="AI90" s="13">
        <f>IF('Données projet'!$A$62&gt;35,AI89+AH90-AQ89,IF(A90&lt;'Données projet'!$A$62,$AF$205^A90,IF(A90='Données projet'!$A$62,'Données projet'!$B$62,AI89+AH90-AQ89)))</f>
        <v>284.42307692307691</v>
      </c>
      <c r="AJ90" s="13">
        <f>AI90*VLOOKUP('Données projet'!$B$10,Paramètres!$A$1:$I$89,3,0)*VLOOKUP('Données projet'!$B$10,Paramètres!$A$1:$I$89,5,0)</f>
        <v>297.279</v>
      </c>
      <c r="AK90" s="13">
        <f t="shared" si="89"/>
        <v>70.605735226573543</v>
      </c>
      <c r="AL90" s="20">
        <f t="shared" si="58"/>
        <v>640.73258051961557</v>
      </c>
      <c r="AM90" s="59">
        <f t="shared" si="59"/>
        <v>914.0673830900904</v>
      </c>
      <c r="AN90" s="59">
        <f ca="1">AVERAGE(OFFSET($AM$3,0,0,'Données projet'!$E$10+1,1))-AVERAGE(OFFSET($H$3,0,0,'Données projet'!$E$10+1,1))</f>
        <v>528.45201982036087</v>
      </c>
      <c r="AO90" s="59">
        <f t="shared" si="90"/>
        <v>321.23004033257985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2.6019218336916459E-10</v>
      </c>
      <c r="AX90" s="21">
        <f t="shared" si="60"/>
        <v>2.6019218336916459E-10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3.1</v>
      </c>
      <c r="BD90" s="12">
        <f>IF('Données projet'!$A$88&gt;35,BD89+BC90-BL89,IF(A90&lt;'Données projet'!$A$88,$BA$205^A90,IF(A90='Données projet'!$A$88,'Données projet'!$B$88,BD89+BC90-BL89)))</f>
        <v>158.69999999999999</v>
      </c>
      <c r="BE90" s="13">
        <f>BD90*VLOOKUP('Données projet'!$B$11,Paramètres!$A$1:$I$89,3,0)*VLOOKUP('Données projet'!$B$11,Paramètres!$A$1:$I$89,5,0)</f>
        <v>153.49464</v>
      </c>
      <c r="BF90" s="13">
        <f t="shared" si="91"/>
        <v>39.371687492841382</v>
      </c>
      <c r="BG90" s="20">
        <f t="shared" si="61"/>
        <v>335.90885371669873</v>
      </c>
      <c r="BH90" s="59">
        <f t="shared" si="62"/>
        <v>609.24365628717351</v>
      </c>
      <c r="BI90" s="59">
        <f ca="1">AVERAGE(OFFSET($BH$3,0,0,'Données projet'!$E$11+1,1))-AVERAGE(OFFSET($H$3,0,0,'Données projet'!$E$11+1,1))</f>
        <v>289.06522051625166</v>
      </c>
      <c r="BJ90" s="59">
        <f t="shared" si="92"/>
        <v>173.19148969173838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3.8</v>
      </c>
      <c r="BY90" s="12">
        <f>IF('Données projet'!$A$114&gt;35,BY89+BX90-CG89,IF(A90&lt;'Données projet'!$A$114,$BV$205^A90,IF(A90='Données projet'!$A$114,'Données projet'!$B$114,BY89+BX90-CG89)))</f>
        <v>247.60000000000042</v>
      </c>
      <c r="BZ90" s="13">
        <f>BY90*VLOOKUP('Données projet'!$B$12,Paramètres!$A$1:$I$89,3,0)*VLOOKUP('Données projet'!$B$12,Paramètres!$A$1:$I$89,5,0)</f>
        <v>200.85312000000039</v>
      </c>
      <c r="CA90" s="13">
        <f t="shared" si="93"/>
        <v>49.931611207862531</v>
      </c>
      <c r="CB90" s="20">
        <f t="shared" si="64"/>
        <v>436.78340685369454</v>
      </c>
      <c r="CC90" s="59">
        <f t="shared" si="65"/>
        <v>710.11820942416944</v>
      </c>
      <c r="CD90" s="59">
        <f ca="1">AVERAGE(OFFSET($CC$3,0,0,'Données projet'!$E$12+1,1))-AVERAGE(OFFSET($H$3,0,0,'Données projet'!$E$12+1,1))</f>
        <v>306.06916761900357</v>
      </c>
      <c r="CE90" s="59">
        <f t="shared" si="94"/>
        <v>258.90832875500337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4.7254007272179046E-10</v>
      </c>
      <c r="CN90" s="22">
        <f t="shared" si="66"/>
        <v>4.7254007272179046E-10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5.7</v>
      </c>
      <c r="CT90" s="12">
        <f>IF('Données projet'!$A$140&gt;35,CT89+CS90-DB89,IF(A90&lt;'Données projet'!$A$140,$CQ$205^A90,IF(A90='Données projet'!$A$140,'Données projet'!$B$140,CT89+CS90-DB89)))</f>
        <v>261.89999999999998</v>
      </c>
      <c r="CU90" s="17">
        <f>CT90*VLOOKUP('Données projet'!$B$13,Paramètres!$A$1:$I$89,3,0)*VLOOKUP('Données projet'!$B$13,Paramètres!$A$1:$I$89,5,0)</f>
        <v>175.68251999999998</v>
      </c>
      <c r="CV90" s="13">
        <f t="shared" si="95"/>
        <v>44.360273360899534</v>
      </c>
      <c r="CW90" s="20">
        <f t="shared" si="67"/>
        <v>383.24119843689999</v>
      </c>
      <c r="CX90" s="59">
        <f t="shared" si="68"/>
        <v>656.57600100737477</v>
      </c>
      <c r="CY90" s="59">
        <f ca="1">AVERAGE(OFFSET($CX$3,0,0,'Données projet'!$E$13+1,1))-AVERAGE(OFFSET($H$3,0,0,'Données projet'!$E$13+1,1))</f>
        <v>324.58754156328285</v>
      </c>
      <c r="CZ90" s="59">
        <f t="shared" si="96"/>
        <v>226.01037731977604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2.8655314666334204E-10</v>
      </c>
      <c r="DI90" s="22">
        <f t="shared" si="69"/>
        <v>2.8655314666334204E-10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>
        <f>VLOOKUP(A90,'Données projet'!$A$165:$I$185,2,0)</f>
        <v>456.51538461538462</v>
      </c>
      <c r="DM90" s="12">
        <f>VLOOKUP(A90,'Données projet'!$A$165:$I$185,9,0)</f>
        <v>12.124038461538468</v>
      </c>
      <c r="DN90" s="12">
        <f t="array" ref="DN90">INDEX(DM:DM,MIN(IF(ISNUMBER(DM90:DM286),ROW(DM90:DM286),"")))</f>
        <v>12.124038461538468</v>
      </c>
      <c r="DO90" s="12">
        <f>IF('Données projet'!$A$166&gt;35,DO89+DN90-DW89,IF(A90&lt;'Données projet'!$A$166,$DL$205^A90,IF(A90='Données projet'!$A$166,'Données projet'!$B$166,DO89+DN90-DW89)))</f>
        <v>456.51538461538485</v>
      </c>
      <c r="DP90" s="17">
        <f>DO90*VLOOKUP('Données projet'!$B$14,Paramètres!$A$1:$I$89,3,0)*VLOOKUP('Données projet'!$B$14,Paramètres!$A$1:$I$89,5,0)</f>
        <v>213.64920000000012</v>
      </c>
      <c r="DQ90" s="13">
        <f t="shared" si="97"/>
        <v>52.732226385923781</v>
      </c>
      <c r="DR90" s="20">
        <f t="shared" si="70"/>
        <v>463.94765095548405</v>
      </c>
      <c r="DS90" s="59">
        <f t="shared" si="71"/>
        <v>737.28245352595889</v>
      </c>
      <c r="DT90" s="59">
        <f ca="1">AVERAGE(OFFSET($DS$3,0,0,'Données projet'!$E$14+1,1))-AVERAGE(OFFSET($H$3,0,0,'Données projet'!$E$14+1,1))</f>
        <v>325.93182817189722</v>
      </c>
      <c r="DU90" s="59">
        <f t="shared" si="98"/>
        <v>280.04509991782709</v>
      </c>
      <c r="DV90" s="15">
        <f>IF(ISNA(VLOOKUP(A90,'Données projet'!$A$165:$I$185,3,0)),0,VLOOKUP(A90,'Données projet'!$A$165:$I$185,3,0))</f>
        <v>7</v>
      </c>
      <c r="DW90" s="15">
        <f>IF(ISNA(VLOOKUP(A90,'Données projet'!$A$165:$I$185,4,0)),0,VLOOKUP(A90,'Données projet'!$A$165:$I$185,4,0))</f>
        <v>77.330769230769235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0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5.6843418860808015E-14</v>
      </c>
      <c r="EK90" s="17">
        <f>EJ90*VLOOKUP('Données projet'!$B$15,Paramètres!$A$1:$I$89,3,0)*VLOOKUP('Données projet'!$B$15,Paramètres!$A$1:$I$89,5,0)</f>
        <v>4.5224624045658861E-14</v>
      </c>
      <c r="EL90" s="13">
        <f t="shared" si="99"/>
        <v>7.4514601661523691E-13</v>
      </c>
      <c r="EM90" s="20">
        <f t="shared" si="73"/>
        <v>1.3765621991510601E-12</v>
      </c>
      <c r="EN90" s="59">
        <f t="shared" si="74"/>
        <v>273.3348025704762</v>
      </c>
      <c r="EO90" s="59">
        <f ca="1">AVERAGE(OFFSET($EN$3,0,0,'Données projet'!$E$15+1,1))-AVERAGE(OFFSET($H$3,0,0,'Données projet'!$E$15+1,1))</f>
        <v>333.52903437536651</v>
      </c>
      <c r="EP90" s="59">
        <f t="shared" si="100"/>
        <v>359.47288701414777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0.77884757524910209</v>
      </c>
      <c r="EX90" s="21">
        <f>EXP(-LN(2)/2)*EX89+(1-EXP(-LN(2)/2))/(LN(2)/2)*ER90*EU90*VLOOKUP('Données projet'!$B$15,Paramètres!$A$1:$I$89,3,0)*0.475*44/12</f>
        <v>6.6428229453774748E-10</v>
      </c>
      <c r="EY90" s="22">
        <f t="shared" si="75"/>
        <v>0.77884757591338438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-2.8421709430404007E-13</v>
      </c>
      <c r="FF90" s="17">
        <f>FE90*VLOOKUP('Données projet'!$B$16,Paramètres!$A$1:$I$89,3,0)*VLOOKUP('Données projet'!$B$16,Paramètres!$A$1:$I$89,5,0)</f>
        <v>-1.69961822393816E-13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313.26988717307376</v>
      </c>
      <c r="FK90" s="59">
        <f t="shared" si="102"/>
        <v>248.17359813993201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0.75383389034344972</v>
      </c>
      <c r="FR90" s="21">
        <f>EXP(-LN(2)/25)*FR89+(1-EXP(-LN(2)/25))/(LN(2)/25)*Calculateur!FM90*Calculateur!FO90*VLOOKUP('Données projet'!$B$16,Paramètres!$A$1:$I$89,3,0)*0.475*44/12</f>
        <v>1.5523111240598131</v>
      </c>
      <c r="FS90" s="21">
        <f>EXP(-LN(2)/2)*FS89+(1-EXP(-LN(2)/2))/(LN(2)/2)*FM90*FP90*VLOOKUP('Données projet'!$B$16,Paramètres!$A$1:$I$89,3,0)*0.475*44/12</f>
        <v>1.1090667918769312E-8</v>
      </c>
      <c r="FT90" s="22">
        <f t="shared" si="78"/>
        <v>2.3061450254939309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3.1</v>
      </c>
      <c r="FZ90" s="12">
        <f>IF('Données projet'!$A$244&gt;35,FZ89+FY90-GH89,IF(A90&lt;'Données projet'!$A$244,$FW$205^A90,IF(A90='Données projet'!$A$244,'Données projet'!$B$244,FZ89+FY90-GH89)))</f>
        <v>158.69999999999999</v>
      </c>
      <c r="GA90" s="17">
        <f>FZ90*VLOOKUP('Données projet'!$B$17,Paramètres!$A$1:$I$89,3,0)*VLOOKUP('Données projet'!$B$17,Paramètres!$A$1:$I$89,5,0)</f>
        <v>170.82467999999997</v>
      </c>
      <c r="GB90" s="13">
        <f t="shared" si="103"/>
        <v>43.274672418793848</v>
      </c>
      <c r="GC90" s="20">
        <f t="shared" si="79"/>
        <v>372.88970546273254</v>
      </c>
      <c r="GD90" s="59">
        <f t="shared" si="80"/>
        <v>646.22450803320737</v>
      </c>
      <c r="GE90" s="59">
        <f ca="1">AVERAGE(OFFSET($GD$3,0,0,'Données projet'!$E$17+1,1))-AVERAGE(OFFSET($H$3,0,0,'Données projet'!$E$17+1,1))</f>
        <v>313.51355235711543</v>
      </c>
      <c r="GF90" s="59">
        <f t="shared" si="104"/>
        <v>186.0840067781198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0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0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5.7</v>
      </c>
      <c r="N91" s="13">
        <f>IF('Données projet'!$A$36&gt;35,N90+M91-V90,IF(A91&lt;'Données projet'!$A$36,$K$205^A91,IF(A91='Données projet'!$A$36,'Données projet'!$B$36,N90+M91-V90)))</f>
        <v>267.59999999999997</v>
      </c>
      <c r="O91" s="13">
        <f>N91*VLOOKUP('Données projet'!$B$9,Paramètres!$A$1:$I$89,3,0)*VLOOKUP('Données projet'!$B$9,Paramètres!$A$1:$I$89,5,0)</f>
        <v>271.34640000000002</v>
      </c>
      <c r="P91" s="13">
        <f t="shared" si="87"/>
        <v>65.134926573557365</v>
      </c>
      <c r="Q91" s="20">
        <f t="shared" si="54"/>
        <v>586.03831044894582</v>
      </c>
      <c r="R91" s="59">
        <f t="shared" si="55"/>
        <v>859.72004281813952</v>
      </c>
      <c r="S91" s="59">
        <f ca="1">AVERAGE(OFFSET($R$3,0,0,'Données projet'!$E$9+1,1))-AVERAGE(OFFSET($H$3,0,0,'Données projet'!$E$9+1,1))</f>
        <v>452.67426184967104</v>
      </c>
      <c r="T91" s="59">
        <f t="shared" si="88"/>
        <v>310.47823616327639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0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3.9102564102564088</v>
      </c>
      <c r="AI91" s="13">
        <f>IF('Données projet'!$A$62&gt;35,AI90+AH91-AQ90,IF(A91&lt;'Données projet'!$A$62,$AF$205^A91,IF(A91='Données projet'!$A$62,'Données projet'!$B$62,AI90+AH91-AQ90)))</f>
        <v>288.33333333333331</v>
      </c>
      <c r="AJ91" s="13">
        <f>AI91*VLOOKUP('Données projet'!$B$10,Paramètres!$A$1:$I$89,3,0)*VLOOKUP('Données projet'!$B$10,Paramètres!$A$1:$I$89,5,0)</f>
        <v>301.36600000000004</v>
      </c>
      <c r="AK91" s="13">
        <f t="shared" si="89"/>
        <v>71.462753784452971</v>
      </c>
      <c r="AL91" s="20">
        <f t="shared" si="58"/>
        <v>649.3434128412556</v>
      </c>
      <c r="AM91" s="59">
        <f t="shared" si="59"/>
        <v>923.0251452104493</v>
      </c>
      <c r="AN91" s="59">
        <f ca="1">AVERAGE(OFFSET($AM$3,0,0,'Données projet'!$E$10+1,1))-AVERAGE(OFFSET($H$3,0,0,'Données projet'!$E$10+1,1))</f>
        <v>528.45201982036087</v>
      </c>
      <c r="AO91" s="59">
        <f t="shared" si="90"/>
        <v>321.23004033257985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1.8398365727206992E-10</v>
      </c>
      <c r="AX91" s="21">
        <f t="shared" si="60"/>
        <v>1.8398365727206992E-10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3.1</v>
      </c>
      <c r="BD91" s="12">
        <f>IF('Données projet'!$A$88&gt;35,BD90+BC91-BL90,IF(A91&lt;'Données projet'!$A$88,$BA$205^A91,IF(A91='Données projet'!$A$88,'Données projet'!$B$88,BD90+BC91-BL90)))</f>
        <v>161.79999999999998</v>
      </c>
      <c r="BE91" s="13">
        <f>BD91*VLOOKUP('Données projet'!$B$11,Paramètres!$A$1:$I$89,3,0)*VLOOKUP('Données projet'!$B$11,Paramètres!$A$1:$I$89,5,0)</f>
        <v>156.49295999999998</v>
      </c>
      <c r="BF91" s="13">
        <f t="shared" si="91"/>
        <v>40.050475321231751</v>
      </c>
      <c r="BG91" s="20">
        <f t="shared" si="61"/>
        <v>342.31314985114523</v>
      </c>
      <c r="BH91" s="59">
        <f t="shared" si="62"/>
        <v>615.99488222033892</v>
      </c>
      <c r="BI91" s="59">
        <f ca="1">AVERAGE(OFFSET($BH$3,0,0,'Données projet'!$E$11+1,1))-AVERAGE(OFFSET($H$3,0,0,'Données projet'!$E$11+1,1))</f>
        <v>289.06522051625166</v>
      </c>
      <c r="BJ91" s="59">
        <f t="shared" si="92"/>
        <v>173.19148969173838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3.8</v>
      </c>
      <c r="BY91" s="12">
        <f>IF('Données projet'!$A$114&gt;35,BY90+BX91-CG90,IF(A91&lt;'Données projet'!$A$114,$BV$205^A91,IF(A91='Données projet'!$A$114,'Données projet'!$B$114,BY90+BX91-CG90)))</f>
        <v>251.40000000000043</v>
      </c>
      <c r="BZ91" s="13">
        <f>BY91*VLOOKUP('Données projet'!$B$12,Paramètres!$A$1:$I$89,3,0)*VLOOKUP('Données projet'!$B$12,Paramètres!$A$1:$I$89,5,0)</f>
        <v>203.93568000000039</v>
      </c>
      <c r="CA91" s="13">
        <f t="shared" si="93"/>
        <v>50.608127642968562</v>
      </c>
      <c r="CB91" s="20">
        <f t="shared" si="64"/>
        <v>443.33046497817094</v>
      </c>
      <c r="CC91" s="59">
        <f t="shared" si="65"/>
        <v>717.01219734736469</v>
      </c>
      <c r="CD91" s="59">
        <f ca="1">AVERAGE(OFFSET($CC$3,0,0,'Données projet'!$E$12+1,1))-AVERAGE(OFFSET($H$3,0,0,'Données projet'!$E$12+1,1))</f>
        <v>306.06916761900357</v>
      </c>
      <c r="CE91" s="59">
        <f t="shared" si="94"/>
        <v>258.90832875500337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3.3413628980396234E-10</v>
      </c>
      <c r="CN91" s="22">
        <f t="shared" si="66"/>
        <v>3.3413628980396234E-10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5.7</v>
      </c>
      <c r="CT91" s="12">
        <f>IF('Données projet'!$A$140&gt;35,CT90+CS91-DB90,IF(A91&lt;'Données projet'!$A$140,$CQ$205^A91,IF(A91='Données projet'!$A$140,'Données projet'!$B$140,CT90+CS91-DB90)))</f>
        <v>267.59999999999997</v>
      </c>
      <c r="CU91" s="17">
        <f>CT91*VLOOKUP('Données projet'!$B$13,Paramètres!$A$1:$I$89,3,0)*VLOOKUP('Données projet'!$B$13,Paramètres!$A$1:$I$89,5,0)</f>
        <v>179.50607999999997</v>
      </c>
      <c r="CV91" s="13">
        <f t="shared" si="95"/>
        <v>45.212280499336408</v>
      </c>
      <c r="CW91" s="20">
        <f t="shared" si="67"/>
        <v>391.38447786967754</v>
      </c>
      <c r="CX91" s="59">
        <f t="shared" si="68"/>
        <v>665.06621023887124</v>
      </c>
      <c r="CY91" s="59">
        <f ca="1">AVERAGE(OFFSET($CX$3,0,0,'Données projet'!$E$13+1,1))-AVERAGE(OFFSET($H$3,0,0,'Données projet'!$E$13+1,1))</f>
        <v>324.58754156328285</v>
      </c>
      <c r="CZ91" s="59">
        <f t="shared" si="96"/>
        <v>226.01037731977604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2.0262367317599246E-10</v>
      </c>
      <c r="DI91" s="22">
        <f t="shared" si="69"/>
        <v>2.0262367317599246E-10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11.242307692307691</v>
      </c>
      <c r="DO91" s="12">
        <f>IF('Données projet'!$A$166&gt;35,DO90+DN91-DW90,IF(A91&lt;'Données projet'!$A$166,$DL$205^A91,IF(A91='Données projet'!$A$166,'Données projet'!$B$166,DO90+DN91-DW90)))</f>
        <v>390.42692307692329</v>
      </c>
      <c r="DP91" s="17">
        <f>DO91*VLOOKUP('Données projet'!$B$14,Paramètres!$A$1:$I$89,3,0)*VLOOKUP('Données projet'!$B$14,Paramètres!$A$1:$I$89,5,0)</f>
        <v>182.71980000000011</v>
      </c>
      <c r="DQ91" s="13">
        <f t="shared" si="97"/>
        <v>45.926762394770535</v>
      </c>
      <c r="DR91" s="20">
        <f t="shared" si="70"/>
        <v>398.22609617089216</v>
      </c>
      <c r="DS91" s="59">
        <f t="shared" si="71"/>
        <v>671.9078285400858</v>
      </c>
      <c r="DT91" s="59">
        <f ca="1">AVERAGE(OFFSET($DS$3,0,0,'Données projet'!$E$14+1,1))-AVERAGE(OFFSET($H$3,0,0,'Données projet'!$E$14+1,1))</f>
        <v>325.93182817189722</v>
      </c>
      <c r="DU91" s="59">
        <f t="shared" si="98"/>
        <v>280.04509991782709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0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5.6843418860808015E-14</v>
      </c>
      <c r="EK91" s="17">
        <f>EJ91*VLOOKUP('Données projet'!$B$15,Paramètres!$A$1:$I$89,3,0)*VLOOKUP('Données projet'!$B$15,Paramètres!$A$1:$I$89,5,0)</f>
        <v>4.5224624045658861E-14</v>
      </c>
      <c r="EL91" s="13">
        <f t="shared" si="99"/>
        <v>7.4514601661523691E-13</v>
      </c>
      <c r="EM91" s="20">
        <f t="shared" si="73"/>
        <v>1.3765621991510601E-12</v>
      </c>
      <c r="EN91" s="59">
        <f t="shared" si="74"/>
        <v>273.68173236919506</v>
      </c>
      <c r="EO91" s="59">
        <f ca="1">AVERAGE(OFFSET($EN$3,0,0,'Données projet'!$E$15+1,1))-AVERAGE(OFFSET($H$3,0,0,'Données projet'!$E$15+1,1))</f>
        <v>333.52903437536651</v>
      </c>
      <c r="EP91" s="59">
        <f t="shared" si="100"/>
        <v>359.47288701414777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0.75754994734610148</v>
      </c>
      <c r="EX91" s="21">
        <f>EXP(-LN(2)/2)*EX90+(1-EXP(-LN(2)/2))/(LN(2)/2)*ER91*EU91*VLOOKUP('Données projet'!$B$15,Paramètres!$A$1:$I$89,3,0)*0.475*44/12</f>
        <v>4.697185150898007E-10</v>
      </c>
      <c r="EY91" s="22">
        <f t="shared" si="75"/>
        <v>0.75754994781581997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-2.8421709430404007E-13</v>
      </c>
      <c r="FF91" s="17">
        <f>FE91*VLOOKUP('Données projet'!$B$16,Paramètres!$A$1:$I$89,3,0)*VLOOKUP('Données projet'!$B$16,Paramètres!$A$1:$I$89,5,0)</f>
        <v>-1.69961822393816E-13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313.26988717307376</v>
      </c>
      <c r="FK91" s="59">
        <f t="shared" si="102"/>
        <v>248.17359813993201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0.73905166754708695</v>
      </c>
      <c r="FR91" s="21">
        <f>EXP(-LN(2)/25)*FR90+(1-EXP(-LN(2)/25))/(LN(2)/25)*Calculateur!FM91*Calculateur!FO91*VLOOKUP('Données projet'!$B$16,Paramètres!$A$1:$I$89,3,0)*0.475*44/12</f>
        <v>1.5098630947399034</v>
      </c>
      <c r="FS91" s="21">
        <f>EXP(-LN(2)/2)*FS90+(1-EXP(-LN(2)/2))/(LN(2)/2)*FM91*FP91*VLOOKUP('Données projet'!$B$16,Paramètres!$A$1:$I$89,3,0)*0.475*44/12</f>
        <v>7.842286493249874E-9</v>
      </c>
      <c r="FT91" s="22">
        <f t="shared" si="78"/>
        <v>2.2489147701292769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3.1</v>
      </c>
      <c r="FZ91" s="12">
        <f>IF('Données projet'!$A$244&gt;35,FZ90+FY91-GH90,IF(A91&lt;'Données projet'!$A$244,$FW$205^A91,IF(A91='Données projet'!$A$244,'Données projet'!$B$244,FZ90+FY91-GH90)))</f>
        <v>161.79999999999998</v>
      </c>
      <c r="GA91" s="17">
        <f>FZ91*VLOOKUP('Données projet'!$B$17,Paramètres!$A$1:$I$89,3,0)*VLOOKUP('Données projet'!$B$17,Paramètres!$A$1:$I$89,5,0)</f>
        <v>174.16151999999997</v>
      </c>
      <c r="GB91" s="13">
        <f t="shared" si="103"/>
        <v>44.020749683599938</v>
      </c>
      <c r="GC91" s="20">
        <f t="shared" si="79"/>
        <v>380.00078636560312</v>
      </c>
      <c r="GD91" s="59">
        <f t="shared" si="80"/>
        <v>653.68251873479676</v>
      </c>
      <c r="GE91" s="59">
        <f ca="1">AVERAGE(OFFSET($GD$3,0,0,'Données projet'!$E$17+1,1))-AVERAGE(OFFSET($H$3,0,0,'Données projet'!$E$17+1,1))</f>
        <v>313.51355235711543</v>
      </c>
      <c r="GF91" s="59">
        <f t="shared" si="104"/>
        <v>186.0840067781198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0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0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5.7</v>
      </c>
      <c r="N92" s="13">
        <f>IF('Données projet'!$A$36&gt;35,N91+M92-V91,IF(A92&lt;'Données projet'!$A$36,$K$205^A92,IF(A92='Données projet'!$A$36,'Données projet'!$B$36,N91+M92-V91)))</f>
        <v>273.29999999999995</v>
      </c>
      <c r="O92" s="13">
        <f>N92*VLOOKUP('Données projet'!$B$9,Paramètres!$A$1:$I$89,3,0)*VLOOKUP('Données projet'!$B$9,Paramètres!$A$1:$I$89,5,0)</f>
        <v>277.12619999999998</v>
      </c>
      <c r="P92" s="13">
        <f t="shared" si="87"/>
        <v>66.359328161593723</v>
      </c>
      <c r="Q92" s="20">
        <f t="shared" si="54"/>
        <v>598.23729488144238</v>
      </c>
      <c r="R92" s="59">
        <f t="shared" si="55"/>
        <v>872.25993859296591</v>
      </c>
      <c r="S92" s="59">
        <f ca="1">AVERAGE(OFFSET($R$3,0,0,'Données projet'!$E$9+1,1))-AVERAGE(OFFSET($H$3,0,0,'Données projet'!$E$9+1,1))</f>
        <v>452.67426184967104</v>
      </c>
      <c r="T92" s="59">
        <f t="shared" si="88"/>
        <v>310.47823616327639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0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3.9102564102564088</v>
      </c>
      <c r="AI92" s="13">
        <f>IF('Données projet'!$A$62&gt;35,AI91+AH92-AQ91,IF(A92&lt;'Données projet'!$A$62,$AF$205^A92,IF(A92='Données projet'!$A$62,'Données projet'!$B$62,AI91+AH92-AQ91)))</f>
        <v>292.24358974358972</v>
      </c>
      <c r="AJ92" s="13">
        <f>AI92*VLOOKUP('Données projet'!$B$10,Paramètres!$A$1:$I$89,3,0)*VLOOKUP('Données projet'!$B$10,Paramètres!$A$1:$I$89,5,0)</f>
        <v>305.45299999999997</v>
      </c>
      <c r="AK92" s="13">
        <f t="shared" si="89"/>
        <v>72.31842050345962</v>
      </c>
      <c r="AL92" s="20">
        <f t="shared" si="58"/>
        <v>657.95189071019206</v>
      </c>
      <c r="AM92" s="59">
        <f t="shared" si="59"/>
        <v>931.97453442171559</v>
      </c>
      <c r="AN92" s="59">
        <f ca="1">AVERAGE(OFFSET($AM$3,0,0,'Données projet'!$E$10+1,1))-AVERAGE(OFFSET($H$3,0,0,'Données projet'!$E$10+1,1))</f>
        <v>528.45201982036087</v>
      </c>
      <c r="AO92" s="59">
        <f t="shared" si="90"/>
        <v>321.23004033257985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1.3009609168458229E-10</v>
      </c>
      <c r="AX92" s="21">
        <f t="shared" si="60"/>
        <v>1.3009609168458229E-10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3.1</v>
      </c>
      <c r="BD92" s="12">
        <f>IF('Données projet'!$A$88&gt;35,BD91+BC92-BL91,IF(A92&lt;'Données projet'!$A$88,$BA$205^A92,IF(A92='Données projet'!$A$88,'Données projet'!$B$88,BD91+BC92-BL91)))</f>
        <v>164.89999999999998</v>
      </c>
      <c r="BE92" s="13">
        <f>BD92*VLOOKUP('Données projet'!$B$11,Paramètres!$A$1:$I$89,3,0)*VLOOKUP('Données projet'!$B$11,Paramètres!$A$1:$I$89,5,0)</f>
        <v>159.49127999999999</v>
      </c>
      <c r="BF92" s="13">
        <f t="shared" si="91"/>
        <v>40.72775093264719</v>
      </c>
      <c r="BG92" s="20">
        <f t="shared" si="61"/>
        <v>348.7148122076938</v>
      </c>
      <c r="BH92" s="59">
        <f t="shared" si="62"/>
        <v>622.73745591921738</v>
      </c>
      <c r="BI92" s="59">
        <f ca="1">AVERAGE(OFFSET($BH$3,0,0,'Données projet'!$E$11+1,1))-AVERAGE(OFFSET($H$3,0,0,'Données projet'!$E$11+1,1))</f>
        <v>289.06522051625166</v>
      </c>
      <c r="BJ92" s="59">
        <f t="shared" si="92"/>
        <v>173.19148969173838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3.8</v>
      </c>
      <c r="BY92" s="12">
        <f>IF('Données projet'!$A$114&gt;35,BY91+BX92-CG91,IF(A92&lt;'Données projet'!$A$114,$BV$205^A92,IF(A92='Données projet'!$A$114,'Données projet'!$B$114,BY91+BX92-CG91)))</f>
        <v>255.20000000000044</v>
      </c>
      <c r="BZ92" s="13">
        <f>BY92*VLOOKUP('Données projet'!$B$12,Paramètres!$A$1:$I$89,3,0)*VLOOKUP('Données projet'!$B$12,Paramètres!$A$1:$I$89,5,0)</f>
        <v>207.01824000000036</v>
      </c>
      <c r="CA92" s="13">
        <f t="shared" si="93"/>
        <v>51.283454795262287</v>
      </c>
      <c r="CB92" s="20">
        <f t="shared" si="64"/>
        <v>449.87545176841576</v>
      </c>
      <c r="CC92" s="59">
        <f t="shared" si="65"/>
        <v>723.89809547993934</v>
      </c>
      <c r="CD92" s="59">
        <f ca="1">AVERAGE(OFFSET($CC$3,0,0,'Données projet'!$E$12+1,1))-AVERAGE(OFFSET($H$3,0,0,'Données projet'!$E$12+1,1))</f>
        <v>306.06916761900357</v>
      </c>
      <c r="CE92" s="59">
        <f t="shared" si="94"/>
        <v>258.90832875500337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2.3627003636089523E-10</v>
      </c>
      <c r="CN92" s="22">
        <f t="shared" si="66"/>
        <v>2.3627003636089523E-10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5.7</v>
      </c>
      <c r="CT92" s="12">
        <f>IF('Données projet'!$A$140&gt;35,CT91+CS92-DB91,IF(A92&lt;'Données projet'!$A$140,$CQ$205^A92,IF(A92='Données projet'!$A$140,'Données projet'!$B$140,CT91+CS92-DB91)))</f>
        <v>273.29999999999995</v>
      </c>
      <c r="CU92" s="17">
        <f>CT92*VLOOKUP('Données projet'!$B$13,Paramètres!$A$1:$I$89,3,0)*VLOOKUP('Données projet'!$B$13,Paramètres!$A$1:$I$89,5,0)</f>
        <v>183.32963999999998</v>
      </c>
      <c r="CV92" s="13">
        <f t="shared" si="95"/>
        <v>46.062177642915998</v>
      </c>
      <c r="CW92" s="20">
        <f t="shared" si="67"/>
        <v>399.52408239474534</v>
      </c>
      <c r="CX92" s="59">
        <f t="shared" si="68"/>
        <v>673.54672610626892</v>
      </c>
      <c r="CY92" s="59">
        <f ca="1">AVERAGE(OFFSET($CX$3,0,0,'Données projet'!$E$13+1,1))-AVERAGE(OFFSET($H$3,0,0,'Données projet'!$E$13+1,1))</f>
        <v>324.58754156328285</v>
      </c>
      <c r="CZ92" s="59">
        <f t="shared" si="96"/>
        <v>226.01037731977604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1.4327657333167102E-10</v>
      </c>
      <c r="DI92" s="22">
        <f t="shared" si="69"/>
        <v>1.4327657333167102E-10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11.242307692307691</v>
      </c>
      <c r="DO92" s="12">
        <f>IF('Données projet'!$A$166&gt;35,DO91+DN92-DW91,IF(A92&lt;'Données projet'!$A$166,$DL$205^A92,IF(A92='Données projet'!$A$166,'Données projet'!$B$166,DO91+DN92-DW91)))</f>
        <v>401.66923076923098</v>
      </c>
      <c r="DP92" s="17">
        <f>DO92*VLOOKUP('Données projet'!$B$14,Paramètres!$A$1:$I$89,3,0)*VLOOKUP('Données projet'!$B$14,Paramètres!$A$1:$I$89,5,0)</f>
        <v>187.98120000000011</v>
      </c>
      <c r="DQ92" s="13">
        <f t="shared" si="97"/>
        <v>47.093347732155607</v>
      </c>
      <c r="DR92" s="20">
        <f t="shared" si="70"/>
        <v>409.42150396683786</v>
      </c>
      <c r="DS92" s="59">
        <f t="shared" si="71"/>
        <v>683.44414767836145</v>
      </c>
      <c r="DT92" s="59">
        <f ca="1">AVERAGE(OFFSET($DS$3,0,0,'Données projet'!$E$14+1,1))-AVERAGE(OFFSET($H$3,0,0,'Données projet'!$E$14+1,1))</f>
        <v>325.93182817189722</v>
      </c>
      <c r="DU92" s="59">
        <f t="shared" si="98"/>
        <v>280.04509991782709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0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5.6843418860808015E-14</v>
      </c>
      <c r="EK92" s="17">
        <f>EJ92*VLOOKUP('Données projet'!$B$15,Paramètres!$A$1:$I$89,3,0)*VLOOKUP('Données projet'!$B$15,Paramètres!$A$1:$I$89,5,0)</f>
        <v>4.5224624045658861E-14</v>
      </c>
      <c r="EL92" s="13">
        <f t="shared" si="99"/>
        <v>7.4514601661523691E-13</v>
      </c>
      <c r="EM92" s="20">
        <f t="shared" si="73"/>
        <v>1.3765621991510601E-12</v>
      </c>
      <c r="EN92" s="59">
        <f t="shared" si="74"/>
        <v>274.02264371152495</v>
      </c>
      <c r="EO92" s="59">
        <f ca="1">AVERAGE(OFFSET($EN$3,0,0,'Données projet'!$E$15+1,1))-AVERAGE(OFFSET($H$3,0,0,'Données projet'!$E$15+1,1))</f>
        <v>333.52903437536651</v>
      </c>
      <c r="EP92" s="59">
        <f t="shared" si="100"/>
        <v>359.47288701414777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0.73683470419810204</v>
      </c>
      <c r="EX92" s="21">
        <f>EXP(-LN(2)/2)*EX91+(1-EXP(-LN(2)/2))/(LN(2)/2)*ER92*EU92*VLOOKUP('Données projet'!$B$15,Paramètres!$A$1:$I$89,3,0)*0.475*44/12</f>
        <v>3.3214114726887374E-10</v>
      </c>
      <c r="EY92" s="22">
        <f t="shared" si="75"/>
        <v>0.73683470453024313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-2.8421709430404007E-13</v>
      </c>
      <c r="FF92" s="17">
        <f>FE92*VLOOKUP('Données projet'!$B$16,Paramètres!$A$1:$I$89,3,0)*VLOOKUP('Données projet'!$B$16,Paramètres!$A$1:$I$89,5,0)</f>
        <v>-1.69961822393816E-13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313.26988717307376</v>
      </c>
      <c r="FK92" s="59">
        <f t="shared" si="102"/>
        <v>248.17359813993201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0.72455931512349525</v>
      </c>
      <c r="FR92" s="21">
        <f>EXP(-LN(2)/25)*FR91+(1-EXP(-LN(2)/25))/(LN(2)/25)*Calculateur!FM92*Calculateur!FO92*VLOOKUP('Données projet'!$B$16,Paramètres!$A$1:$I$89,3,0)*0.475*44/12</f>
        <v>1.4685758090139915</v>
      </c>
      <c r="FS92" s="21">
        <f>EXP(-LN(2)/2)*FS91+(1-EXP(-LN(2)/2))/(LN(2)/2)*FM92*FP92*VLOOKUP('Données projet'!$B$16,Paramètres!$A$1:$I$89,3,0)*0.475*44/12</f>
        <v>5.545333959384656E-9</v>
      </c>
      <c r="FT92" s="22">
        <f t="shared" si="78"/>
        <v>2.1931351296828208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3.1</v>
      </c>
      <c r="FZ92" s="12">
        <f>IF('Données projet'!$A$244&gt;35,FZ91+FY92-GH91,IF(A92&lt;'Données projet'!$A$244,$FW$205^A92,IF(A92='Données projet'!$A$244,'Données projet'!$B$244,FZ91+FY92-GH91)))</f>
        <v>164.89999999999998</v>
      </c>
      <c r="GA92" s="17">
        <f>FZ92*VLOOKUP('Données projet'!$B$17,Paramètres!$A$1:$I$89,3,0)*VLOOKUP('Données projet'!$B$17,Paramètres!$A$1:$I$89,5,0)</f>
        <v>177.49835999999996</v>
      </c>
      <c r="GB92" s="13">
        <f t="shared" si="103"/>
        <v>44.765164822691247</v>
      </c>
      <c r="GC92" s="20">
        <f t="shared" si="79"/>
        <v>387.1089723995205</v>
      </c>
      <c r="GD92" s="59">
        <f t="shared" si="80"/>
        <v>661.13161611104408</v>
      </c>
      <c r="GE92" s="59">
        <f ca="1">AVERAGE(OFFSET($GD$3,0,0,'Données projet'!$E$17+1,1))-AVERAGE(OFFSET($H$3,0,0,'Données projet'!$E$17+1,1))</f>
        <v>313.51355235711543</v>
      </c>
      <c r="GF92" s="59">
        <f t="shared" si="104"/>
        <v>186.0840067781198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0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0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279</v>
      </c>
      <c r="L93" s="12">
        <f>VLOOKUP(A93,'Données projet'!$A$35:$I$55,9,0)</f>
        <v>5.7</v>
      </c>
      <c r="M93" s="12">
        <f t="array" ref="M93">INDEX(L:L,MIN(IF(ISNUMBER(L93:L289),ROW(L93:L289),"")))</f>
        <v>5.7</v>
      </c>
      <c r="N93" s="13">
        <f>IF('Données projet'!$A$36&gt;35,N92+M93-V92,IF(A93&lt;'Données projet'!$A$36,$K$205^A93,IF(A93='Données projet'!$A$36,'Données projet'!$B$36,N92+M93-V92)))</f>
        <v>278.99999999999994</v>
      </c>
      <c r="O93" s="13">
        <f>N93*VLOOKUP('Données projet'!$B$9,Paramètres!$A$1:$I$89,3,0)*VLOOKUP('Données projet'!$B$9,Paramètres!$A$1:$I$89,5,0)</f>
        <v>282.90599999999995</v>
      </c>
      <c r="P93" s="13">
        <f t="shared" si="87"/>
        <v>67.580760694123455</v>
      </c>
      <c r="Q93" s="20">
        <f t="shared" si="54"/>
        <v>610.43110820893151</v>
      </c>
      <c r="R93" s="59">
        <f t="shared" si="55"/>
        <v>884.78874921315924</v>
      </c>
      <c r="S93" s="59">
        <f ca="1">AVERAGE(OFFSET($R$3,0,0,'Données projet'!$E$9+1,1))-AVERAGE(OFFSET($H$3,0,0,'Données projet'!$E$9+1,1))</f>
        <v>452.67426184967104</v>
      </c>
      <c r="T93" s="59">
        <f t="shared" si="88"/>
        <v>310.47823616327639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40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0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296.15384615384613</v>
      </c>
      <c r="AG93" s="12">
        <f>VLOOKUP(A93,'Données projet'!$A$61:$I$81,9,0)</f>
        <v>3.9102564102564088</v>
      </c>
      <c r="AH93" s="12">
        <f t="array" ref="AH93">INDEX(AG:AG,MIN(IF(ISNUMBER(AG93:AG289),ROW(AG93:AG289),"")))</f>
        <v>3.9102564102564088</v>
      </c>
      <c r="AI93" s="13">
        <f>IF('Données projet'!$A$62&gt;35,AI92+AH93-AQ92,IF(A93&lt;'Données projet'!$A$62,$AF$205^A93,IF(A93='Données projet'!$A$62,'Données projet'!$B$62,AI92+AH93-AQ92)))</f>
        <v>296.15384615384613</v>
      </c>
      <c r="AJ93" s="13">
        <f>AI93*VLOOKUP('Données projet'!$B$10,Paramètres!$A$1:$I$89,3,0)*VLOOKUP('Données projet'!$B$10,Paramètres!$A$1:$I$89,5,0)</f>
        <v>309.54000000000002</v>
      </c>
      <c r="AK93" s="13">
        <f t="shared" si="89"/>
        <v>73.172755562281338</v>
      </c>
      <c r="AL93" s="20">
        <f t="shared" si="58"/>
        <v>666.55804927097336</v>
      </c>
      <c r="AM93" s="59">
        <f t="shared" si="59"/>
        <v>940.91569027520109</v>
      </c>
      <c r="AN93" s="59">
        <f ca="1">AVERAGE(OFFSET($AM$3,0,0,'Données projet'!$E$10+1,1))-AVERAGE(OFFSET($H$3,0,0,'Données projet'!$E$10+1,1))</f>
        <v>528.45201982036087</v>
      </c>
      <c r="AO93" s="59">
        <f t="shared" si="90"/>
        <v>321.23004033257985</v>
      </c>
      <c r="AP93" s="15">
        <f>IF(ISNA(VLOOKUP(A93,'Données projet'!$A$61:$I$81,3,0)),0,VLOOKUP(A93,'Données projet'!$A$61:$I$81,3,0))</f>
        <v>9</v>
      </c>
      <c r="AQ93" s="15">
        <f>IF(ISNA(VLOOKUP(A93,'Données projet'!$A$61:$I$81,4,0)),0,VLOOKUP(A93,'Données projet'!$A$61:$I$81,4,0))</f>
        <v>21.153846153846153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9.199182863603496E-11</v>
      </c>
      <c r="AX93" s="21">
        <f t="shared" si="60"/>
        <v>9.199182863603496E-11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168</v>
      </c>
      <c r="BB93" s="12">
        <f>VLOOKUP(A93,'Données projet'!$A$87:$I$107,9,0)</f>
        <v>3.1</v>
      </c>
      <c r="BC93" s="12">
        <f t="array" ref="BC93">INDEX(BB:BB,MIN(IF(ISNUMBER(BB93:BB289),ROW(BB93:BB289),"")))</f>
        <v>3.1</v>
      </c>
      <c r="BD93" s="12">
        <f>IF('Données projet'!$A$88&gt;35,BD92+BC93-BL92,IF(A93&lt;'Données projet'!$A$88,$BA$205^A93,IF(A93='Données projet'!$A$88,'Données projet'!$B$88,BD92+BC93-BL92)))</f>
        <v>167.99999999999997</v>
      </c>
      <c r="BE93" s="13">
        <f>BD93*VLOOKUP('Données projet'!$B$11,Paramètres!$A$1:$I$89,3,0)*VLOOKUP('Données projet'!$B$11,Paramètres!$A$1:$I$89,5,0)</f>
        <v>162.48959999999997</v>
      </c>
      <c r="BF93" s="13">
        <f t="shared" si="91"/>
        <v>41.403546033820696</v>
      </c>
      <c r="BG93" s="20">
        <f t="shared" si="61"/>
        <v>355.11389600890431</v>
      </c>
      <c r="BH93" s="59">
        <f t="shared" si="62"/>
        <v>629.47153701313198</v>
      </c>
      <c r="BI93" s="59">
        <f ca="1">AVERAGE(OFFSET($BH$3,0,0,'Données projet'!$E$11+1,1))-AVERAGE(OFFSET($H$3,0,0,'Données projet'!$E$11+1,1))</f>
        <v>289.06522051625166</v>
      </c>
      <c r="BJ93" s="59">
        <f t="shared" si="92"/>
        <v>173.19148969173838</v>
      </c>
      <c r="BK93" s="15">
        <f>IF(ISNA(VLOOKUP(A93,'Données projet'!$A$87:$I$107,3,0)),0,VLOOKUP(A93,'Données projet'!$A$87:$I$107,3,0))</f>
        <v>7</v>
      </c>
      <c r="BL93" s="15">
        <f>IF(ISNA(VLOOKUP(A93,'Données projet'!$A$87:$I$107,4,0)),0,VLOOKUP(A93,'Données projet'!$A$87:$I$107,4,0))</f>
        <v>18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259</v>
      </c>
      <c r="BW93" s="12">
        <f>VLOOKUP(A93,'Données projet'!$A$113:$I$133,9,0)</f>
        <v>3.8</v>
      </c>
      <c r="BX93" s="12">
        <f t="array" ref="BX93">INDEX(BW:BW,MIN(IF(ISNUMBER(BW93:BW289),ROW(BW93:BW289),"")))</f>
        <v>3.8</v>
      </c>
      <c r="BY93" s="12">
        <f>IF('Données projet'!$A$114&gt;35,BY92+BX93-CG92,IF(A93&lt;'Données projet'!$A$114,$BV$205^A93,IF(A93='Données projet'!$A$114,'Données projet'!$B$114,BY92+BX93-CG92)))</f>
        <v>259.00000000000045</v>
      </c>
      <c r="BZ93" s="13">
        <f>BY93*VLOOKUP('Données projet'!$B$12,Paramètres!$A$1:$I$89,3,0)*VLOOKUP('Données projet'!$B$12,Paramètres!$A$1:$I$89,5,0)</f>
        <v>210.10080000000036</v>
      </c>
      <c r="CA93" s="13">
        <f t="shared" si="93"/>
        <v>51.957612419146322</v>
      </c>
      <c r="CB93" s="20">
        <f t="shared" si="64"/>
        <v>456.41840163001376</v>
      </c>
      <c r="CC93" s="59">
        <f t="shared" si="65"/>
        <v>730.77604263424143</v>
      </c>
      <c r="CD93" s="59">
        <f ca="1">AVERAGE(OFFSET($CC$3,0,0,'Données projet'!$E$12+1,1))-AVERAGE(OFFSET($H$3,0,0,'Données projet'!$E$12+1,1))</f>
        <v>306.06916761900357</v>
      </c>
      <c r="CE93" s="59">
        <f t="shared" si="94"/>
        <v>258.90832875500337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25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1.6706814490198117E-10</v>
      </c>
      <c r="CN93" s="22">
        <f t="shared" si="66"/>
        <v>1.6706814490198117E-10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279</v>
      </c>
      <c r="CR93" s="12">
        <f>VLOOKUP(A93,'Données projet'!$A$139:$I$159,9,0)</f>
        <v>5.7</v>
      </c>
      <c r="CS93" s="12">
        <f t="array" ref="CS93">INDEX(CR:CR,MIN(IF(ISNUMBER(CR93:CR289),ROW(CR93:CR289),"")))</f>
        <v>5.7</v>
      </c>
      <c r="CT93" s="12">
        <f>IF('Données projet'!$A$140&gt;35,CT92+CS93-DB92,IF(A93&lt;'Données projet'!$A$140,$CQ$205^A93,IF(A93='Données projet'!$A$140,'Données projet'!$B$140,CT92+CS93-DB92)))</f>
        <v>278.99999999999994</v>
      </c>
      <c r="CU93" s="17">
        <f>CT93*VLOOKUP('Données projet'!$B$13,Paramètres!$A$1:$I$89,3,0)*VLOOKUP('Données projet'!$B$13,Paramètres!$A$1:$I$89,5,0)</f>
        <v>187.15319999999997</v>
      </c>
      <c r="CV93" s="13">
        <f t="shared" si="95"/>
        <v>46.910013868069136</v>
      </c>
      <c r="CW93" s="20">
        <f t="shared" si="67"/>
        <v>407.66009748688703</v>
      </c>
      <c r="CX93" s="59">
        <f t="shared" si="68"/>
        <v>682.01773849111464</v>
      </c>
      <c r="CY93" s="59">
        <f ca="1">AVERAGE(OFFSET($CX$3,0,0,'Données projet'!$E$13+1,1))-AVERAGE(OFFSET($H$3,0,0,'Données projet'!$E$13+1,1))</f>
        <v>324.58754156328285</v>
      </c>
      <c r="CZ93" s="59">
        <f t="shared" si="96"/>
        <v>226.01037731977604</v>
      </c>
      <c r="DA93" s="15">
        <f>IF(ISNA(VLOOKUP(A93,'Données projet'!$A$139:$I$159,3,0)),0,VLOOKUP(A93,'Données projet'!$A$139:$I$159,3,0))</f>
        <v>8</v>
      </c>
      <c r="DB93" s="15">
        <f>IF(ISNA(VLOOKUP(A93,'Données projet'!$A$139:$I$159,4,0)),0,VLOOKUP(A93,'Données projet'!$A$139:$I$159,4,0))</f>
        <v>40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1.0131183658799623E-10</v>
      </c>
      <c r="DI93" s="22">
        <f t="shared" si="69"/>
        <v>1.0131183658799623E-10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11.242307692307691</v>
      </c>
      <c r="DO93" s="12">
        <f>IF('Données projet'!$A$166&gt;35,DO92+DN93-DW92,IF(A93&lt;'Données projet'!$A$166,$DL$205^A93,IF(A93='Données projet'!$A$166,'Données projet'!$B$166,DO92+DN93-DW92)))</f>
        <v>412.91153846153867</v>
      </c>
      <c r="DP93" s="17">
        <f>DO93*VLOOKUP('Données projet'!$B$14,Paramètres!$A$1:$I$89,3,0)*VLOOKUP('Données projet'!$B$14,Paramètres!$A$1:$I$89,5,0)</f>
        <v>193.2426000000001</v>
      </c>
      <c r="DQ93" s="13">
        <f t="shared" si="97"/>
        <v>48.256138093290417</v>
      </c>
      <c r="DR93" s="20">
        <f t="shared" si="70"/>
        <v>420.6103021791476</v>
      </c>
      <c r="DS93" s="59">
        <f t="shared" si="71"/>
        <v>694.96794318337527</v>
      </c>
      <c r="DT93" s="59">
        <f ca="1">AVERAGE(OFFSET($DS$3,0,0,'Données projet'!$E$14+1,1))-AVERAGE(OFFSET($H$3,0,0,'Données projet'!$E$14+1,1))</f>
        <v>325.93182817189722</v>
      </c>
      <c r="DU93" s="59">
        <f t="shared" si="98"/>
        <v>280.04509991782709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0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5.6843418860808015E-14</v>
      </c>
      <c r="EK93" s="17">
        <f>EJ93*VLOOKUP('Données projet'!$B$15,Paramètres!$A$1:$I$89,3,0)*VLOOKUP('Données projet'!$B$15,Paramètres!$A$1:$I$89,5,0)</f>
        <v>4.5224624045658861E-14</v>
      </c>
      <c r="EL93" s="13">
        <f t="shared" si="99"/>
        <v>7.4514601661523691E-13</v>
      </c>
      <c r="EM93" s="20">
        <f t="shared" si="73"/>
        <v>1.3765621991510601E-12</v>
      </c>
      <c r="EN93" s="59">
        <f t="shared" si="74"/>
        <v>274.35764100422904</v>
      </c>
      <c r="EO93" s="59">
        <f ca="1">AVERAGE(OFFSET($EN$3,0,0,'Données projet'!$E$15+1,1))-AVERAGE(OFFSET($H$3,0,0,'Données projet'!$E$15+1,1))</f>
        <v>333.52903437536651</v>
      </c>
      <c r="EP93" s="59">
        <f t="shared" si="100"/>
        <v>359.47288701414777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0.71668592046335189</v>
      </c>
      <c r="EX93" s="21">
        <f>EXP(-LN(2)/2)*EX92+(1-EXP(-LN(2)/2))/(LN(2)/2)*ER93*EU93*VLOOKUP('Données projet'!$B$15,Paramètres!$A$1:$I$89,3,0)*0.475*44/12</f>
        <v>2.3485925754490035E-10</v>
      </c>
      <c r="EY93" s="22">
        <f t="shared" si="75"/>
        <v>0.71668592069821113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-2.8421709430404007E-13</v>
      </c>
      <c r="FF93" s="17">
        <f>FE93*VLOOKUP('Données projet'!$B$16,Paramètres!$A$1:$I$89,3,0)*VLOOKUP('Données projet'!$B$16,Paramètres!$A$1:$I$89,5,0)</f>
        <v>-1.69961822393816E-13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313.26988717307376</v>
      </c>
      <c r="FK93" s="59">
        <f t="shared" si="102"/>
        <v>248.17359813993201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0.710351148891468</v>
      </c>
      <c r="FR93" s="21">
        <f>EXP(-LN(2)/25)*FR92+(1-EXP(-LN(2)/25))/(LN(2)/25)*Calculateur!FM93*Calculateur!FO93*VLOOKUP('Données projet'!$B$16,Paramètres!$A$1:$I$89,3,0)*0.475*44/12</f>
        <v>1.4284175262874585</v>
      </c>
      <c r="FS93" s="21">
        <f>EXP(-LN(2)/2)*FS92+(1-EXP(-LN(2)/2))/(LN(2)/2)*FM93*FP93*VLOOKUP('Données projet'!$B$16,Paramètres!$A$1:$I$89,3,0)*0.475*44/12</f>
        <v>3.921143246624937E-9</v>
      </c>
      <c r="FT93" s="22">
        <f t="shared" si="78"/>
        <v>2.1387686791000702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>
        <f>VLOOKUP(A93,'Données projet'!$A$243:$I$263,2,0)</f>
        <v>168</v>
      </c>
      <c r="FX93" s="12">
        <f>VLOOKUP(A93,'Données projet'!$A$243:$I$263,9,0)</f>
        <v>3.1</v>
      </c>
      <c r="FY93" s="12">
        <f t="array" ref="FY93">INDEX(FX:FX,MIN(IF(ISNUMBER(FX93:FX289),ROW(FX93:FX289),"")))</f>
        <v>3.1</v>
      </c>
      <c r="FZ93" s="12">
        <f>IF('Données projet'!$A$244&gt;35,FZ92+FY93-GH92,IF(A93&lt;'Données projet'!$A$244,$FW$205^A93,IF(A93='Données projet'!$A$244,'Données projet'!$B$244,FZ92+FY93-GH92)))</f>
        <v>167.99999999999997</v>
      </c>
      <c r="GA93" s="17">
        <f>FZ93*VLOOKUP('Données projet'!$B$17,Paramètres!$A$1:$I$89,3,0)*VLOOKUP('Données projet'!$B$17,Paramètres!$A$1:$I$89,5,0)</f>
        <v>180.83519999999996</v>
      </c>
      <c r="GB93" s="13">
        <f t="shared" si="103"/>
        <v>45.507952685945142</v>
      </c>
      <c r="GC93" s="20">
        <f t="shared" si="79"/>
        <v>394.21432426135431</v>
      </c>
      <c r="GD93" s="59">
        <f t="shared" si="80"/>
        <v>668.57196526558198</v>
      </c>
      <c r="GE93" s="59">
        <f ca="1">AVERAGE(OFFSET($GD$3,0,0,'Données projet'!$E$17+1,1))-AVERAGE(OFFSET($H$3,0,0,'Données projet'!$E$17+1,1))</f>
        <v>313.51355235711543</v>
      </c>
      <c r="GF93" s="59">
        <f t="shared" si="104"/>
        <v>186.0840067781198</v>
      </c>
      <c r="GG93" s="15">
        <f>IF(ISNA(VLOOKUP(A93,'Données projet'!$A$243:$I$263,3,0)),0,VLOOKUP(A93,'Données projet'!$A$243:$I$263,3,0))</f>
        <v>7</v>
      </c>
      <c r="GH93" s="15">
        <f>IF(ISNA(VLOOKUP(A93,'Données projet'!$A$243:$I$263,4,0)),0,VLOOKUP(A93,'Données projet'!$A$243:$I$263,4,0))</f>
        <v>18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0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0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5.0999999999999996</v>
      </c>
      <c r="N94" s="13">
        <f>IF('Données projet'!$A$36&gt;35,N93+M94-V93,IF(A94&lt;'Données projet'!$A$36,$K$205^A94,IF(A94='Données projet'!$A$36,'Données projet'!$B$36,N93+M94-V93)))</f>
        <v>244.09999999999997</v>
      </c>
      <c r="O94" s="13">
        <f>N94*VLOOKUP('Données projet'!$B$9,Paramètres!$A$1:$I$89,3,0)*VLOOKUP('Données projet'!$B$9,Paramètres!$A$1:$I$89,5,0)</f>
        <v>247.51740000000001</v>
      </c>
      <c r="P94" s="13">
        <f t="shared" si="87"/>
        <v>60.054021041247687</v>
      </c>
      <c r="Q94" s="20">
        <f t="shared" si="54"/>
        <v>535.68689164683963</v>
      </c>
      <c r="R94" s="59">
        <f t="shared" si="55"/>
        <v>810.37371848968473</v>
      </c>
      <c r="S94" s="59">
        <f ca="1">AVERAGE(OFFSET($R$3,0,0,'Données projet'!$E$9+1,1))-AVERAGE(OFFSET($H$3,0,0,'Données projet'!$E$9+1,1))</f>
        <v>452.67426184967104</v>
      </c>
      <c r="T94" s="59">
        <f t="shared" si="88"/>
        <v>310.47823616327639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3.4615384615384586</v>
      </c>
      <c r="AI94" s="13">
        <f>IF('Données projet'!$A$62&gt;35,AI93+AH94-AQ93,IF(A94&lt;'Données projet'!$A$62,$AF$205^A94,IF(A94='Données projet'!$A$62,'Données projet'!$B$62,AI93+AH94-AQ93)))</f>
        <v>278.46153846153845</v>
      </c>
      <c r="AJ94" s="13">
        <f>AI94*VLOOKUP('Données projet'!$B$10,Paramètres!$A$1:$I$89,3,0)*VLOOKUP('Données projet'!$B$10,Paramètres!$A$1:$I$89,5,0)</f>
        <v>291.04800000000006</v>
      </c>
      <c r="AK94" s="13">
        <f t="shared" si="89"/>
        <v>69.296484438588493</v>
      </c>
      <c r="AL94" s="20">
        <f t="shared" si="58"/>
        <v>627.59997706387503</v>
      </c>
      <c r="AM94" s="59">
        <f t="shared" si="59"/>
        <v>902.28680390672002</v>
      </c>
      <c r="AN94" s="59">
        <f ca="1">AVERAGE(OFFSET($AM$3,0,0,'Données projet'!$E$10+1,1))-AVERAGE(OFFSET($H$3,0,0,'Données projet'!$E$10+1,1))</f>
        <v>528.45201982036087</v>
      </c>
      <c r="AO94" s="59">
        <f t="shared" si="90"/>
        <v>321.23004033257985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6.5048045842291147E-11</v>
      </c>
      <c r="AX94" s="21">
        <f t="shared" si="60"/>
        <v>6.5048045842291147E-11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2.9</v>
      </c>
      <c r="BD94" s="12">
        <f>IF('Données projet'!$A$88&gt;35,BD93+BC94-BL93,IF(A94&lt;'Données projet'!$A$88,$BA$205^A94,IF(A94='Données projet'!$A$88,'Données projet'!$B$88,BD93+BC94-BL93)))</f>
        <v>152.89999999999998</v>
      </c>
      <c r="BE94" s="13">
        <f>BD94*VLOOKUP('Données projet'!$B$11,Paramètres!$A$1:$I$89,3,0)*VLOOKUP('Données projet'!$B$11,Paramètres!$A$1:$I$89,5,0)</f>
        <v>147.88487999999998</v>
      </c>
      <c r="BF94" s="13">
        <f t="shared" si="91"/>
        <v>38.097520456872637</v>
      </c>
      <c r="BG94" s="20">
        <f t="shared" si="61"/>
        <v>323.91934746238644</v>
      </c>
      <c r="BH94" s="59">
        <f t="shared" si="62"/>
        <v>598.60617430523143</v>
      </c>
      <c r="BI94" s="59">
        <f ca="1">AVERAGE(OFFSET($BH$3,0,0,'Données projet'!$E$11+1,1))-AVERAGE(OFFSET($H$3,0,0,'Données projet'!$E$11+1,1))</f>
        <v>289.06522051625166</v>
      </c>
      <c r="BJ94" s="59">
        <f t="shared" si="92"/>
        <v>173.19148969173838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234.00000000000045</v>
      </c>
      <c r="BZ94" s="13">
        <f>BY94*VLOOKUP('Données projet'!$B$12,Paramètres!$A$1:$I$89,3,0)*VLOOKUP('Données projet'!$B$12,Paramètres!$A$1:$I$89,5,0)</f>
        <v>189.82080000000036</v>
      </c>
      <c r="CA94" s="13">
        <f t="shared" si="93"/>
        <v>47.500332100049881</v>
      </c>
      <c r="CB94" s="20">
        <f t="shared" si="64"/>
        <v>413.33430507425419</v>
      </c>
      <c r="CC94" s="59">
        <f t="shared" si="65"/>
        <v>688.02113191709918</v>
      </c>
      <c r="CD94" s="59">
        <f ca="1">AVERAGE(OFFSET($CC$3,0,0,'Données projet'!$E$12+1,1))-AVERAGE(OFFSET($H$3,0,0,'Données projet'!$E$12+1,1))</f>
        <v>306.06916761900357</v>
      </c>
      <c r="CE94" s="59">
        <f t="shared" si="94"/>
        <v>258.90832875500337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1.1813501818044761E-10</v>
      </c>
      <c r="CN94" s="22">
        <f t="shared" si="66"/>
        <v>1.1813501818044761E-10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5.0999999999999996</v>
      </c>
      <c r="CT94" s="12">
        <f>IF('Données projet'!$A$140&gt;35,CT93+CS94-DB93,IF(A94&lt;'Données projet'!$A$140,$CQ$205^A94,IF(A94='Données projet'!$A$140,'Données projet'!$B$140,CT93+CS94-DB93)))</f>
        <v>244.09999999999997</v>
      </c>
      <c r="CU94" s="17">
        <f>CT94*VLOOKUP('Données projet'!$B$13,Paramètres!$A$1:$I$89,3,0)*VLOOKUP('Données projet'!$B$13,Paramètres!$A$1:$I$89,5,0)</f>
        <v>163.74227999999997</v>
      </c>
      <c r="CV94" s="13">
        <f t="shared" si="95"/>
        <v>41.685457975663319</v>
      </c>
      <c r="CW94" s="20">
        <f t="shared" si="67"/>
        <v>357.78664364094692</v>
      </c>
      <c r="CX94" s="59">
        <f t="shared" si="68"/>
        <v>632.47347048379197</v>
      </c>
      <c r="CY94" s="59">
        <f ca="1">AVERAGE(OFFSET($CX$3,0,0,'Données projet'!$E$13+1,1))-AVERAGE(OFFSET($H$3,0,0,'Données projet'!$E$13+1,1))</f>
        <v>324.58754156328285</v>
      </c>
      <c r="CZ94" s="59">
        <f t="shared" si="96"/>
        <v>226.01037731977604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7.1638286665835509E-11</v>
      </c>
      <c r="DI94" s="22">
        <f t="shared" si="69"/>
        <v>7.1638286665835509E-11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11.242307692307691</v>
      </c>
      <c r="DO94" s="12">
        <f>IF('Données projet'!$A$166&gt;35,DO93+DN94-DW93,IF(A94&lt;'Données projet'!$A$166,$DL$205^A94,IF(A94='Données projet'!$A$166,'Données projet'!$B$166,DO93+DN94-DW93)))</f>
        <v>424.15384615384636</v>
      </c>
      <c r="DP94" s="17">
        <f>DO94*VLOOKUP('Données projet'!$B$14,Paramètres!$A$1:$I$89,3,0)*VLOOKUP('Données projet'!$B$14,Paramètres!$A$1:$I$89,5,0)</f>
        <v>198.5040000000001</v>
      </c>
      <c r="DQ94" s="13">
        <f t="shared" si="97"/>
        <v>49.415248676990458</v>
      </c>
      <c r="DR94" s="20">
        <f t="shared" si="70"/>
        <v>431.79269144575846</v>
      </c>
      <c r="DS94" s="59">
        <f t="shared" si="71"/>
        <v>706.47951828860346</v>
      </c>
      <c r="DT94" s="59">
        <f ca="1">AVERAGE(OFFSET($DS$3,0,0,'Données projet'!$E$14+1,1))-AVERAGE(OFFSET($H$3,0,0,'Données projet'!$E$14+1,1))</f>
        <v>325.93182817189722</v>
      </c>
      <c r="DU94" s="59">
        <f t="shared" si="98"/>
        <v>280.04509991782709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0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5.6843418860808015E-14</v>
      </c>
      <c r="EK94" s="17">
        <f>EJ94*VLOOKUP('Données projet'!$B$15,Paramètres!$A$1:$I$89,3,0)*VLOOKUP('Données projet'!$B$15,Paramètres!$A$1:$I$89,5,0)</f>
        <v>4.5224624045658861E-14</v>
      </c>
      <c r="EL94" s="13">
        <f t="shared" si="99"/>
        <v>7.4514601661523691E-13</v>
      </c>
      <c r="EM94" s="20">
        <f t="shared" si="73"/>
        <v>1.3765621991510601E-12</v>
      </c>
      <c r="EN94" s="59">
        <f t="shared" si="74"/>
        <v>274.68682684284641</v>
      </c>
      <c r="EO94" s="59">
        <f ca="1">AVERAGE(OFFSET($EN$3,0,0,'Données projet'!$E$15+1,1))-AVERAGE(OFFSET($H$3,0,0,'Données projet'!$E$15+1,1))</f>
        <v>333.52903437536651</v>
      </c>
      <c r="EP94" s="59">
        <f t="shared" si="100"/>
        <v>359.47288701414777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0.69708810627940698</v>
      </c>
      <c r="EX94" s="21">
        <f>EXP(-LN(2)/2)*EX93+(1-EXP(-LN(2)/2))/(LN(2)/2)*ER94*EU94*VLOOKUP('Données projet'!$B$15,Paramètres!$A$1:$I$89,3,0)*0.475*44/12</f>
        <v>1.6607057363443687E-10</v>
      </c>
      <c r="EY94" s="22">
        <f t="shared" si="75"/>
        <v>0.69708810644547758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-2.8421709430404007E-13</v>
      </c>
      <c r="FF94" s="17">
        <f>FE94*VLOOKUP('Données projet'!$B$16,Paramètres!$A$1:$I$89,3,0)*VLOOKUP('Données projet'!$B$16,Paramètres!$A$1:$I$89,5,0)</f>
        <v>-1.69961822393816E-13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313.26988717307376</v>
      </c>
      <c r="FK94" s="59">
        <f t="shared" si="102"/>
        <v>248.17359813993201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0.69642159613312515</v>
      </c>
      <c r="FR94" s="21">
        <f>EXP(-LN(2)/25)*FR93+(1-EXP(-LN(2)/25))/(LN(2)/25)*Calculateur!FM94*Calculateur!FO94*VLOOKUP('Données projet'!$B$16,Paramètres!$A$1:$I$89,3,0)*0.475*44/12</f>
        <v>1.3893573739139149</v>
      </c>
      <c r="FS94" s="21">
        <f>EXP(-LN(2)/2)*FS93+(1-EXP(-LN(2)/2))/(LN(2)/2)*FM94*FP94*VLOOKUP('Données projet'!$B$16,Paramètres!$A$1:$I$89,3,0)*0.475*44/12</f>
        <v>2.772666979692328E-9</v>
      </c>
      <c r="FT94" s="22">
        <f t="shared" si="78"/>
        <v>2.0857789728197069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2.9</v>
      </c>
      <c r="FZ94" s="12">
        <f>IF('Données projet'!$A$244&gt;35,FZ93+FY94-GH93,IF(A94&lt;'Données projet'!$A$244,$FW$205^A94,IF(A94='Données projet'!$A$244,'Données projet'!$B$244,FZ93+FY94-GH93)))</f>
        <v>152.89999999999998</v>
      </c>
      <c r="GA94" s="17">
        <f>FZ94*VLOOKUP('Données projet'!$B$17,Paramètres!$A$1:$I$89,3,0)*VLOOKUP('Données projet'!$B$17,Paramètres!$A$1:$I$89,5,0)</f>
        <v>164.58155999999997</v>
      </c>
      <c r="GB94" s="13">
        <f t="shared" si="103"/>
        <v>41.874194953905018</v>
      </c>
      <c r="GC94" s="20">
        <f t="shared" si="79"/>
        <v>359.57710654471788</v>
      </c>
      <c r="GD94" s="59">
        <f t="shared" si="80"/>
        <v>634.26393338756293</v>
      </c>
      <c r="GE94" s="59">
        <f ca="1">AVERAGE(OFFSET($GD$3,0,0,'Données projet'!$E$17+1,1))-AVERAGE(OFFSET($H$3,0,0,'Données projet'!$E$17+1,1))</f>
        <v>313.51355235711543</v>
      </c>
      <c r="GF94" s="59">
        <f t="shared" si="104"/>
        <v>186.0840067781198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0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0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5.0999999999999996</v>
      </c>
      <c r="N95" s="13">
        <f>IF('Données projet'!$A$36&gt;35,N94+M95-V94,IF(A95&lt;'Données projet'!$A$36,$K$205^A95,IF(A95='Données projet'!$A$36,'Données projet'!$B$36,N94+M95-V94)))</f>
        <v>249.19999999999996</v>
      </c>
      <c r="O95" s="13">
        <f>N95*VLOOKUP('Données projet'!$B$9,Paramètres!$A$1:$I$89,3,0)*VLOOKUP('Données projet'!$B$9,Paramètres!$A$1:$I$89,5,0)</f>
        <v>252.68879999999999</v>
      </c>
      <c r="P95" s="13">
        <f t="shared" si="87"/>
        <v>61.161347936181826</v>
      </c>
      <c r="Q95" s="20">
        <f t="shared" si="54"/>
        <v>546.62234098884994</v>
      </c>
      <c r="R95" s="59">
        <f t="shared" si="55"/>
        <v>821.63264303196161</v>
      </c>
      <c r="S95" s="59">
        <f ca="1">AVERAGE(OFFSET($R$3,0,0,'Données projet'!$E$9+1,1))-AVERAGE(OFFSET($H$3,0,0,'Données projet'!$E$9+1,1))</f>
        <v>452.67426184967104</v>
      </c>
      <c r="T95" s="59">
        <f t="shared" si="88"/>
        <v>310.47823616327639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3.4615384615384586</v>
      </c>
      <c r="AI95" s="13">
        <f>IF('Données projet'!$A$62&gt;35,AI94+AH95-AQ94,IF(A95&lt;'Données projet'!$A$62,$AF$205^A95,IF(A95='Données projet'!$A$62,'Données projet'!$B$62,AI94+AH95-AQ94)))</f>
        <v>281.92307692307691</v>
      </c>
      <c r="AJ95" s="13">
        <f>AI95*VLOOKUP('Données projet'!$B$10,Paramètres!$A$1:$I$89,3,0)*VLOOKUP('Données projet'!$B$10,Paramètres!$A$1:$I$89,5,0)</f>
        <v>294.666</v>
      </c>
      <c r="AK95" s="13">
        <f t="shared" si="89"/>
        <v>70.057087344971293</v>
      </c>
      <c r="AL95" s="20">
        <f t="shared" si="58"/>
        <v>635.22604379249162</v>
      </c>
      <c r="AM95" s="59">
        <f t="shared" si="59"/>
        <v>910.23634583560329</v>
      </c>
      <c r="AN95" s="59">
        <f ca="1">AVERAGE(OFFSET($AM$3,0,0,'Données projet'!$E$10+1,1))-AVERAGE(OFFSET($H$3,0,0,'Données projet'!$E$10+1,1))</f>
        <v>528.45201982036087</v>
      </c>
      <c r="AO95" s="59">
        <f t="shared" si="90"/>
        <v>321.23004033257985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4.599591431801748E-11</v>
      </c>
      <c r="AX95" s="21">
        <f t="shared" si="60"/>
        <v>4.599591431801748E-11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2.9</v>
      </c>
      <c r="BD95" s="12">
        <f>IF('Données projet'!$A$88&gt;35,BD94+BC95-BL94,IF(A95&lt;'Données projet'!$A$88,$BA$205^A95,IF(A95='Données projet'!$A$88,'Données projet'!$B$88,BD94+BC95-BL94)))</f>
        <v>155.79999999999998</v>
      </c>
      <c r="BE95" s="13">
        <f>BD95*VLOOKUP('Données projet'!$B$11,Paramètres!$A$1:$I$89,3,0)*VLOOKUP('Données projet'!$B$11,Paramètres!$A$1:$I$89,5,0)</f>
        <v>150.68975999999998</v>
      </c>
      <c r="BF95" s="13">
        <f t="shared" si="91"/>
        <v>38.735294176946205</v>
      </c>
      <c r="BG95" s="20">
        <f t="shared" si="61"/>
        <v>329.91530269151457</v>
      </c>
      <c r="BH95" s="59">
        <f t="shared" si="62"/>
        <v>604.92560473462629</v>
      </c>
      <c r="BI95" s="59">
        <f ca="1">AVERAGE(OFFSET($BH$3,0,0,'Données projet'!$E$11+1,1))-AVERAGE(OFFSET($H$3,0,0,'Données projet'!$E$11+1,1))</f>
        <v>289.06522051625166</v>
      </c>
      <c r="BJ95" s="59">
        <f t="shared" si="92"/>
        <v>173.19148969173838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234.00000000000045</v>
      </c>
      <c r="BZ95" s="13">
        <f>BY95*VLOOKUP('Données projet'!$B$12,Paramètres!$A$1:$I$89,3,0)*VLOOKUP('Données projet'!$B$12,Paramètres!$A$1:$I$89,5,0)</f>
        <v>189.82080000000036</v>
      </c>
      <c r="CA95" s="13">
        <f t="shared" si="93"/>
        <v>47.500332100049881</v>
      </c>
      <c r="CB95" s="20">
        <f t="shared" si="64"/>
        <v>413.33430507425419</v>
      </c>
      <c r="CC95" s="59">
        <f t="shared" si="65"/>
        <v>688.34460711736597</v>
      </c>
      <c r="CD95" s="59">
        <f ca="1">AVERAGE(OFFSET($CC$3,0,0,'Données projet'!$E$12+1,1))-AVERAGE(OFFSET($H$3,0,0,'Données projet'!$E$12+1,1))</f>
        <v>306.06916761900357</v>
      </c>
      <c r="CE95" s="59">
        <f t="shared" si="94"/>
        <v>258.90832875500337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8.3534072450990586E-11</v>
      </c>
      <c r="CN95" s="22">
        <f t="shared" si="66"/>
        <v>8.3534072450990586E-11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5.0999999999999996</v>
      </c>
      <c r="CT95" s="12">
        <f>IF('Données projet'!$A$140&gt;35,CT94+CS95-DB94,IF(A95&lt;'Données projet'!$A$140,$CQ$205^A95,IF(A95='Données projet'!$A$140,'Données projet'!$B$140,CT94+CS95-DB94)))</f>
        <v>249.19999999999996</v>
      </c>
      <c r="CU95" s="17">
        <f>CT95*VLOOKUP('Données projet'!$B$13,Paramètres!$A$1:$I$89,3,0)*VLOOKUP('Données projet'!$B$13,Paramètres!$A$1:$I$89,5,0)</f>
        <v>167.16335999999998</v>
      </c>
      <c r="CV95" s="13">
        <f t="shared" si="95"/>
        <v>42.454089749918609</v>
      </c>
      <c r="CW95" s="20">
        <f t="shared" si="67"/>
        <v>365.08372498110822</v>
      </c>
      <c r="CX95" s="59">
        <f t="shared" si="68"/>
        <v>640.09402702421994</v>
      </c>
      <c r="CY95" s="59">
        <f ca="1">AVERAGE(OFFSET($CX$3,0,0,'Données projet'!$E$13+1,1))-AVERAGE(OFFSET($H$3,0,0,'Données projet'!$E$13+1,1))</f>
        <v>324.58754156328285</v>
      </c>
      <c r="CZ95" s="59">
        <f t="shared" si="96"/>
        <v>226.01037731977604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5.0655918293998115E-11</v>
      </c>
      <c r="DI95" s="22">
        <f t="shared" si="69"/>
        <v>5.0655918293998115E-11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11.242307692307691</v>
      </c>
      <c r="DO95" s="12">
        <f>IF('Données projet'!$A$166&gt;35,DO94+DN95-DW94,IF(A95&lt;'Données projet'!$A$166,$DL$205^A95,IF(A95='Données projet'!$A$166,'Données projet'!$B$166,DO94+DN95-DW94)))</f>
        <v>435.39615384615405</v>
      </c>
      <c r="DP95" s="17">
        <f>DO95*VLOOKUP('Données projet'!$B$14,Paramètres!$A$1:$I$89,3,0)*VLOOKUP('Données projet'!$B$14,Paramètres!$A$1:$I$89,5,0)</f>
        <v>203.76540000000008</v>
      </c>
      <c r="DQ95" s="13">
        <f t="shared" si="97"/>
        <v>50.570788227585879</v>
      </c>
      <c r="DR95" s="20">
        <f t="shared" si="70"/>
        <v>442.96886116304557</v>
      </c>
      <c r="DS95" s="59">
        <f t="shared" si="71"/>
        <v>717.9791632061573</v>
      </c>
      <c r="DT95" s="59">
        <f ca="1">AVERAGE(OFFSET($DS$3,0,0,'Données projet'!$E$14+1,1))-AVERAGE(OFFSET($H$3,0,0,'Données projet'!$E$14+1,1))</f>
        <v>325.93182817189722</v>
      </c>
      <c r="DU95" s="59">
        <f t="shared" si="98"/>
        <v>280.04509991782709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0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5.6843418860808015E-14</v>
      </c>
      <c r="EK95" s="17">
        <f>EJ95*VLOOKUP('Données projet'!$B$15,Paramètres!$A$1:$I$89,3,0)*VLOOKUP('Données projet'!$B$15,Paramètres!$A$1:$I$89,5,0)</f>
        <v>4.5224624045658861E-14</v>
      </c>
      <c r="EL95" s="13">
        <f t="shared" si="99"/>
        <v>7.4514601661523691E-13</v>
      </c>
      <c r="EM95" s="20">
        <f t="shared" si="73"/>
        <v>1.3765621991510601E-12</v>
      </c>
      <c r="EN95" s="59">
        <f t="shared" si="74"/>
        <v>275.01030204311309</v>
      </c>
      <c r="EO95" s="59">
        <f ca="1">AVERAGE(OFFSET($EN$3,0,0,'Données projet'!$E$15+1,1))-AVERAGE(OFFSET($H$3,0,0,'Données projet'!$E$15+1,1))</f>
        <v>333.52903437536651</v>
      </c>
      <c r="EP95" s="59">
        <f t="shared" si="100"/>
        <v>359.47288701414777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0.67802619535492625</v>
      </c>
      <c r="EX95" s="21">
        <f>EXP(-LN(2)/2)*EX94+(1-EXP(-LN(2)/2))/(LN(2)/2)*ER95*EU95*VLOOKUP('Données projet'!$B$15,Paramètres!$A$1:$I$89,3,0)*0.475*44/12</f>
        <v>1.1742962877245018E-10</v>
      </c>
      <c r="EY95" s="22">
        <f t="shared" si="75"/>
        <v>0.67802619547235587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-2.8421709430404007E-13</v>
      </c>
      <c r="FF95" s="17">
        <f>FE95*VLOOKUP('Données projet'!$B$16,Paramètres!$A$1:$I$89,3,0)*VLOOKUP('Données projet'!$B$16,Paramètres!$A$1:$I$89,5,0)</f>
        <v>-1.69961822393816E-13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313.26988717307376</v>
      </c>
      <c r="FK95" s="59">
        <f t="shared" si="102"/>
        <v>248.17359813993201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0.68276519340818509</v>
      </c>
      <c r="FR95" s="21">
        <f>EXP(-LN(2)/25)*FR94+(1-EXP(-LN(2)/25))/(LN(2)/25)*Calculateur!FM95*Calculateur!FO95*VLOOKUP('Données projet'!$B$16,Paramètres!$A$1:$I$89,3,0)*0.475*44/12</f>
        <v>1.35136532346111</v>
      </c>
      <c r="FS95" s="21">
        <f>EXP(-LN(2)/2)*FS94+(1-EXP(-LN(2)/2))/(LN(2)/2)*FM95*FP95*VLOOKUP('Données projet'!$B$16,Paramètres!$A$1:$I$89,3,0)*0.475*44/12</f>
        <v>1.9605716233124685E-9</v>
      </c>
      <c r="FT95" s="22">
        <f t="shared" si="78"/>
        <v>2.0341305188298668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2.9</v>
      </c>
      <c r="FZ95" s="12">
        <f>IF('Données projet'!$A$244&gt;35,FZ94+FY95-GH94,IF(A95&lt;'Données projet'!$A$244,$FW$205^A95,IF(A95='Données projet'!$A$244,'Données projet'!$B$244,FZ94+FY95-GH94)))</f>
        <v>155.79999999999998</v>
      </c>
      <c r="GA95" s="17">
        <f>FZ95*VLOOKUP('Données projet'!$B$17,Paramètres!$A$1:$I$89,3,0)*VLOOKUP('Données projet'!$B$17,Paramètres!$A$1:$I$89,5,0)</f>
        <v>167.70311999999998</v>
      </c>
      <c r="GB95" s="13">
        <f t="shared" si="103"/>
        <v>42.575192309390879</v>
      </c>
      <c r="GC95" s="20">
        <f t="shared" si="79"/>
        <v>366.23472727218905</v>
      </c>
      <c r="GD95" s="59">
        <f t="shared" si="80"/>
        <v>641.24502931530083</v>
      </c>
      <c r="GE95" s="59">
        <f ca="1">AVERAGE(OFFSET($GD$3,0,0,'Données projet'!$E$17+1,1))-AVERAGE(OFFSET($H$3,0,0,'Données projet'!$E$17+1,1))</f>
        <v>313.51355235711543</v>
      </c>
      <c r="GF95" s="59">
        <f t="shared" si="104"/>
        <v>186.0840067781198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0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0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5.0999999999999996</v>
      </c>
      <c r="N96" s="13">
        <f>IF('Données projet'!$A$36&gt;35,N95+M96-V95,IF(A96&lt;'Données projet'!$A$36,$K$205^A96,IF(A96='Données projet'!$A$36,'Données projet'!$B$36,N95+M96-V95)))</f>
        <v>254.29999999999995</v>
      </c>
      <c r="O96" s="13">
        <f>N96*VLOOKUP('Données projet'!$B$9,Paramètres!$A$1:$I$89,3,0)*VLOOKUP('Données projet'!$B$9,Paramètres!$A$1:$I$89,5,0)</f>
        <v>257.86019999999996</v>
      </c>
      <c r="P96" s="13">
        <f t="shared" si="87"/>
        <v>62.266039920835482</v>
      </c>
      <c r="Q96" s="20">
        <f t="shared" si="54"/>
        <v>557.55320119545502</v>
      </c>
      <c r="R96" s="59">
        <f t="shared" si="55"/>
        <v>832.88136686729104</v>
      </c>
      <c r="S96" s="59">
        <f ca="1">AVERAGE(OFFSET($R$3,0,0,'Données projet'!$E$9+1,1))-AVERAGE(OFFSET($H$3,0,0,'Données projet'!$E$9+1,1))</f>
        <v>452.67426184967104</v>
      </c>
      <c r="T96" s="59">
        <f t="shared" si="88"/>
        <v>310.47823616327639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3.4615384615384586</v>
      </c>
      <c r="AI96" s="13">
        <f>IF('Données projet'!$A$62&gt;35,AI95+AH96-AQ95,IF(A96&lt;'Données projet'!$A$62,$AF$205^A96,IF(A96='Données projet'!$A$62,'Données projet'!$B$62,AI95+AH96-AQ95)))</f>
        <v>285.38461538461536</v>
      </c>
      <c r="AJ96" s="13">
        <f>AI96*VLOOKUP('Données projet'!$B$10,Paramètres!$A$1:$I$89,3,0)*VLOOKUP('Données projet'!$B$10,Paramètres!$A$1:$I$89,5,0)</f>
        <v>298.28399999999999</v>
      </c>
      <c r="AK96" s="13">
        <f t="shared" si="89"/>
        <v>70.816603948985573</v>
      </c>
      <c r="AL96" s="20">
        <f t="shared" si="58"/>
        <v>642.85021854448325</v>
      </c>
      <c r="AM96" s="59">
        <f t="shared" si="59"/>
        <v>918.17838421631927</v>
      </c>
      <c r="AN96" s="59">
        <f ca="1">AVERAGE(OFFSET($AM$3,0,0,'Données projet'!$E$10+1,1))-AVERAGE(OFFSET($H$3,0,0,'Données projet'!$E$10+1,1))</f>
        <v>528.45201982036087</v>
      </c>
      <c r="AO96" s="59">
        <f t="shared" si="90"/>
        <v>321.23004033257985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3.2524022921145574E-11</v>
      </c>
      <c r="AX96" s="21">
        <f t="shared" si="60"/>
        <v>3.2524022921145574E-11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2.9</v>
      </c>
      <c r="BD96" s="12">
        <f>IF('Données projet'!$A$88&gt;35,BD95+BC96-BL95,IF(A96&lt;'Données projet'!$A$88,$BA$205^A96,IF(A96='Données projet'!$A$88,'Données projet'!$B$88,BD95+BC96-BL95)))</f>
        <v>158.69999999999999</v>
      </c>
      <c r="BE96" s="13">
        <f>BD96*VLOOKUP('Données projet'!$B$11,Paramètres!$A$1:$I$89,3,0)*VLOOKUP('Données projet'!$B$11,Paramètres!$A$1:$I$89,5,0)</f>
        <v>153.49464</v>
      </c>
      <c r="BF96" s="13">
        <f t="shared" si="91"/>
        <v>39.371687492841382</v>
      </c>
      <c r="BG96" s="20">
        <f t="shared" si="61"/>
        <v>335.90885371669873</v>
      </c>
      <c r="BH96" s="59">
        <f t="shared" si="62"/>
        <v>611.23701938853469</v>
      </c>
      <c r="BI96" s="59">
        <f ca="1">AVERAGE(OFFSET($BH$3,0,0,'Données projet'!$E$11+1,1))-AVERAGE(OFFSET($H$3,0,0,'Données projet'!$E$11+1,1))</f>
        <v>289.06522051625166</v>
      </c>
      <c r="BJ96" s="59">
        <f t="shared" si="92"/>
        <v>173.19148969173838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234.00000000000045</v>
      </c>
      <c r="BZ96" s="13">
        <f>BY96*VLOOKUP('Données projet'!$B$12,Paramètres!$A$1:$I$89,3,0)*VLOOKUP('Données projet'!$B$12,Paramètres!$A$1:$I$89,5,0)</f>
        <v>189.82080000000036</v>
      </c>
      <c r="CA96" s="13">
        <f t="shared" si="93"/>
        <v>47.500332100049881</v>
      </c>
      <c r="CB96" s="20">
        <f t="shared" si="64"/>
        <v>413.33430507425419</v>
      </c>
      <c r="CC96" s="59">
        <f t="shared" si="65"/>
        <v>688.66247074609009</v>
      </c>
      <c r="CD96" s="59">
        <f ca="1">AVERAGE(OFFSET($CC$3,0,0,'Données projet'!$E$12+1,1))-AVERAGE(OFFSET($H$3,0,0,'Données projet'!$E$12+1,1))</f>
        <v>306.06916761900357</v>
      </c>
      <c r="CE96" s="59">
        <f t="shared" si="94"/>
        <v>258.90832875500337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5.9067509090223807E-11</v>
      </c>
      <c r="CN96" s="22">
        <f t="shared" si="66"/>
        <v>5.9067509090223807E-11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5.0999999999999996</v>
      </c>
      <c r="CT96" s="12">
        <f>IF('Données projet'!$A$140&gt;35,CT95+CS96-DB95,IF(A96&lt;'Données projet'!$A$140,$CQ$205^A96,IF(A96='Données projet'!$A$140,'Données projet'!$B$140,CT95+CS96-DB95)))</f>
        <v>254.29999999999995</v>
      </c>
      <c r="CU96" s="17">
        <f>CT96*VLOOKUP('Données projet'!$B$13,Paramètres!$A$1:$I$89,3,0)*VLOOKUP('Données projet'!$B$13,Paramètres!$A$1:$I$89,5,0)</f>
        <v>170.58443999999997</v>
      </c>
      <c r="CV96" s="13">
        <f t="shared" si="95"/>
        <v>43.220892546865429</v>
      </c>
      <c r="CW96" s="20">
        <f t="shared" si="67"/>
        <v>372.37762085245726</v>
      </c>
      <c r="CX96" s="59">
        <f t="shared" si="68"/>
        <v>647.70578652429322</v>
      </c>
      <c r="CY96" s="59">
        <f ca="1">AVERAGE(OFFSET($CX$3,0,0,'Données projet'!$E$13+1,1))-AVERAGE(OFFSET($H$3,0,0,'Données projet'!$E$13+1,1))</f>
        <v>324.58754156328285</v>
      </c>
      <c r="CZ96" s="59">
        <f t="shared" si="96"/>
        <v>226.01037731977604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3.5819143332917755E-11</v>
      </c>
      <c r="DI96" s="22">
        <f t="shared" si="69"/>
        <v>3.5819143332917755E-11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11.242307692307691</v>
      </c>
      <c r="DO96" s="12">
        <f>IF('Données projet'!$A$166&gt;35,DO95+DN96-DW95,IF(A96&lt;'Données projet'!$A$166,$DL$205^A96,IF(A96='Données projet'!$A$166,'Données projet'!$B$166,DO95+DN96-DW95)))</f>
        <v>446.63846153846174</v>
      </c>
      <c r="DP96" s="17">
        <f>DO96*VLOOKUP('Données projet'!$B$14,Paramètres!$A$1:$I$89,3,0)*VLOOKUP('Données projet'!$B$14,Paramètres!$A$1:$I$89,5,0)</f>
        <v>209.02680000000009</v>
      </c>
      <c r="DQ96" s="13">
        <f t="shared" si="97"/>
        <v>51.722859553755349</v>
      </c>
      <c r="DR96" s="20">
        <f t="shared" si="70"/>
        <v>454.13899038945743</v>
      </c>
      <c r="DS96" s="59">
        <f t="shared" si="71"/>
        <v>729.46715606129339</v>
      </c>
      <c r="DT96" s="59">
        <f ca="1">AVERAGE(OFFSET($DS$3,0,0,'Données projet'!$E$14+1,1))-AVERAGE(OFFSET($H$3,0,0,'Données projet'!$E$14+1,1))</f>
        <v>325.93182817189722</v>
      </c>
      <c r="DU96" s="59">
        <f t="shared" si="98"/>
        <v>280.04509991782709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0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5.6843418860808015E-14</v>
      </c>
      <c r="EK96" s="17">
        <f>EJ96*VLOOKUP('Données projet'!$B$15,Paramètres!$A$1:$I$89,3,0)*VLOOKUP('Données projet'!$B$15,Paramètres!$A$1:$I$89,5,0)</f>
        <v>4.5224624045658861E-14</v>
      </c>
      <c r="EL96" s="13">
        <f t="shared" si="99"/>
        <v>7.4514601661523691E-13</v>
      </c>
      <c r="EM96" s="20">
        <f t="shared" si="73"/>
        <v>1.3765621991510601E-12</v>
      </c>
      <c r="EN96" s="59">
        <f t="shared" si="74"/>
        <v>275.32816567183733</v>
      </c>
      <c r="EO96" s="59">
        <f ca="1">AVERAGE(OFFSET($EN$3,0,0,'Données projet'!$E$15+1,1))-AVERAGE(OFFSET($H$3,0,0,'Données projet'!$E$15+1,1))</f>
        <v>333.52903437536651</v>
      </c>
      <c r="EP96" s="59">
        <f t="shared" si="100"/>
        <v>359.47288701414777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0.65948553338709781</v>
      </c>
      <c r="EX96" s="21">
        <f>EXP(-LN(2)/2)*EX95+(1-EXP(-LN(2)/2))/(LN(2)/2)*ER96*EU96*VLOOKUP('Données projet'!$B$15,Paramètres!$A$1:$I$89,3,0)*0.475*44/12</f>
        <v>8.3035286817218435E-11</v>
      </c>
      <c r="EY96" s="22">
        <f t="shared" si="75"/>
        <v>0.65948553347013306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-2.8421709430404007E-13</v>
      </c>
      <c r="FF96" s="17">
        <f>FE96*VLOOKUP('Données projet'!$B$16,Paramètres!$A$1:$I$89,3,0)*VLOOKUP('Données projet'!$B$16,Paramètres!$A$1:$I$89,5,0)</f>
        <v>-1.69961822393816E-13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313.26988717307376</v>
      </c>
      <c r="FK96" s="59">
        <f t="shared" si="102"/>
        <v>248.17359813993201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0.66937658441109793</v>
      </c>
      <c r="FR96" s="21">
        <f>EXP(-LN(2)/25)*FR95+(1-EXP(-LN(2)/25))/(LN(2)/25)*Calculateur!FM96*Calculateur!FO96*VLOOKUP('Données projet'!$B$16,Paramètres!$A$1:$I$89,3,0)*0.475*44/12</f>
        <v>1.3144121676258522</v>
      </c>
      <c r="FS96" s="21">
        <f>EXP(-LN(2)/2)*FS95+(1-EXP(-LN(2)/2))/(LN(2)/2)*FM96*FP96*VLOOKUP('Données projet'!$B$16,Paramètres!$A$1:$I$89,3,0)*0.475*44/12</f>
        <v>1.386333489846164E-9</v>
      </c>
      <c r="FT96" s="22">
        <f t="shared" si="78"/>
        <v>1.9837887534232836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2.9</v>
      </c>
      <c r="FZ96" s="12">
        <f>IF('Données projet'!$A$244&gt;35,FZ95+FY96-GH95,IF(A96&lt;'Données projet'!$A$244,$FW$205^A96,IF(A96='Données projet'!$A$244,'Données projet'!$B$244,FZ95+FY96-GH95)))</f>
        <v>158.69999999999999</v>
      </c>
      <c r="GA96" s="17">
        <f>FZ96*VLOOKUP('Données projet'!$B$17,Paramètres!$A$1:$I$89,3,0)*VLOOKUP('Données projet'!$B$17,Paramètres!$A$1:$I$89,5,0)</f>
        <v>170.82467999999997</v>
      </c>
      <c r="GB96" s="13">
        <f t="shared" si="103"/>
        <v>43.274672418793848</v>
      </c>
      <c r="GC96" s="20">
        <f t="shared" si="79"/>
        <v>372.88970546273254</v>
      </c>
      <c r="GD96" s="59">
        <f t="shared" si="80"/>
        <v>648.21787113456844</v>
      </c>
      <c r="GE96" s="59">
        <f ca="1">AVERAGE(OFFSET($GD$3,0,0,'Données projet'!$E$17+1,1))-AVERAGE(OFFSET($H$3,0,0,'Données projet'!$E$17+1,1))</f>
        <v>313.51355235711543</v>
      </c>
      <c r="GF96" s="59">
        <f t="shared" si="104"/>
        <v>186.0840067781198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0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0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5.0999999999999996</v>
      </c>
      <c r="N97" s="13">
        <f>IF('Données projet'!$A$36&gt;35,N96+M97-V96,IF(A97&lt;'Données projet'!$A$36,$K$205^A97,IF(A97='Données projet'!$A$36,'Données projet'!$B$36,N96+M97-V96)))</f>
        <v>259.39999999999998</v>
      </c>
      <c r="O97" s="13">
        <f>N97*VLOOKUP('Données projet'!$B$9,Paramètres!$A$1:$I$89,3,0)*VLOOKUP('Données projet'!$B$9,Paramètres!$A$1:$I$89,5,0)</f>
        <v>263.03159999999997</v>
      </c>
      <c r="P97" s="13">
        <f t="shared" si="87"/>
        <v>63.368155928598917</v>
      </c>
      <c r="Q97" s="20">
        <f t="shared" si="54"/>
        <v>568.47957490897636</v>
      </c>
      <c r="R97" s="59">
        <f t="shared" si="55"/>
        <v>844.12008998621491</v>
      </c>
      <c r="S97" s="59">
        <f ca="1">AVERAGE(OFFSET($R$3,0,0,'Données projet'!$E$9+1,1))-AVERAGE(OFFSET($H$3,0,0,'Données projet'!$E$9+1,1))</f>
        <v>452.67426184967104</v>
      </c>
      <c r="T97" s="59">
        <f t="shared" si="88"/>
        <v>310.47823616327639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3.4615384615384586</v>
      </c>
      <c r="AI97" s="13">
        <f>IF('Données projet'!$A$62&gt;35,AI96+AH97-AQ96,IF(A97&lt;'Données projet'!$A$62,$AF$205^A97,IF(A97='Données projet'!$A$62,'Données projet'!$B$62,AI96+AH97-AQ96)))</f>
        <v>288.84615384615381</v>
      </c>
      <c r="AJ97" s="13">
        <f>AI97*VLOOKUP('Données projet'!$B$10,Paramètres!$A$1:$I$89,3,0)*VLOOKUP('Données projet'!$B$10,Paramètres!$A$1:$I$89,5,0)</f>
        <v>301.90199999999999</v>
      </c>
      <c r="AK97" s="13">
        <f t="shared" si="89"/>
        <v>71.575048950857948</v>
      </c>
      <c r="AL97" s="20">
        <f t="shared" si="58"/>
        <v>650.47252692274412</v>
      </c>
      <c r="AM97" s="59">
        <f t="shared" si="59"/>
        <v>926.11304199998267</v>
      </c>
      <c r="AN97" s="59">
        <f ca="1">AVERAGE(OFFSET($AM$3,0,0,'Données projet'!$E$10+1,1))-AVERAGE(OFFSET($H$3,0,0,'Données projet'!$E$10+1,1))</f>
        <v>528.45201982036087</v>
      </c>
      <c r="AO97" s="59">
        <f t="shared" si="90"/>
        <v>321.23004033257985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2.299795715900874E-11</v>
      </c>
      <c r="AX97" s="21">
        <f t="shared" si="60"/>
        <v>2.299795715900874E-11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2.9</v>
      </c>
      <c r="BD97" s="12">
        <f>IF('Données projet'!$A$88&gt;35,BD96+BC97-BL96,IF(A97&lt;'Données projet'!$A$88,$BA$205^A97,IF(A97='Données projet'!$A$88,'Données projet'!$B$88,BD96+BC97-BL96)))</f>
        <v>161.6</v>
      </c>
      <c r="BE97" s="13">
        <f>BD97*VLOOKUP('Données projet'!$B$11,Paramètres!$A$1:$I$89,3,0)*VLOOKUP('Données projet'!$B$11,Paramètres!$A$1:$I$89,5,0)</f>
        <v>156.29952</v>
      </c>
      <c r="BF97" s="13">
        <f t="shared" si="91"/>
        <v>40.006728538728396</v>
      </c>
      <c r="BG97" s="20">
        <f t="shared" si="61"/>
        <v>341.90004953828526</v>
      </c>
      <c r="BH97" s="59">
        <f t="shared" si="62"/>
        <v>617.54056461552375</v>
      </c>
      <c r="BI97" s="59">
        <f ca="1">AVERAGE(OFFSET($BH$3,0,0,'Données projet'!$E$11+1,1))-AVERAGE(OFFSET($H$3,0,0,'Données projet'!$E$11+1,1))</f>
        <v>289.06522051625166</v>
      </c>
      <c r="BJ97" s="59">
        <f t="shared" si="92"/>
        <v>173.19148969173838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234.00000000000045</v>
      </c>
      <c r="BZ97" s="13">
        <f>BY97*VLOOKUP('Données projet'!$B$12,Paramètres!$A$1:$I$89,3,0)*VLOOKUP('Données projet'!$B$12,Paramètres!$A$1:$I$89,5,0)</f>
        <v>189.82080000000036</v>
      </c>
      <c r="CA97" s="13">
        <f t="shared" si="93"/>
        <v>47.500332100049881</v>
      </c>
      <c r="CB97" s="20">
        <f t="shared" si="64"/>
        <v>413.33430507425419</v>
      </c>
      <c r="CC97" s="59">
        <f t="shared" si="65"/>
        <v>688.97482015149262</v>
      </c>
      <c r="CD97" s="59">
        <f ca="1">AVERAGE(OFFSET($CC$3,0,0,'Données projet'!$E$12+1,1))-AVERAGE(OFFSET($H$3,0,0,'Données projet'!$E$12+1,1))</f>
        <v>306.06916761900357</v>
      </c>
      <c r="CE97" s="59">
        <f t="shared" si="94"/>
        <v>258.90832875500337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4.1767036225495293E-11</v>
      </c>
      <c r="CN97" s="22">
        <f t="shared" si="66"/>
        <v>4.1767036225495293E-11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5.0999999999999996</v>
      </c>
      <c r="CT97" s="12">
        <f>IF('Données projet'!$A$140&gt;35,CT96+CS97-DB96,IF(A97&lt;'Données projet'!$A$140,$CQ$205^A97,IF(A97='Données projet'!$A$140,'Données projet'!$B$140,CT96+CS97-DB96)))</f>
        <v>259.39999999999998</v>
      </c>
      <c r="CU97" s="17">
        <f>CT97*VLOOKUP('Données projet'!$B$13,Paramètres!$A$1:$I$89,3,0)*VLOOKUP('Données projet'!$B$13,Paramètres!$A$1:$I$89,5,0)</f>
        <v>174.00551999999999</v>
      </c>
      <c r="CV97" s="13">
        <f t="shared" si="95"/>
        <v>43.985907274095325</v>
      </c>
      <c r="CW97" s="20">
        <f t="shared" si="67"/>
        <v>379.66840250238266</v>
      </c>
      <c r="CX97" s="59">
        <f t="shared" si="68"/>
        <v>655.30891757962115</v>
      </c>
      <c r="CY97" s="59">
        <f ca="1">AVERAGE(OFFSET($CX$3,0,0,'Données projet'!$E$13+1,1))-AVERAGE(OFFSET($H$3,0,0,'Données projet'!$E$13+1,1))</f>
        <v>324.58754156328285</v>
      </c>
      <c r="CZ97" s="59">
        <f t="shared" si="96"/>
        <v>226.01037731977604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2.5327959146999058E-11</v>
      </c>
      <c r="DI97" s="22">
        <f t="shared" si="69"/>
        <v>2.5327959146999058E-11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11.242307692307691</v>
      </c>
      <c r="DO97" s="12">
        <f>IF('Données projet'!$A$166&gt;35,DO96+DN97-DW96,IF(A97&lt;'Données projet'!$A$166,$DL$205^A97,IF(A97='Données projet'!$A$166,'Données projet'!$B$166,DO96+DN97-DW96)))</f>
        <v>457.88076923076943</v>
      </c>
      <c r="DP97" s="17">
        <f>DO97*VLOOKUP('Données projet'!$B$14,Paramètres!$A$1:$I$89,3,0)*VLOOKUP('Données projet'!$B$14,Paramètres!$A$1:$I$89,5,0)</f>
        <v>214.28820000000007</v>
      </c>
      <c r="DQ97" s="13">
        <f t="shared" si="97"/>
        <v>52.871559993650941</v>
      </c>
      <c r="DR97" s="20">
        <f t="shared" si="70"/>
        <v>465.3032486556088</v>
      </c>
      <c r="DS97" s="59">
        <f t="shared" si="71"/>
        <v>740.94376373284729</v>
      </c>
      <c r="DT97" s="59">
        <f ca="1">AVERAGE(OFFSET($DS$3,0,0,'Données projet'!$E$14+1,1))-AVERAGE(OFFSET($H$3,0,0,'Données projet'!$E$14+1,1))</f>
        <v>325.93182817189722</v>
      </c>
      <c r="DU97" s="59">
        <f t="shared" si="98"/>
        <v>280.04509991782709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0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5.6843418860808015E-14</v>
      </c>
      <c r="EK97" s="17">
        <f>EJ97*VLOOKUP('Données projet'!$B$15,Paramètres!$A$1:$I$89,3,0)*VLOOKUP('Données projet'!$B$15,Paramètres!$A$1:$I$89,5,0)</f>
        <v>4.5224624045658861E-14</v>
      </c>
      <c r="EL97" s="13">
        <f t="shared" si="99"/>
        <v>7.4514601661523691E-13</v>
      </c>
      <c r="EM97" s="20">
        <f t="shared" si="73"/>
        <v>1.3765621991510601E-12</v>
      </c>
      <c r="EN97" s="59">
        <f t="shared" si="74"/>
        <v>275.64051507723985</v>
      </c>
      <c r="EO97" s="59">
        <f ca="1">AVERAGE(OFFSET($EN$3,0,0,'Données projet'!$E$15+1,1))-AVERAGE(OFFSET($H$3,0,0,'Données projet'!$E$15+1,1))</f>
        <v>333.52903437536651</v>
      </c>
      <c r="EP97" s="59">
        <f t="shared" si="100"/>
        <v>359.47288701414777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0.64145186679579069</v>
      </c>
      <c r="EX97" s="21">
        <f>EXP(-LN(2)/2)*EX96+(1-EXP(-LN(2)/2))/(LN(2)/2)*ER97*EU97*VLOOKUP('Données projet'!$B$15,Paramètres!$A$1:$I$89,3,0)*0.475*44/12</f>
        <v>5.8714814386225088E-11</v>
      </c>
      <c r="EY97" s="22">
        <f t="shared" si="75"/>
        <v>0.6414518668545055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-2.8421709430404007E-13</v>
      </c>
      <c r="FF97" s="17">
        <f>FE97*VLOOKUP('Données projet'!$B$16,Paramètres!$A$1:$I$89,3,0)*VLOOKUP('Données projet'!$B$16,Paramètres!$A$1:$I$89,5,0)</f>
        <v>-1.69961822393816E-13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313.26988717307376</v>
      </c>
      <c r="FK97" s="59">
        <f t="shared" si="102"/>
        <v>248.17359813993201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0.6562505178701985</v>
      </c>
      <c r="FR97" s="21">
        <f>EXP(-LN(2)/25)*FR96+(1-EXP(-LN(2)/25))/(LN(2)/25)*Calculateur!FM97*Calculateur!FO97*VLOOKUP('Données projet'!$B$16,Paramètres!$A$1:$I$89,3,0)*0.475*44/12</f>
        <v>1.2784694977801916</v>
      </c>
      <c r="FS97" s="21">
        <f>EXP(-LN(2)/2)*FS96+(1-EXP(-LN(2)/2))/(LN(2)/2)*FM97*FP97*VLOOKUP('Données projet'!$B$16,Paramètres!$A$1:$I$89,3,0)*0.475*44/12</f>
        <v>9.8028581165623425E-10</v>
      </c>
      <c r="FT97" s="22">
        <f t="shared" si="78"/>
        <v>1.9347200166306759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2.9</v>
      </c>
      <c r="FZ97" s="12">
        <f>IF('Données projet'!$A$244&gt;35,FZ96+FY97-GH96,IF(A97&lt;'Données projet'!$A$244,$FW$205^A97,IF(A97='Données projet'!$A$244,'Données projet'!$B$244,FZ96+FY97-GH96)))</f>
        <v>161.6</v>
      </c>
      <c r="GA97" s="17">
        <f>FZ97*VLOOKUP('Données projet'!$B$17,Paramètres!$A$1:$I$89,3,0)*VLOOKUP('Données projet'!$B$17,Paramètres!$A$1:$I$89,5,0)</f>
        <v>173.94623999999999</v>
      </c>
      <c r="GB97" s="13">
        <f t="shared" si="103"/>
        <v>43.972666205274265</v>
      </c>
      <c r="GC97" s="20">
        <f t="shared" si="79"/>
        <v>379.542094974186</v>
      </c>
      <c r="GD97" s="59">
        <f t="shared" si="80"/>
        <v>655.18261005142449</v>
      </c>
      <c r="GE97" s="59">
        <f ca="1">AVERAGE(OFFSET($GD$3,0,0,'Données projet'!$E$17+1,1))-AVERAGE(OFFSET($H$3,0,0,'Données projet'!$E$17+1,1))</f>
        <v>313.51355235711543</v>
      </c>
      <c r="GF97" s="59">
        <f t="shared" si="104"/>
        <v>186.0840067781198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0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0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5.0999999999999996</v>
      </c>
      <c r="N98" s="13">
        <f>IF('Données projet'!$A$36&gt;35,N97+M98-V97,IF(A98&lt;'Données projet'!$A$36,$K$205^A98,IF(A98='Données projet'!$A$36,'Données projet'!$B$36,N97+M98-V97)))</f>
        <v>264.5</v>
      </c>
      <c r="O98" s="13">
        <f>N98*VLOOKUP('Données projet'!$B$9,Paramètres!$A$1:$I$89,3,0)*VLOOKUP('Données projet'!$B$9,Paramètres!$A$1:$I$89,5,0)</f>
        <v>268.20300000000003</v>
      </c>
      <c r="P98" s="13">
        <f t="shared" si="87"/>
        <v>64.467752442973335</v>
      </c>
      <c r="Q98" s="20">
        <f t="shared" si="54"/>
        <v>579.40156050484518</v>
      </c>
      <c r="R98" s="59">
        <f t="shared" si="55"/>
        <v>855.34900642361117</v>
      </c>
      <c r="S98" s="59">
        <f ca="1">AVERAGE(OFFSET($R$3,0,0,'Données projet'!$E$9+1,1))-AVERAGE(OFFSET($H$3,0,0,'Données projet'!$E$9+1,1))</f>
        <v>452.67426184967104</v>
      </c>
      <c r="T98" s="59">
        <f t="shared" si="88"/>
        <v>310.47823616327639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3.4615384615384586</v>
      </c>
      <c r="AI98" s="13">
        <f>IF('Données projet'!$A$62&gt;35,AI97+AH98-AQ97,IF(A98&lt;'Données projet'!$A$62,$AF$205^A98,IF(A98='Données projet'!$A$62,'Données projet'!$B$62,AI97+AH98-AQ97)))</f>
        <v>292.30769230769226</v>
      </c>
      <c r="AJ98" s="13">
        <f>AI98*VLOOKUP('Données projet'!$B$10,Paramètres!$A$1:$I$89,3,0)*VLOOKUP('Données projet'!$B$10,Paramètres!$A$1:$I$89,5,0)</f>
        <v>305.52</v>
      </c>
      <c r="AK98" s="13">
        <f t="shared" si="89"/>
        <v>72.332436678206648</v>
      </c>
      <c r="AL98" s="20">
        <f t="shared" si="58"/>
        <v>658.09299388120974</v>
      </c>
      <c r="AM98" s="59">
        <f t="shared" si="59"/>
        <v>934.04043979997573</v>
      </c>
      <c r="AN98" s="59">
        <f ca="1">AVERAGE(OFFSET($AM$3,0,0,'Données projet'!$E$10+1,1))-AVERAGE(OFFSET($H$3,0,0,'Données projet'!$E$10+1,1))</f>
        <v>528.45201982036087</v>
      </c>
      <c r="AO98" s="59">
        <f t="shared" si="90"/>
        <v>321.23004033257985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1.6262011460572787E-11</v>
      </c>
      <c r="AX98" s="21">
        <f t="shared" si="60"/>
        <v>1.6262011460572787E-11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2.9</v>
      </c>
      <c r="BD98" s="12">
        <f>IF('Données projet'!$A$88&gt;35,BD97+BC98-BL97,IF(A98&lt;'Données projet'!$A$88,$BA$205^A98,IF(A98='Données projet'!$A$88,'Données projet'!$B$88,BD97+BC98-BL97)))</f>
        <v>164.5</v>
      </c>
      <c r="BE98" s="13">
        <f>BD98*VLOOKUP('Données projet'!$B$11,Paramètres!$A$1:$I$89,3,0)*VLOOKUP('Données projet'!$B$11,Paramètres!$A$1:$I$89,5,0)</f>
        <v>159.1044</v>
      </c>
      <c r="BF98" s="13">
        <f t="shared" si="91"/>
        <v>40.640444381186896</v>
      </c>
      <c r="BG98" s="20">
        <f t="shared" si="61"/>
        <v>347.88893729723378</v>
      </c>
      <c r="BH98" s="59">
        <f t="shared" si="62"/>
        <v>623.83638321599972</v>
      </c>
      <c r="BI98" s="59">
        <f ca="1">AVERAGE(OFFSET($BH$3,0,0,'Données projet'!$E$11+1,1))-AVERAGE(OFFSET($H$3,0,0,'Données projet'!$E$11+1,1))</f>
        <v>289.06522051625166</v>
      </c>
      <c r="BJ98" s="59">
        <f t="shared" si="92"/>
        <v>173.19148969173838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234.00000000000045</v>
      </c>
      <c r="BZ98" s="13">
        <f>BY98*VLOOKUP('Données projet'!$B$12,Paramètres!$A$1:$I$89,3,0)*VLOOKUP('Données projet'!$B$12,Paramètres!$A$1:$I$89,5,0)</f>
        <v>189.82080000000036</v>
      </c>
      <c r="CA98" s="13">
        <f t="shared" si="93"/>
        <v>47.500332100049881</v>
      </c>
      <c r="CB98" s="20">
        <f t="shared" si="64"/>
        <v>413.33430507425419</v>
      </c>
      <c r="CC98" s="59">
        <f t="shared" si="65"/>
        <v>689.28175099302007</v>
      </c>
      <c r="CD98" s="59">
        <f ca="1">AVERAGE(OFFSET($CC$3,0,0,'Données projet'!$E$12+1,1))-AVERAGE(OFFSET($H$3,0,0,'Données projet'!$E$12+1,1))</f>
        <v>306.06916761900357</v>
      </c>
      <c r="CE98" s="59">
        <f t="shared" si="94"/>
        <v>258.90832875500337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2.9533754545111903E-11</v>
      </c>
      <c r="CN98" s="22">
        <f t="shared" si="66"/>
        <v>2.9533754545111903E-11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5.0999999999999996</v>
      </c>
      <c r="CT98" s="12">
        <f>IF('Données projet'!$A$140&gt;35,CT97+CS98-DB97,IF(A98&lt;'Données projet'!$A$140,$CQ$205^A98,IF(A98='Données projet'!$A$140,'Données projet'!$B$140,CT97+CS98-DB97)))</f>
        <v>264.5</v>
      </c>
      <c r="CU98" s="17">
        <f>CT98*VLOOKUP('Données projet'!$B$13,Paramètres!$A$1:$I$89,3,0)*VLOOKUP('Données projet'!$B$13,Paramètres!$A$1:$I$89,5,0)</f>
        <v>177.42660000000001</v>
      </c>
      <c r="CV98" s="13">
        <f t="shared" si="95"/>
        <v>44.749173138651841</v>
      </c>
      <c r="CW98" s="20">
        <f t="shared" si="67"/>
        <v>386.95613821648527</v>
      </c>
      <c r="CX98" s="59">
        <f t="shared" si="68"/>
        <v>662.90358413525121</v>
      </c>
      <c r="CY98" s="59">
        <f ca="1">AVERAGE(OFFSET($CX$3,0,0,'Données projet'!$E$13+1,1))-AVERAGE(OFFSET($H$3,0,0,'Données projet'!$E$13+1,1))</f>
        <v>324.58754156328285</v>
      </c>
      <c r="CZ98" s="59">
        <f t="shared" si="96"/>
        <v>226.01037731977604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1.7909571666458877E-11</v>
      </c>
      <c r="DI98" s="22">
        <f t="shared" si="69"/>
        <v>1.7909571666458877E-11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469.12307692307689</v>
      </c>
      <c r="DM98" s="12">
        <f>VLOOKUP(A98,'Données projet'!$A$165:$I$185,9,0)</f>
        <v>11.242307692307691</v>
      </c>
      <c r="DN98" s="12">
        <f t="array" ref="DN98">INDEX(DM:DM,MIN(IF(ISNUMBER(DM98:DM294),ROW(DM98:DM294),"")))</f>
        <v>11.242307692307691</v>
      </c>
      <c r="DO98" s="12">
        <f>IF('Données projet'!$A$166&gt;35,DO97+DN98-DW97,IF(A98&lt;'Données projet'!$A$166,$DL$205^A98,IF(A98='Données projet'!$A$166,'Données projet'!$B$166,DO97+DN98-DW97)))</f>
        <v>469.12307692307712</v>
      </c>
      <c r="DP98" s="17">
        <f>DO98*VLOOKUP('Données projet'!$B$14,Paramètres!$A$1:$I$89,3,0)*VLOOKUP('Données projet'!$B$14,Paramètres!$A$1:$I$89,5,0)</f>
        <v>219.54960000000008</v>
      </c>
      <c r="DQ98" s="13">
        <f t="shared" si="97"/>
        <v>54.016981833057052</v>
      </c>
      <c r="DR98" s="20">
        <f t="shared" si="70"/>
        <v>476.46179669257441</v>
      </c>
      <c r="DS98" s="59">
        <f t="shared" si="71"/>
        <v>752.40924261134035</v>
      </c>
      <c r="DT98" s="59">
        <f ca="1">AVERAGE(OFFSET($DS$3,0,0,'Données projet'!$E$14+1,1))-AVERAGE(OFFSET($H$3,0,0,'Données projet'!$E$14+1,1))</f>
        <v>325.93182817189722</v>
      </c>
      <c r="DU98" s="59">
        <f t="shared" si="98"/>
        <v>280.04509991782709</v>
      </c>
      <c r="DV98" s="15">
        <f>IF(ISNA(VLOOKUP(A98,'Données projet'!$A$165:$I$185,3,0)),0,VLOOKUP(A98,'Données projet'!$A$165:$I$185,3,0))</f>
        <v>8</v>
      </c>
      <c r="DW98" s="15">
        <f>IF(ISNA(VLOOKUP(A98,'Données projet'!$A$165:$I$185,4,0)),0,VLOOKUP(A98,'Données projet'!$A$165:$I$185,4,0))</f>
        <v>234.42307692307691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0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5.6843418860808015E-14</v>
      </c>
      <c r="EK98" s="17">
        <f>EJ98*VLOOKUP('Données projet'!$B$15,Paramètres!$A$1:$I$89,3,0)*VLOOKUP('Données projet'!$B$15,Paramètres!$A$1:$I$89,5,0)</f>
        <v>4.5224624045658861E-14</v>
      </c>
      <c r="EL98" s="13">
        <f t="shared" si="99"/>
        <v>7.4514601661523691E-13</v>
      </c>
      <c r="EM98" s="20">
        <f t="shared" si="73"/>
        <v>1.3765621991510601E-12</v>
      </c>
      <c r="EN98" s="59">
        <f t="shared" si="74"/>
        <v>275.9474459187673</v>
      </c>
      <c r="EO98" s="59">
        <f ca="1">AVERAGE(OFFSET($EN$3,0,0,'Données projet'!$E$15+1,1))-AVERAGE(OFFSET($H$3,0,0,'Données projet'!$E$15+1,1))</f>
        <v>333.52903437536651</v>
      </c>
      <c r="EP98" s="59">
        <f t="shared" si="100"/>
        <v>359.47288701414777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0.62391133176577218</v>
      </c>
      <c r="EX98" s="21">
        <f>EXP(-LN(2)/2)*EX97+(1-EXP(-LN(2)/2))/(LN(2)/2)*ER98*EU98*VLOOKUP('Données projet'!$B$15,Paramètres!$A$1:$I$89,3,0)*0.475*44/12</f>
        <v>4.1517643408609217E-11</v>
      </c>
      <c r="EY98" s="22">
        <f t="shared" si="75"/>
        <v>0.62391133180728986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-2.8421709430404007E-13</v>
      </c>
      <c r="FF98" s="17">
        <f>FE98*VLOOKUP('Données projet'!$B$16,Paramètres!$A$1:$I$89,3,0)*VLOOKUP('Données projet'!$B$16,Paramètres!$A$1:$I$89,5,0)</f>
        <v>-1.69961822393816E-13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313.26988717307376</v>
      </c>
      <c r="FK98" s="59">
        <f t="shared" si="102"/>
        <v>248.17359813993201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0.6433818454880561</v>
      </c>
      <c r="FR98" s="21">
        <f>EXP(-LN(2)/25)*FR97+(1-EXP(-LN(2)/25))/(LN(2)/25)*Calculateur!FM98*Calculateur!FO98*VLOOKUP('Données projet'!$B$16,Paramètres!$A$1:$I$89,3,0)*0.475*44/12</f>
        <v>1.2435096821316034</v>
      </c>
      <c r="FS98" s="21">
        <f>EXP(-LN(2)/2)*FS97+(1-EXP(-LN(2)/2))/(LN(2)/2)*FM98*FP98*VLOOKUP('Données projet'!$B$16,Paramètres!$A$1:$I$89,3,0)*0.475*44/12</f>
        <v>6.93166744923082E-10</v>
      </c>
      <c r="FT98" s="22">
        <f t="shared" si="78"/>
        <v>1.886891528312826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2.9</v>
      </c>
      <c r="FZ98" s="12">
        <f>IF('Données projet'!$A$244&gt;35,FZ97+FY98-GH97,IF(A98&lt;'Données projet'!$A$244,$FW$205^A98,IF(A98='Données projet'!$A$244,'Données projet'!$B$244,FZ97+FY98-GH97)))</f>
        <v>164.5</v>
      </c>
      <c r="GA98" s="17">
        <f>FZ98*VLOOKUP('Données projet'!$B$17,Paramètres!$A$1:$I$89,3,0)*VLOOKUP('Données projet'!$B$17,Paramètres!$A$1:$I$89,5,0)</f>
        <v>177.06780000000001</v>
      </c>
      <c r="GB98" s="13">
        <f t="shared" si="103"/>
        <v>44.669203418569424</v>
      </c>
      <c r="GC98" s="20">
        <f t="shared" si="79"/>
        <v>386.19194762067508</v>
      </c>
      <c r="GD98" s="59">
        <f t="shared" si="80"/>
        <v>662.13939353944102</v>
      </c>
      <c r="GE98" s="59">
        <f ca="1">AVERAGE(OFFSET($GD$3,0,0,'Données projet'!$E$17+1,1))-AVERAGE(OFFSET($H$3,0,0,'Données projet'!$E$17+1,1))</f>
        <v>313.51355235711543</v>
      </c>
      <c r="GF98" s="59">
        <f t="shared" si="104"/>
        <v>186.0840067781198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0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0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5.0999999999999996</v>
      </c>
      <c r="N99" s="13">
        <f>IF('Données projet'!$A$36&gt;35,N98+M99-V98,IF(A99&lt;'Données projet'!$A$36,$K$205^A99,IF(A99='Données projet'!$A$36,'Données projet'!$B$36,N98+M99-V98)))</f>
        <v>269.60000000000002</v>
      </c>
      <c r="O99" s="13">
        <f>N99*VLOOKUP('Données projet'!$B$9,Paramètres!$A$1:$I$89,3,0)*VLOOKUP('Données projet'!$B$9,Paramètres!$A$1:$I$89,5,0)</f>
        <v>273.37440000000004</v>
      </c>
      <c r="P99" s="13">
        <f t="shared" si="87"/>
        <v>65.564883644654444</v>
      </c>
      <c r="Q99" s="20">
        <f t="shared" ref="Q99:Q130" si="107">(O99+P99)*0.475*44/12</f>
        <v>590.31925234777316</v>
      </c>
      <c r="R99" s="59">
        <f t="shared" si="55"/>
        <v>866.56830454416058</v>
      </c>
      <c r="S99" s="59">
        <f ca="1">AVERAGE(OFFSET($R$3,0,0,'Données projet'!$E$9+1,1))-AVERAGE(OFFSET($H$3,0,0,'Données projet'!$E$9+1,1))</f>
        <v>452.67426184967104</v>
      </c>
      <c r="T99" s="59">
        <f t="shared" si="88"/>
        <v>310.47823616327639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3.4615384615384586</v>
      </c>
      <c r="AI99" s="13">
        <f>IF('Données projet'!$A$62&gt;35,AI98+AH99-AQ98,IF(A99&lt;'Données projet'!$A$62,$AF$205^A99,IF(A99='Données projet'!$A$62,'Données projet'!$B$62,AI98+AH99-AQ98)))</f>
        <v>295.76923076923072</v>
      </c>
      <c r="AJ99" s="13">
        <f>AI99*VLOOKUP('Données projet'!$B$10,Paramètres!$A$1:$I$89,3,0)*VLOOKUP('Données projet'!$B$10,Paramètres!$A$1:$I$89,5,0)</f>
        <v>309.13799999999998</v>
      </c>
      <c r="AK99" s="13">
        <f t="shared" si="89"/>
        <v>73.088781099784711</v>
      </c>
      <c r="AL99" s="20">
        <f t="shared" si="58"/>
        <v>665.71164374879174</v>
      </c>
      <c r="AM99" s="59">
        <f t="shared" si="59"/>
        <v>941.96069594517917</v>
      </c>
      <c r="AN99" s="59">
        <f ca="1">AVERAGE(OFFSET($AM$3,0,0,'Données projet'!$E$10+1,1))-AVERAGE(OFFSET($H$3,0,0,'Données projet'!$E$10+1,1))</f>
        <v>528.45201982036087</v>
      </c>
      <c r="AO99" s="59">
        <f t="shared" si="90"/>
        <v>321.23004033257985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1.149897857950437E-11</v>
      </c>
      <c r="AX99" s="21">
        <f t="shared" si="60"/>
        <v>1.149897857950437E-11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2.9</v>
      </c>
      <c r="BD99" s="12">
        <f>IF('Données projet'!$A$88&gt;35,BD98+BC99-BL98,IF(A99&lt;'Données projet'!$A$88,$BA$205^A99,IF(A99='Données projet'!$A$88,'Données projet'!$B$88,BD98+BC99-BL98)))</f>
        <v>167.4</v>
      </c>
      <c r="BE99" s="13">
        <f>BD99*VLOOKUP('Données projet'!$B$11,Paramètres!$A$1:$I$89,3,0)*VLOOKUP('Données projet'!$B$11,Paramètres!$A$1:$I$89,5,0)</f>
        <v>161.90928</v>
      </c>
      <c r="BF99" s="13">
        <f t="shared" si="91"/>
        <v>41.272861077810653</v>
      </c>
      <c r="BG99" s="20">
        <f t="shared" si="61"/>
        <v>353.8755623771869</v>
      </c>
      <c r="BH99" s="59">
        <f t="shared" si="62"/>
        <v>630.12461457357426</v>
      </c>
      <c r="BI99" s="59">
        <f ca="1">AVERAGE(OFFSET($BH$3,0,0,'Données projet'!$E$11+1,1))-AVERAGE(OFFSET($H$3,0,0,'Données projet'!$E$11+1,1))</f>
        <v>289.06522051625166</v>
      </c>
      <c r="BJ99" s="59">
        <f t="shared" si="92"/>
        <v>173.19148969173838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234.00000000000045</v>
      </c>
      <c r="BZ99" s="13">
        <f>BY99*VLOOKUP('Données projet'!$B$12,Paramètres!$A$1:$I$89,3,0)*VLOOKUP('Données projet'!$B$12,Paramètres!$A$1:$I$89,5,0)</f>
        <v>189.82080000000036</v>
      </c>
      <c r="CA99" s="13">
        <f t="shared" si="93"/>
        <v>47.500332100049881</v>
      </c>
      <c r="CB99" s="20">
        <f t="shared" si="64"/>
        <v>413.33430507425419</v>
      </c>
      <c r="CC99" s="59">
        <f t="shared" si="65"/>
        <v>689.58335727064161</v>
      </c>
      <c r="CD99" s="59">
        <f ca="1">AVERAGE(OFFSET($CC$3,0,0,'Données projet'!$E$12+1,1))-AVERAGE(OFFSET($H$3,0,0,'Données projet'!$E$12+1,1))</f>
        <v>306.06916761900357</v>
      </c>
      <c r="CE99" s="59">
        <f t="shared" si="94"/>
        <v>258.90832875500337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2.0883518112747646E-11</v>
      </c>
      <c r="CN99" s="22">
        <f t="shared" si="66"/>
        <v>2.0883518112747646E-11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5.0999999999999996</v>
      </c>
      <c r="CT99" s="12">
        <f>IF('Données projet'!$A$140&gt;35,CT98+CS99-DB98,IF(A99&lt;'Données projet'!$A$140,$CQ$205^A99,IF(A99='Données projet'!$A$140,'Données projet'!$B$140,CT98+CS99-DB98)))</f>
        <v>269.60000000000002</v>
      </c>
      <c r="CU99" s="17">
        <f>CT99*VLOOKUP('Données projet'!$B$13,Paramètres!$A$1:$I$89,3,0)*VLOOKUP('Données projet'!$B$13,Paramètres!$A$1:$I$89,5,0)</f>
        <v>180.84768000000003</v>
      </c>
      <c r="CV99" s="13">
        <f t="shared" si="95"/>
        <v>45.510727749125834</v>
      </c>
      <c r="CW99" s="20">
        <f t="shared" si="67"/>
        <v>394.24089349639416</v>
      </c>
      <c r="CX99" s="59">
        <f t="shared" si="68"/>
        <v>670.48994569278159</v>
      </c>
      <c r="CY99" s="59">
        <f ca="1">AVERAGE(OFFSET($CX$3,0,0,'Données projet'!$E$13+1,1))-AVERAGE(OFFSET($H$3,0,0,'Données projet'!$E$13+1,1))</f>
        <v>324.58754156328285</v>
      </c>
      <c r="CZ99" s="59">
        <f t="shared" si="96"/>
        <v>226.01037731977604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1.2663979573499529E-11</v>
      </c>
      <c r="DI99" s="22">
        <f t="shared" si="69"/>
        <v>1.2663979573499529E-11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7.5015384615384617</v>
      </c>
      <c r="DO99" s="12">
        <f>IF('Données projet'!$A$166&gt;35,DO98+DN99-DW98,IF(A99&lt;'Données projet'!$A$166,$DL$205^A99,IF(A99='Données projet'!$A$166,'Données projet'!$B$166,DO98+DN99-DW98)))</f>
        <v>242.20153846153869</v>
      </c>
      <c r="DP99" s="17">
        <f>DO99*VLOOKUP('Données projet'!$B$14,Paramètres!$A$1:$I$89,3,0)*VLOOKUP('Données projet'!$B$14,Paramètres!$A$1:$I$89,5,0)</f>
        <v>113.35032000000011</v>
      </c>
      <c r="DQ99" s="13">
        <f t="shared" si="97"/>
        <v>30.118962463528121</v>
      </c>
      <c r="DR99" s="20">
        <f t="shared" si="70"/>
        <v>249.87566695731167</v>
      </c>
      <c r="DS99" s="59">
        <f t="shared" si="71"/>
        <v>526.12471915369906</v>
      </c>
      <c r="DT99" s="59">
        <f ca="1">AVERAGE(OFFSET($DS$3,0,0,'Données projet'!$E$14+1,1))-AVERAGE(OFFSET($H$3,0,0,'Données projet'!$E$14+1,1))</f>
        <v>325.93182817189722</v>
      </c>
      <c r="DU99" s="59">
        <f t="shared" si="98"/>
        <v>280.04509991782709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0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5.6843418860808015E-14</v>
      </c>
      <c r="EK99" s="17">
        <f>EJ99*VLOOKUP('Données projet'!$B$15,Paramètres!$A$1:$I$89,3,0)*VLOOKUP('Données projet'!$B$15,Paramètres!$A$1:$I$89,5,0)</f>
        <v>4.5224624045658861E-14</v>
      </c>
      <c r="EL99" s="13">
        <f t="shared" si="99"/>
        <v>7.4514601661523691E-13</v>
      </c>
      <c r="EM99" s="20">
        <f t="shared" si="73"/>
        <v>1.3765621991510601E-12</v>
      </c>
      <c r="EN99" s="59">
        <f t="shared" si="74"/>
        <v>276.24905219638879</v>
      </c>
      <c r="EO99" s="59">
        <f ca="1">AVERAGE(OFFSET($EN$3,0,0,'Données projet'!$E$15+1,1))-AVERAGE(OFFSET($H$3,0,0,'Données projet'!$E$15+1,1))</f>
        <v>333.52903437536651</v>
      </c>
      <c r="EP99" s="59">
        <f t="shared" si="100"/>
        <v>359.47288701414777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0.60685044358856621</v>
      </c>
      <c r="EX99" s="21">
        <f>EXP(-LN(2)/2)*EX98+(1-EXP(-LN(2)/2))/(LN(2)/2)*ER99*EU99*VLOOKUP('Données projet'!$B$15,Paramètres!$A$1:$I$89,3,0)*0.475*44/12</f>
        <v>2.9357407193112544E-11</v>
      </c>
      <c r="EY99" s="22">
        <f t="shared" si="75"/>
        <v>0.60685044361792362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-2.8421709430404007E-13</v>
      </c>
      <c r="FF99" s="17">
        <f>FE99*VLOOKUP('Données projet'!$B$16,Paramètres!$A$1:$I$89,3,0)*VLOOKUP('Données projet'!$B$16,Paramètres!$A$1:$I$89,5,0)</f>
        <v>-1.69961822393816E-13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313.26988717307376</v>
      </c>
      <c r="FK99" s="59">
        <f t="shared" si="102"/>
        <v>248.17359813993201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0.63076551992221241</v>
      </c>
      <c r="FR99" s="21">
        <f>EXP(-LN(2)/25)*FR98+(1-EXP(-LN(2)/25))/(LN(2)/25)*Calculateur!FM99*Calculateur!FO99*VLOOKUP('Données projet'!$B$16,Paramètres!$A$1:$I$89,3,0)*0.475*44/12</f>
        <v>1.2095058444803826</v>
      </c>
      <c r="FS99" s="21">
        <f>EXP(-LN(2)/2)*FS98+(1-EXP(-LN(2)/2))/(LN(2)/2)*FM99*FP99*VLOOKUP('Données projet'!$B$16,Paramètres!$A$1:$I$89,3,0)*0.475*44/12</f>
        <v>4.9014290582811713E-10</v>
      </c>
      <c r="FT99" s="22">
        <f t="shared" si="78"/>
        <v>1.8402713648927378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2.9</v>
      </c>
      <c r="FZ99" s="12">
        <f>IF('Données projet'!$A$244&gt;35,FZ98+FY99-GH98,IF(A99&lt;'Données projet'!$A$244,$FW$205^A99,IF(A99='Données projet'!$A$244,'Données projet'!$B$244,FZ98+FY99-GH98)))</f>
        <v>167.4</v>
      </c>
      <c r="GA99" s="17">
        <f>FZ99*VLOOKUP('Données projet'!$B$17,Paramètres!$A$1:$I$89,3,0)*VLOOKUP('Données projet'!$B$17,Paramètres!$A$1:$I$89,5,0)</f>
        <v>180.18935999999999</v>
      </c>
      <c r="GB99" s="13">
        <f t="shared" si="103"/>
        <v>45.364312699408472</v>
      </c>
      <c r="GC99" s="20">
        <f t="shared" si="79"/>
        <v>392.83931328480304</v>
      </c>
      <c r="GD99" s="59">
        <f t="shared" si="80"/>
        <v>669.08836548119052</v>
      </c>
      <c r="GE99" s="59">
        <f ca="1">AVERAGE(OFFSET($GD$3,0,0,'Données projet'!$E$17+1,1))-AVERAGE(OFFSET($H$3,0,0,'Données projet'!$E$17+1,1))</f>
        <v>313.51355235711543</v>
      </c>
      <c r="GF99" s="59">
        <f t="shared" si="104"/>
        <v>186.0840067781198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0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0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5.0999999999999996</v>
      </c>
      <c r="N100" s="13">
        <f>IF('Données projet'!$A$36&gt;35,N99+M100-V99,IF(A100&lt;'Données projet'!$A$36,$K$205^A100,IF(A100='Données projet'!$A$36,'Données projet'!$B$36,N99+M100-V99)))</f>
        <v>274.70000000000005</v>
      </c>
      <c r="O100" s="13">
        <f>N100*VLOOKUP('Données projet'!$B$9,Paramètres!$A$1:$I$89,3,0)*VLOOKUP('Données projet'!$B$9,Paramètres!$A$1:$I$89,5,0)</f>
        <v>278.54580000000004</v>
      </c>
      <c r="P100" s="13">
        <f t="shared" si="87"/>
        <v>66.659601547171789</v>
      </c>
      <c r="Q100" s="20">
        <f t="shared" si="107"/>
        <v>601.23274102799098</v>
      </c>
      <c r="R100" s="59">
        <f t="shared" si="55"/>
        <v>877.77816730737379</v>
      </c>
      <c r="S100" s="59">
        <f ca="1">AVERAGE(OFFSET($R$3,0,0,'Données projet'!$E$9+1,1))-AVERAGE(OFFSET($H$3,0,0,'Données projet'!$E$9+1,1))</f>
        <v>452.67426184967104</v>
      </c>
      <c r="T100" s="59">
        <f t="shared" si="88"/>
        <v>310.47823616327639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3.4615384615384586</v>
      </c>
      <c r="AI100" s="13">
        <f>IF('Données projet'!$A$62&gt;35,AI99+AH100-AQ99,IF(A100&lt;'Données projet'!$A$62,$AF$205^A100,IF(A100='Données projet'!$A$62,'Données projet'!$B$62,AI99+AH100-AQ99)))</f>
        <v>299.23076923076917</v>
      </c>
      <c r="AJ100" s="13">
        <f>AI100*VLOOKUP('Données projet'!$B$10,Paramètres!$A$1:$I$89,3,0)*VLOOKUP('Données projet'!$B$10,Paramètres!$A$1:$I$89,5,0)</f>
        <v>312.75599999999997</v>
      </c>
      <c r="AK100" s="13">
        <f t="shared" si="89"/>
        <v>73.84409583856069</v>
      </c>
      <c r="AL100" s="20">
        <f t="shared" si="58"/>
        <v>673.32850025215976</v>
      </c>
      <c r="AM100" s="59">
        <f t="shared" si="59"/>
        <v>949.87392653154257</v>
      </c>
      <c r="AN100" s="59">
        <f ca="1">AVERAGE(OFFSET($AM$3,0,0,'Données projet'!$E$10+1,1))-AVERAGE(OFFSET($H$3,0,0,'Données projet'!$E$10+1,1))</f>
        <v>528.45201982036087</v>
      </c>
      <c r="AO100" s="59">
        <f t="shared" si="90"/>
        <v>321.23004033257985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8.1310057302863934E-12</v>
      </c>
      <c r="AX100" s="21">
        <f t="shared" si="60"/>
        <v>8.1310057302863934E-12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2.9</v>
      </c>
      <c r="BD100" s="12">
        <f>IF('Données projet'!$A$88&gt;35,BD99+BC100-BL99,IF(A100&lt;'Données projet'!$A$88,$BA$205^A100,IF(A100='Données projet'!$A$88,'Données projet'!$B$88,BD99+BC100-BL99)))</f>
        <v>170.3</v>
      </c>
      <c r="BE100" s="13">
        <f>BD100*VLOOKUP('Données projet'!$B$11,Paramètres!$A$1:$I$89,3,0)*VLOOKUP('Données projet'!$B$11,Paramètres!$A$1:$I$89,5,0)</f>
        <v>164.71416000000002</v>
      </c>
      <c r="BF100" s="13">
        <f t="shared" si="91"/>
        <v>41.904003731636671</v>
      </c>
      <c r="BG100" s="20">
        <f t="shared" si="61"/>
        <v>359.85996849926727</v>
      </c>
      <c r="BH100" s="59">
        <f t="shared" si="62"/>
        <v>636.40539477865013</v>
      </c>
      <c r="BI100" s="59">
        <f ca="1">AVERAGE(OFFSET($BH$3,0,0,'Données projet'!$E$11+1,1))-AVERAGE(OFFSET($H$3,0,0,'Données projet'!$E$11+1,1))</f>
        <v>289.06522051625166</v>
      </c>
      <c r="BJ100" s="59">
        <f t="shared" si="92"/>
        <v>173.19148969173838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234.00000000000045</v>
      </c>
      <c r="BZ100" s="13">
        <f>BY100*VLOOKUP('Données projet'!$B$12,Paramètres!$A$1:$I$89,3,0)*VLOOKUP('Données projet'!$B$12,Paramètres!$A$1:$I$89,5,0)</f>
        <v>189.82080000000036</v>
      </c>
      <c r="CA100" s="13">
        <f t="shared" si="93"/>
        <v>47.500332100049881</v>
      </c>
      <c r="CB100" s="20">
        <f t="shared" si="64"/>
        <v>413.33430507425419</v>
      </c>
      <c r="CC100" s="59">
        <f t="shared" si="65"/>
        <v>689.879731353637</v>
      </c>
      <c r="CD100" s="59">
        <f ca="1">AVERAGE(OFFSET($CC$3,0,0,'Données projet'!$E$12+1,1))-AVERAGE(OFFSET($H$3,0,0,'Données projet'!$E$12+1,1))</f>
        <v>306.06916761900357</v>
      </c>
      <c r="CE100" s="59">
        <f t="shared" si="94"/>
        <v>258.90832875500337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1.4766877272555952E-11</v>
      </c>
      <c r="CN100" s="22">
        <f t="shared" si="66"/>
        <v>1.4766877272555952E-11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5.0999999999999996</v>
      </c>
      <c r="CT100" s="12">
        <f>IF('Données projet'!$A$140&gt;35,CT99+CS100-DB99,IF(A100&lt;'Données projet'!$A$140,$CQ$205^A100,IF(A100='Données projet'!$A$140,'Données projet'!$B$140,CT99+CS100-DB99)))</f>
        <v>274.70000000000005</v>
      </c>
      <c r="CU100" s="17">
        <f>CT100*VLOOKUP('Données projet'!$B$13,Paramètres!$A$1:$I$89,3,0)*VLOOKUP('Données projet'!$B$13,Paramètres!$A$1:$I$89,5,0)</f>
        <v>184.26876000000004</v>
      </c>
      <c r="CV100" s="13">
        <f t="shared" si="95"/>
        <v>46.270607209807572</v>
      </c>
      <c r="CW100" s="20">
        <f t="shared" si="67"/>
        <v>401.52273122374822</v>
      </c>
      <c r="CX100" s="59">
        <f t="shared" si="68"/>
        <v>678.06815750313103</v>
      </c>
      <c r="CY100" s="59">
        <f ca="1">AVERAGE(OFFSET($CX$3,0,0,'Données projet'!$E$13+1,1))-AVERAGE(OFFSET($H$3,0,0,'Données projet'!$E$13+1,1))</f>
        <v>324.58754156328285</v>
      </c>
      <c r="CZ100" s="59">
        <f t="shared" si="96"/>
        <v>226.01037731977604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8.9547858332294386E-12</v>
      </c>
      <c r="DI100" s="22">
        <f t="shared" si="69"/>
        <v>8.9547858332294386E-12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7.5015384615384617</v>
      </c>
      <c r="DO100" s="12">
        <f>IF('Données projet'!$A$166&gt;35,DO99+DN100-DW99,IF(A100&lt;'Données projet'!$A$166,$DL$205^A100,IF(A100='Données projet'!$A$166,'Données projet'!$B$166,DO99+DN100-DW99)))</f>
        <v>249.70307692307716</v>
      </c>
      <c r="DP100" s="17">
        <f>DO100*VLOOKUP('Données projet'!$B$14,Paramètres!$A$1:$I$89,3,0)*VLOOKUP('Données projet'!$B$14,Paramètres!$A$1:$I$89,5,0)</f>
        <v>116.86104000000012</v>
      </c>
      <c r="DQ100" s="13">
        <f t="shared" si="97"/>
        <v>30.941762857231797</v>
      </c>
      <c r="DR100" s="20">
        <f t="shared" si="70"/>
        <v>257.42321497634555</v>
      </c>
      <c r="DS100" s="59">
        <f t="shared" si="71"/>
        <v>533.96864125572836</v>
      </c>
      <c r="DT100" s="59">
        <f ca="1">AVERAGE(OFFSET($DS$3,0,0,'Données projet'!$E$14+1,1))-AVERAGE(OFFSET($H$3,0,0,'Données projet'!$E$14+1,1))</f>
        <v>325.93182817189722</v>
      </c>
      <c r="DU100" s="59">
        <f t="shared" si="98"/>
        <v>280.04509991782709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0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5.6843418860808015E-14</v>
      </c>
      <c r="EK100" s="17">
        <f>EJ100*VLOOKUP('Données projet'!$B$15,Paramètres!$A$1:$I$89,3,0)*VLOOKUP('Données projet'!$B$15,Paramètres!$A$1:$I$89,5,0)</f>
        <v>4.5224624045658861E-14</v>
      </c>
      <c r="EL100" s="13">
        <f t="shared" si="99"/>
        <v>7.4514601661523691E-13</v>
      </c>
      <c r="EM100" s="20">
        <f t="shared" si="73"/>
        <v>1.3765621991510601E-12</v>
      </c>
      <c r="EN100" s="59">
        <f t="shared" si="74"/>
        <v>276.54542627938417</v>
      </c>
      <c r="EO100" s="59">
        <f ca="1">AVERAGE(OFFSET($EN$3,0,0,'Données projet'!$E$15+1,1))-AVERAGE(OFFSET($H$3,0,0,'Données projet'!$E$15+1,1))</f>
        <v>333.52903437536651</v>
      </c>
      <c r="EP100" s="59">
        <f t="shared" si="100"/>
        <v>359.47288701414777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0.59025608629575899</v>
      </c>
      <c r="EX100" s="21">
        <f>EXP(-LN(2)/2)*EX99+(1-EXP(-LN(2)/2))/(LN(2)/2)*ER100*EU100*VLOOKUP('Données projet'!$B$15,Paramètres!$A$1:$I$89,3,0)*0.475*44/12</f>
        <v>2.0758821704304609E-11</v>
      </c>
      <c r="EY100" s="22">
        <f t="shared" si="75"/>
        <v>0.59025608631651783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-2.8421709430404007E-13</v>
      </c>
      <c r="FF100" s="17">
        <f>FE100*VLOOKUP('Données projet'!$B$16,Paramètres!$A$1:$I$89,3,0)*VLOOKUP('Données projet'!$B$16,Paramètres!$A$1:$I$89,5,0)</f>
        <v>-1.69961822393816E-13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313.26988717307376</v>
      </c>
      <c r="FK100" s="59">
        <f t="shared" si="102"/>
        <v>248.17359813993201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0.61839659280551618</v>
      </c>
      <c r="FR100" s="21">
        <f>EXP(-LN(2)/25)*FR99+(1-EXP(-LN(2)/25))/(LN(2)/25)*Calculateur!FM100*Calculateur!FO100*VLOOKUP('Données projet'!$B$16,Paramètres!$A$1:$I$89,3,0)*0.475*44/12</f>
        <v>1.1764318435579184</v>
      </c>
      <c r="FS100" s="21">
        <f>EXP(-LN(2)/2)*FS99+(1-EXP(-LN(2)/2))/(LN(2)/2)*FM100*FP100*VLOOKUP('Données projet'!$B$16,Paramètres!$A$1:$I$89,3,0)*0.475*44/12</f>
        <v>3.46583372461541E-10</v>
      </c>
      <c r="FT100" s="22">
        <f t="shared" si="78"/>
        <v>1.794828436710018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2.9</v>
      </c>
      <c r="FZ100" s="12">
        <f>IF('Données projet'!$A$244&gt;35,FZ99+FY100-GH99,IF(A100&lt;'Données projet'!$A$244,$FW$205^A100,IF(A100='Données projet'!$A$244,'Données projet'!$B$244,FZ99+FY100-GH99)))</f>
        <v>170.3</v>
      </c>
      <c r="GA100" s="17">
        <f>FZ100*VLOOKUP('Données projet'!$B$17,Paramètres!$A$1:$I$89,3,0)*VLOOKUP('Données projet'!$B$17,Paramètres!$A$1:$I$89,5,0)</f>
        <v>183.31092000000001</v>
      </c>
      <c r="GB100" s="13">
        <f t="shared" si="103"/>
        <v>46.058021639336779</v>
      </c>
      <c r="GC100" s="20">
        <f t="shared" si="79"/>
        <v>399.48424002184493</v>
      </c>
      <c r="GD100" s="59">
        <f t="shared" si="80"/>
        <v>676.02966630122773</v>
      </c>
      <c r="GE100" s="59">
        <f ca="1">AVERAGE(OFFSET($GD$3,0,0,'Données projet'!$E$17+1,1))-AVERAGE(OFFSET($H$3,0,0,'Données projet'!$E$17+1,1))</f>
        <v>313.51355235711543</v>
      </c>
      <c r="GF100" s="59">
        <f t="shared" si="104"/>
        <v>186.0840067781198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0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0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5.0999999999999996</v>
      </c>
      <c r="N101" s="13">
        <f>IF('Données projet'!$A$36&gt;35,N100+M101-V100,IF(A101&lt;'Données projet'!$A$36,$K$205^A101,IF(A101='Données projet'!$A$36,'Données projet'!$B$36,N100+M101-V100)))</f>
        <v>279.80000000000007</v>
      </c>
      <c r="O101" s="13">
        <f>N101*VLOOKUP('Données projet'!$B$9,Paramètres!$A$1:$I$89,3,0)*VLOOKUP('Données projet'!$B$9,Paramètres!$A$1:$I$89,5,0)</f>
        <v>283.7172000000001</v>
      </c>
      <c r="P101" s="13">
        <f t="shared" si="87"/>
        <v>67.751956122170697</v>
      </c>
      <c r="Q101" s="20">
        <f t="shared" si="107"/>
        <v>612.14211357944748</v>
      </c>
      <c r="R101" s="59">
        <f t="shared" si="55"/>
        <v>888.97877251407886</v>
      </c>
      <c r="S101" s="59">
        <f ca="1">AVERAGE(OFFSET($R$3,0,0,'Données projet'!$E$9+1,1))-AVERAGE(OFFSET($H$3,0,0,'Données projet'!$E$9+1,1))</f>
        <v>452.67426184967104</v>
      </c>
      <c r="T101" s="59">
        <f t="shared" si="88"/>
        <v>310.47823616327639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3.4615384615384586</v>
      </c>
      <c r="AI101" s="13">
        <f>IF('Données projet'!$A$62&gt;35,AI100+AH101-AQ100,IF(A101&lt;'Données projet'!$A$62,$AF$205^A101,IF(A101='Données projet'!$A$62,'Données projet'!$B$62,AI100+AH101-AQ100)))</f>
        <v>302.69230769230762</v>
      </c>
      <c r="AJ101" s="13">
        <f>AI101*VLOOKUP('Données projet'!$B$10,Paramètres!$A$1:$I$89,3,0)*VLOOKUP('Données projet'!$B$10,Paramètres!$A$1:$I$89,5,0)</f>
        <v>316.37399999999997</v>
      </c>
      <c r="AK101" s="13">
        <f t="shared" si="89"/>
        <v>74.598394184177536</v>
      </c>
      <c r="AL101" s="20">
        <f t="shared" si="58"/>
        <v>680.94358653744246</v>
      </c>
      <c r="AM101" s="59">
        <f t="shared" si="59"/>
        <v>957.78024547207383</v>
      </c>
      <c r="AN101" s="59">
        <f ca="1">AVERAGE(OFFSET($AM$3,0,0,'Données projet'!$E$10+1,1))-AVERAGE(OFFSET($H$3,0,0,'Données projet'!$E$10+1,1))</f>
        <v>528.45201982036087</v>
      </c>
      <c r="AO101" s="59">
        <f t="shared" si="90"/>
        <v>321.23004033257985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5.749489289752185E-12</v>
      </c>
      <c r="AX101" s="21">
        <f t="shared" si="60"/>
        <v>5.749489289752185E-12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2.9</v>
      </c>
      <c r="BD101" s="12">
        <f>IF('Données projet'!$A$88&gt;35,BD100+BC101-BL100,IF(A101&lt;'Données projet'!$A$88,$BA$205^A101,IF(A101='Données projet'!$A$88,'Données projet'!$B$88,BD100+BC101-BL100)))</f>
        <v>173.20000000000002</v>
      </c>
      <c r="BE101" s="13">
        <f>BD101*VLOOKUP('Données projet'!$B$11,Paramètres!$A$1:$I$89,3,0)*VLOOKUP('Données projet'!$B$11,Paramètres!$A$1:$I$89,5,0)</f>
        <v>167.51904000000002</v>
      </c>
      <c r="BF101" s="13">
        <f t="shared" si="91"/>
        <v>42.533896541761493</v>
      </c>
      <c r="BG101" s="20">
        <f t="shared" si="61"/>
        <v>365.84219781023461</v>
      </c>
      <c r="BH101" s="59">
        <f t="shared" si="62"/>
        <v>642.67885674486593</v>
      </c>
      <c r="BI101" s="59">
        <f ca="1">AVERAGE(OFFSET($BH$3,0,0,'Données projet'!$E$11+1,1))-AVERAGE(OFFSET($H$3,0,0,'Données projet'!$E$11+1,1))</f>
        <v>289.06522051625166</v>
      </c>
      <c r="BJ101" s="59">
        <f t="shared" si="92"/>
        <v>173.19148969173838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234.00000000000045</v>
      </c>
      <c r="BZ101" s="13">
        <f>BY101*VLOOKUP('Données projet'!$B$12,Paramètres!$A$1:$I$89,3,0)*VLOOKUP('Données projet'!$B$12,Paramètres!$A$1:$I$89,5,0)</f>
        <v>189.82080000000036</v>
      </c>
      <c r="CA101" s="13">
        <f t="shared" si="93"/>
        <v>47.500332100049881</v>
      </c>
      <c r="CB101" s="20">
        <f t="shared" si="64"/>
        <v>413.33430507425419</v>
      </c>
      <c r="CC101" s="59">
        <f t="shared" si="65"/>
        <v>690.17096400888556</v>
      </c>
      <c r="CD101" s="59">
        <f ca="1">AVERAGE(OFFSET($CC$3,0,0,'Données projet'!$E$12+1,1))-AVERAGE(OFFSET($H$3,0,0,'Données projet'!$E$12+1,1))</f>
        <v>306.06916761900357</v>
      </c>
      <c r="CE101" s="59">
        <f t="shared" si="94"/>
        <v>258.90832875500337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1.0441759056373823E-11</v>
      </c>
      <c r="CN101" s="22">
        <f t="shared" si="66"/>
        <v>1.0441759056373823E-11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5.0999999999999996</v>
      </c>
      <c r="CT101" s="12">
        <f>IF('Données projet'!$A$140&gt;35,CT100+CS101-DB100,IF(A101&lt;'Données projet'!$A$140,$CQ$205^A101,IF(A101='Données projet'!$A$140,'Données projet'!$B$140,CT100+CS101-DB100)))</f>
        <v>279.80000000000007</v>
      </c>
      <c r="CU101" s="17">
        <f>CT101*VLOOKUP('Données projet'!$B$13,Paramètres!$A$1:$I$89,3,0)*VLOOKUP('Données projet'!$B$13,Paramètres!$A$1:$I$89,5,0)</f>
        <v>187.68984000000003</v>
      </c>
      <c r="CV101" s="13">
        <f t="shared" si="95"/>
        <v>47.02884620764862</v>
      </c>
      <c r="CW101" s="20">
        <f t="shared" si="67"/>
        <v>408.80171181165474</v>
      </c>
      <c r="CX101" s="59">
        <f t="shared" si="68"/>
        <v>685.63837074628611</v>
      </c>
      <c r="CY101" s="59">
        <f ca="1">AVERAGE(OFFSET($CX$3,0,0,'Données projet'!$E$13+1,1))-AVERAGE(OFFSET($H$3,0,0,'Données projet'!$E$13+1,1))</f>
        <v>324.58754156328285</v>
      </c>
      <c r="CZ101" s="59">
        <f t="shared" si="96"/>
        <v>226.01037731977604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6.3319897867497644E-12</v>
      </c>
      <c r="DI101" s="22">
        <f t="shared" si="69"/>
        <v>6.3319897867497644E-12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7.5015384615384617</v>
      </c>
      <c r="DO101" s="12">
        <f>IF('Données projet'!$A$166&gt;35,DO100+DN101-DW100,IF(A101&lt;'Données projet'!$A$166,$DL$205^A101,IF(A101='Données projet'!$A$166,'Données projet'!$B$166,DO100+DN101-DW100)))</f>
        <v>257.20461538461564</v>
      </c>
      <c r="DP101" s="17">
        <f>DO101*VLOOKUP('Données projet'!$B$14,Paramètres!$A$1:$I$89,3,0)*VLOOKUP('Données projet'!$B$14,Paramètres!$A$1:$I$89,5,0)</f>
        <v>120.37176000000012</v>
      </c>
      <c r="DQ101" s="13">
        <f t="shared" si="97"/>
        <v>31.761690593555869</v>
      </c>
      <c r="DR101" s="20">
        <f t="shared" si="70"/>
        <v>264.96575978377672</v>
      </c>
      <c r="DS101" s="59">
        <f t="shared" si="71"/>
        <v>541.80241871840803</v>
      </c>
      <c r="DT101" s="59">
        <f ca="1">AVERAGE(OFFSET($DS$3,0,0,'Données projet'!$E$14+1,1))-AVERAGE(OFFSET($H$3,0,0,'Données projet'!$E$14+1,1))</f>
        <v>325.93182817189722</v>
      </c>
      <c r="DU101" s="59">
        <f t="shared" si="98"/>
        <v>280.04509991782709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0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5.6843418860808015E-14</v>
      </c>
      <c r="EK101" s="17">
        <f>EJ101*VLOOKUP('Données projet'!$B$15,Paramètres!$A$1:$I$89,3,0)*VLOOKUP('Données projet'!$B$15,Paramètres!$A$1:$I$89,5,0)</f>
        <v>4.5224624045658861E-14</v>
      </c>
      <c r="EL101" s="13">
        <f t="shared" si="99"/>
        <v>7.4514601661523691E-13</v>
      </c>
      <c r="EM101" s="20">
        <f t="shared" si="73"/>
        <v>1.3765621991510601E-12</v>
      </c>
      <c r="EN101" s="59">
        <f t="shared" si="74"/>
        <v>276.83665893463274</v>
      </c>
      <c r="EO101" s="59">
        <f ca="1">AVERAGE(OFFSET($EN$3,0,0,'Données projet'!$E$15+1,1))-AVERAGE(OFFSET($H$3,0,0,'Données projet'!$E$15+1,1))</f>
        <v>333.52903437536651</v>
      </c>
      <c r="EP101" s="59">
        <f t="shared" si="100"/>
        <v>359.47288701414777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0.57411550257578292</v>
      </c>
      <c r="EX101" s="21">
        <f>EXP(-LN(2)/2)*EX100+(1-EXP(-LN(2)/2))/(LN(2)/2)*ER101*EU101*VLOOKUP('Données projet'!$B$15,Paramètres!$A$1:$I$89,3,0)*0.475*44/12</f>
        <v>1.4678703596556272E-11</v>
      </c>
      <c r="EY101" s="22">
        <f t="shared" si="75"/>
        <v>0.57411550259046162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-2.8421709430404007E-13</v>
      </c>
      <c r="FF101" s="17">
        <f>FE101*VLOOKUP('Données projet'!$B$16,Paramètres!$A$1:$I$89,3,0)*VLOOKUP('Données projet'!$B$16,Paramètres!$A$1:$I$89,5,0)</f>
        <v>-1.69961822393816E-13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313.26988717307376</v>
      </c>
      <c r="FK101" s="59">
        <f t="shared" si="102"/>
        <v>248.17359813993201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0.60627021280527771</v>
      </c>
      <c r="FR101" s="21">
        <f>EXP(-LN(2)/25)*FR100+(1-EXP(-LN(2)/25))/(LN(2)/25)*Calculateur!FM101*Calculateur!FO101*VLOOKUP('Données projet'!$B$16,Paramètres!$A$1:$I$89,3,0)*0.475*44/12</f>
        <v>1.1442622529299653</v>
      </c>
      <c r="FS101" s="21">
        <f>EXP(-LN(2)/2)*FS100+(1-EXP(-LN(2)/2))/(LN(2)/2)*FM101*FP101*VLOOKUP('Données projet'!$B$16,Paramètres!$A$1:$I$89,3,0)*0.475*44/12</f>
        <v>2.4507145291405856E-10</v>
      </c>
      <c r="FT101" s="22">
        <f t="shared" si="78"/>
        <v>1.7505324659803145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2.9</v>
      </c>
      <c r="FZ101" s="12">
        <f>IF('Données projet'!$A$244&gt;35,FZ100+FY101-GH100,IF(A101&lt;'Données projet'!$A$244,$FW$205^A101,IF(A101='Données projet'!$A$244,'Données projet'!$B$244,FZ100+FY101-GH100)))</f>
        <v>173.20000000000002</v>
      </c>
      <c r="GA101" s="17">
        <f>FZ101*VLOOKUP('Données projet'!$B$17,Paramètres!$A$1:$I$89,3,0)*VLOOKUP('Données projet'!$B$17,Paramètres!$A$1:$I$89,5,0)</f>
        <v>186.43248</v>
      </c>
      <c r="GB101" s="13">
        <f t="shared" si="103"/>
        <v>46.75035683635015</v>
      </c>
      <c r="GC101" s="20">
        <f t="shared" si="79"/>
        <v>406.12677415664308</v>
      </c>
      <c r="GD101" s="59">
        <f t="shared" si="80"/>
        <v>682.96343309127451</v>
      </c>
      <c r="GE101" s="59">
        <f ca="1">AVERAGE(OFFSET($GD$3,0,0,'Données projet'!$E$17+1,1))-AVERAGE(OFFSET($H$3,0,0,'Données projet'!$E$17+1,1))</f>
        <v>313.51355235711543</v>
      </c>
      <c r="GF101" s="59">
        <f t="shared" si="104"/>
        <v>186.0840067781198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0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0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5.0999999999999996</v>
      </c>
      <c r="N102" s="13">
        <f>IF('Données projet'!$A$36&gt;35,N101+M102-V101,IF(A102&lt;'Données projet'!$A$36,$K$205^A102,IF(A102='Données projet'!$A$36,'Données projet'!$B$36,N101+M102-V101)))</f>
        <v>284.90000000000009</v>
      </c>
      <c r="O102" s="13">
        <f>N102*VLOOKUP('Données projet'!$B$9,Paramètres!$A$1:$I$89,3,0)*VLOOKUP('Données projet'!$B$9,Paramètres!$A$1:$I$89,5,0)</f>
        <v>288.88860000000011</v>
      </c>
      <c r="P102" s="13">
        <f t="shared" si="87"/>
        <v>68.841995415301071</v>
      </c>
      <c r="Q102" s="20">
        <f t="shared" si="107"/>
        <v>623.04745368164947</v>
      </c>
      <c r="R102" s="59">
        <f t="shared" si="55"/>
        <v>900.17029303605955</v>
      </c>
      <c r="S102" s="59">
        <f ca="1">AVERAGE(OFFSET($R$3,0,0,'Données projet'!$E$9+1,1))-AVERAGE(OFFSET($H$3,0,0,'Données projet'!$E$9+1,1))</f>
        <v>452.67426184967104</v>
      </c>
      <c r="T102" s="59">
        <f t="shared" si="88"/>
        <v>310.47823616327639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3.4615384615384586</v>
      </c>
      <c r="AI102" s="13">
        <f>IF('Données projet'!$A$62&gt;35,AI101+AH102-AQ101,IF(A102&lt;'Données projet'!$A$62,$AF$205^A102,IF(A102='Données projet'!$A$62,'Données projet'!$B$62,AI101+AH102-AQ101)))</f>
        <v>306.15384615384608</v>
      </c>
      <c r="AJ102" s="13">
        <f>AI102*VLOOKUP('Données projet'!$B$10,Paramètres!$A$1:$I$89,3,0)*VLOOKUP('Données projet'!$B$10,Paramètres!$A$1:$I$89,5,0)</f>
        <v>319.99199999999996</v>
      </c>
      <c r="AK102" s="13">
        <f t="shared" si="89"/>
        <v>75.351689104824757</v>
      </c>
      <c r="AL102" s="20">
        <f t="shared" si="58"/>
        <v>688.55692519090292</v>
      </c>
      <c r="AM102" s="59">
        <f t="shared" si="59"/>
        <v>965.67976454531299</v>
      </c>
      <c r="AN102" s="59">
        <f ca="1">AVERAGE(OFFSET($AM$3,0,0,'Données projet'!$E$10+1,1))-AVERAGE(OFFSET($H$3,0,0,'Données projet'!$E$10+1,1))</f>
        <v>528.45201982036087</v>
      </c>
      <c r="AO102" s="59">
        <f t="shared" si="90"/>
        <v>321.23004033257985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4.0655028651431967E-12</v>
      </c>
      <c r="AX102" s="21">
        <f t="shared" si="60"/>
        <v>4.0655028651431967E-12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2.9</v>
      </c>
      <c r="BD102" s="12">
        <f>IF('Données projet'!$A$88&gt;35,BD101+BC102-BL101,IF(A102&lt;'Données projet'!$A$88,$BA$205^A102,IF(A102='Données projet'!$A$88,'Données projet'!$B$88,BD101+BC102-BL101)))</f>
        <v>176.10000000000002</v>
      </c>
      <c r="BE102" s="13">
        <f>BD102*VLOOKUP('Données projet'!$B$11,Paramètres!$A$1:$I$89,3,0)*VLOOKUP('Données projet'!$B$11,Paramètres!$A$1:$I$89,5,0)</f>
        <v>170.32392000000004</v>
      </c>
      <c r="BF102" s="13">
        <f t="shared" si="91"/>
        <v>43.162562850471744</v>
      </c>
      <c r="BG102" s="20">
        <f t="shared" si="61"/>
        <v>371.82229096457166</v>
      </c>
      <c r="BH102" s="59">
        <f t="shared" si="62"/>
        <v>648.9451303189818</v>
      </c>
      <c r="BI102" s="59">
        <f ca="1">AVERAGE(OFFSET($BH$3,0,0,'Données projet'!$E$11+1,1))-AVERAGE(OFFSET($H$3,0,0,'Données projet'!$E$11+1,1))</f>
        <v>289.06522051625166</v>
      </c>
      <c r="BJ102" s="59">
        <f t="shared" si="92"/>
        <v>173.19148969173838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234.00000000000045</v>
      </c>
      <c r="BZ102" s="13">
        <f>BY102*VLOOKUP('Données projet'!$B$12,Paramètres!$A$1:$I$89,3,0)*VLOOKUP('Données projet'!$B$12,Paramètres!$A$1:$I$89,5,0)</f>
        <v>189.82080000000036</v>
      </c>
      <c r="CA102" s="13">
        <f t="shared" si="93"/>
        <v>47.500332100049881</v>
      </c>
      <c r="CB102" s="20">
        <f t="shared" si="64"/>
        <v>413.33430507425419</v>
      </c>
      <c r="CC102" s="59">
        <f t="shared" si="65"/>
        <v>690.45714442866438</v>
      </c>
      <c r="CD102" s="59">
        <f ca="1">AVERAGE(OFFSET($CC$3,0,0,'Données projet'!$E$12+1,1))-AVERAGE(OFFSET($H$3,0,0,'Données projet'!$E$12+1,1))</f>
        <v>306.06916761900357</v>
      </c>
      <c r="CE102" s="59">
        <f t="shared" si="94"/>
        <v>258.90832875500337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7.3834386362779759E-12</v>
      </c>
      <c r="CN102" s="22">
        <f t="shared" si="66"/>
        <v>7.3834386362779759E-12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5.0999999999999996</v>
      </c>
      <c r="CT102" s="12">
        <f>IF('Données projet'!$A$140&gt;35,CT101+CS102-DB101,IF(A102&lt;'Données projet'!$A$140,$CQ$205^A102,IF(A102='Données projet'!$A$140,'Données projet'!$B$140,CT101+CS102-DB101)))</f>
        <v>284.90000000000009</v>
      </c>
      <c r="CU102" s="17">
        <f>CT102*VLOOKUP('Données projet'!$B$13,Paramètres!$A$1:$I$89,3,0)*VLOOKUP('Données projet'!$B$13,Paramètres!$A$1:$I$89,5,0)</f>
        <v>191.11092000000005</v>
      </c>
      <c r="CV102" s="13">
        <f t="shared" si="95"/>
        <v>47.785478092704217</v>
      </c>
      <c r="CW102" s="20">
        <f t="shared" si="67"/>
        <v>416.07789334479327</v>
      </c>
      <c r="CX102" s="59">
        <f t="shared" si="68"/>
        <v>693.2007326992034</v>
      </c>
      <c r="CY102" s="59">
        <f ca="1">AVERAGE(OFFSET($CX$3,0,0,'Données projet'!$E$13+1,1))-AVERAGE(OFFSET($H$3,0,0,'Données projet'!$E$13+1,1))</f>
        <v>324.58754156328285</v>
      </c>
      <c r="CZ102" s="59">
        <f t="shared" si="96"/>
        <v>226.01037731977604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4.4773929166147193E-12</v>
      </c>
      <c r="DI102" s="22">
        <f t="shared" si="69"/>
        <v>4.4773929166147193E-12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7.5015384615384617</v>
      </c>
      <c r="DO102" s="12">
        <f>IF('Données projet'!$A$166&gt;35,DO101+DN102-DW101,IF(A102&lt;'Données projet'!$A$166,$DL$205^A102,IF(A102='Données projet'!$A$166,'Données projet'!$B$166,DO101+DN102-DW101)))</f>
        <v>264.70615384615411</v>
      </c>
      <c r="DP102" s="17">
        <f>DO102*VLOOKUP('Données projet'!$B$14,Paramètres!$A$1:$I$89,3,0)*VLOOKUP('Données projet'!$B$14,Paramètres!$A$1:$I$89,5,0)</f>
        <v>123.88248000000011</v>
      </c>
      <c r="DQ102" s="13">
        <f t="shared" si="97"/>
        <v>32.578839075986679</v>
      </c>
      <c r="DR102" s="20">
        <f t="shared" si="70"/>
        <v>272.50346405734365</v>
      </c>
      <c r="DS102" s="59">
        <f t="shared" si="71"/>
        <v>549.62630341175372</v>
      </c>
      <c r="DT102" s="59">
        <f ca="1">AVERAGE(OFFSET($DS$3,0,0,'Données projet'!$E$14+1,1))-AVERAGE(OFFSET($H$3,0,0,'Données projet'!$E$14+1,1))</f>
        <v>325.93182817189722</v>
      </c>
      <c r="DU102" s="59">
        <f t="shared" si="98"/>
        <v>280.04509991782709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0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5.6843418860808015E-14</v>
      </c>
      <c r="EK102" s="17">
        <f>EJ102*VLOOKUP('Données projet'!$B$15,Paramètres!$A$1:$I$89,3,0)*VLOOKUP('Données projet'!$B$15,Paramètres!$A$1:$I$89,5,0)</f>
        <v>4.5224624045658861E-14</v>
      </c>
      <c r="EL102" s="13">
        <f t="shared" si="99"/>
        <v>7.4514601661523691E-13</v>
      </c>
      <c r="EM102" s="20">
        <f t="shared" si="73"/>
        <v>1.3765621991510601E-12</v>
      </c>
      <c r="EN102" s="59">
        <f t="shared" si="74"/>
        <v>277.1228393544115</v>
      </c>
      <c r="EO102" s="59">
        <f ca="1">AVERAGE(OFFSET($EN$3,0,0,'Données projet'!$E$15+1,1))-AVERAGE(OFFSET($H$3,0,0,'Données projet'!$E$15+1,1))</f>
        <v>333.52903437536651</v>
      </c>
      <c r="EP102" s="59">
        <f t="shared" si="100"/>
        <v>359.47288701414777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0.55841628396642606</v>
      </c>
      <c r="EX102" s="21">
        <f>EXP(-LN(2)/2)*EX101+(1-EXP(-LN(2)/2))/(LN(2)/2)*ER102*EU102*VLOOKUP('Données projet'!$B$15,Paramètres!$A$1:$I$89,3,0)*0.475*44/12</f>
        <v>1.0379410852152304E-11</v>
      </c>
      <c r="EY102" s="22">
        <f t="shared" si="75"/>
        <v>0.55841628397680543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-2.8421709430404007E-13</v>
      </c>
      <c r="FF102" s="17">
        <f>FE102*VLOOKUP('Données projet'!$B$16,Paramètres!$A$1:$I$89,3,0)*VLOOKUP('Données projet'!$B$16,Paramètres!$A$1:$I$89,5,0)</f>
        <v>-1.69961822393816E-13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313.26988717307376</v>
      </c>
      <c r="FK102" s="59">
        <f t="shared" si="102"/>
        <v>248.17359813993201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0.59438162372048242</v>
      </c>
      <c r="FR102" s="21">
        <f>EXP(-LN(2)/25)*FR101+(1-EXP(-LN(2)/25))/(LN(2)/25)*Calculateur!FM102*Calculateur!FO102*VLOOKUP('Données projet'!$B$16,Paramètres!$A$1:$I$89,3,0)*0.475*44/12</f>
        <v>1.1129723414494588</v>
      </c>
      <c r="FS102" s="21">
        <f>EXP(-LN(2)/2)*FS101+(1-EXP(-LN(2)/2))/(LN(2)/2)*FM102*FP102*VLOOKUP('Données projet'!$B$16,Paramètres!$A$1:$I$89,3,0)*0.475*44/12</f>
        <v>1.732916862307705E-10</v>
      </c>
      <c r="FT102" s="22">
        <f t="shared" si="78"/>
        <v>1.7073539653432328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2.9</v>
      </c>
      <c r="FZ102" s="12">
        <f>IF('Données projet'!$A$244&gt;35,FZ101+FY102-GH101,IF(A102&lt;'Données projet'!$A$244,$FW$205^A102,IF(A102='Données projet'!$A$244,'Données projet'!$B$244,FZ101+FY102-GH101)))</f>
        <v>176.10000000000002</v>
      </c>
      <c r="GA102" s="17">
        <f>FZ102*VLOOKUP('Données projet'!$B$17,Paramètres!$A$1:$I$89,3,0)*VLOOKUP('Données projet'!$B$17,Paramètres!$A$1:$I$89,5,0)</f>
        <v>189.55404000000001</v>
      </c>
      <c r="GB102" s="13">
        <f t="shared" si="103"/>
        <v>47.441343946697231</v>
      </c>
      <c r="GC102" s="20">
        <f t="shared" si="79"/>
        <v>412.76696037383107</v>
      </c>
      <c r="GD102" s="59">
        <f t="shared" si="80"/>
        <v>689.8897997282412</v>
      </c>
      <c r="GE102" s="59">
        <f ca="1">AVERAGE(OFFSET($GD$3,0,0,'Données projet'!$E$17+1,1))-AVERAGE(OFFSET($H$3,0,0,'Données projet'!$E$17+1,1))</f>
        <v>313.51355235711543</v>
      </c>
      <c r="GF102" s="59">
        <f t="shared" si="104"/>
        <v>186.0840067781198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0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0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290</v>
      </c>
      <c r="L103" s="12">
        <f>VLOOKUP(A103,'Données projet'!$A$35:$I$55,9,0)</f>
        <v>5.0999999999999996</v>
      </c>
      <c r="M103" s="12">
        <f t="array" ref="M103">INDEX(L:L,MIN(IF(ISNUMBER(L103:L299),ROW(L103:L299),"")))</f>
        <v>5.0999999999999996</v>
      </c>
      <c r="N103" s="13">
        <f>IF('Données projet'!$A$36&gt;35,N102+M103-V102,IF(A103&lt;'Données projet'!$A$36,$K$205^A103,IF(A103='Données projet'!$A$36,'Données projet'!$B$36,N102+M103-V102)))</f>
        <v>290.00000000000011</v>
      </c>
      <c r="O103" s="13">
        <f>N103*VLOOKUP('Données projet'!$B$9,Paramètres!$A$1:$I$89,3,0)*VLOOKUP('Données projet'!$B$9,Paramètres!$A$1:$I$89,5,0)</f>
        <v>294.06000000000012</v>
      </c>
      <c r="P103" s="13">
        <f t="shared" si="87"/>
        <v>69.929765653573369</v>
      </c>
      <c r="Q103" s="20">
        <f t="shared" si="107"/>
        <v>633.94884184664045</v>
      </c>
      <c r="R103" s="59">
        <f t="shared" si="55"/>
        <v>911.3528970303496</v>
      </c>
      <c r="S103" s="59">
        <f ca="1">AVERAGE(OFFSET($R$3,0,0,'Données projet'!$E$9+1,1))-AVERAGE(OFFSET($H$3,0,0,'Données projet'!$E$9+1,1))</f>
        <v>452.67426184967104</v>
      </c>
      <c r="T103" s="59">
        <f t="shared" si="88"/>
        <v>310.47823616327639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37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309.61538461538458</v>
      </c>
      <c r="AG103" s="12">
        <f>VLOOKUP(A103,'Données projet'!$A$61:$I$81,9,0)</f>
        <v>3.4615384615384586</v>
      </c>
      <c r="AH103" s="12">
        <f t="array" ref="AH103">INDEX(AG:AG,MIN(IF(ISNUMBER(AG103:AG299),ROW(AG103:AG299),"")))</f>
        <v>3.4615384615384586</v>
      </c>
      <c r="AI103" s="13">
        <f>IF('Données projet'!$A$62&gt;35,AI102+AH103-AQ102,IF(A103&lt;'Données projet'!$A$62,$AF$205^A103,IF(A103='Données projet'!$A$62,'Données projet'!$B$62,AI102+AH103-AQ102)))</f>
        <v>309.61538461538453</v>
      </c>
      <c r="AJ103" s="13">
        <f>AI103*VLOOKUP('Données projet'!$B$10,Paramètres!$A$1:$I$89,3,0)*VLOOKUP('Données projet'!$B$10,Paramètres!$A$1:$I$89,5,0)</f>
        <v>323.60999999999996</v>
      </c>
      <c r="AK103" s="13">
        <f t="shared" si="89"/>
        <v>76.103993258558603</v>
      </c>
      <c r="AL103" s="20">
        <f t="shared" si="58"/>
        <v>696.1685382586561</v>
      </c>
      <c r="AM103" s="59">
        <f t="shared" si="59"/>
        <v>973.57259344236536</v>
      </c>
      <c r="AN103" s="59">
        <f ca="1">AVERAGE(OFFSET($AM$3,0,0,'Données projet'!$E$10+1,1))-AVERAGE(OFFSET($H$3,0,0,'Données projet'!$E$10+1,1))</f>
        <v>528.45201982036087</v>
      </c>
      <c r="AO103" s="59">
        <f t="shared" si="90"/>
        <v>321.23004033257985</v>
      </c>
      <c r="AP103" s="15">
        <f>IF(ISNA(VLOOKUP(A103,'Données projet'!$A$61:$I$81,3,0)),0,VLOOKUP(A103,'Données projet'!$A$61:$I$81,3,0))</f>
        <v>10</v>
      </c>
      <c r="AQ103" s="15">
        <f>IF(ISNA(VLOOKUP(A103,'Données projet'!$A$61:$I$81,4,0)),0,VLOOKUP(A103,'Données projet'!$A$61:$I$81,4,0))</f>
        <v>20.512820512820511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2.8747446448760925E-12</v>
      </c>
      <c r="AX103" s="21">
        <f t="shared" si="60"/>
        <v>2.8747446448760925E-12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179</v>
      </c>
      <c r="BB103" s="12">
        <f>VLOOKUP(A103,'Données projet'!$A$87:$I$107,9,0)</f>
        <v>2.9</v>
      </c>
      <c r="BC103" s="12">
        <f t="array" ref="BC103">INDEX(BB:BB,MIN(IF(ISNUMBER(BB103:BB299),ROW(BB103:BB299),"")))</f>
        <v>2.9</v>
      </c>
      <c r="BD103" s="12">
        <f>IF('Données projet'!$A$88&gt;35,BD102+BC103-BL102,IF(A103&lt;'Données projet'!$A$88,$BA$205^A103,IF(A103='Données projet'!$A$88,'Données projet'!$B$88,BD102+BC103-BL102)))</f>
        <v>179.00000000000003</v>
      </c>
      <c r="BE103" s="13">
        <f>BD103*VLOOKUP('Données projet'!$B$11,Paramètres!$A$1:$I$89,3,0)*VLOOKUP('Données projet'!$B$11,Paramètres!$A$1:$I$89,5,0)</f>
        <v>173.12880000000004</v>
      </c>
      <c r="BF103" s="13">
        <f t="shared" si="91"/>
        <v>43.790025187181634</v>
      </c>
      <c r="BG103" s="20">
        <f t="shared" si="61"/>
        <v>377.80028720100813</v>
      </c>
      <c r="BH103" s="59">
        <f t="shared" si="62"/>
        <v>655.20434238471739</v>
      </c>
      <c r="BI103" s="59">
        <f ca="1">AVERAGE(OFFSET($BH$3,0,0,'Données projet'!$E$11+1,1))-AVERAGE(OFFSET($H$3,0,0,'Données projet'!$E$11+1,1))</f>
        <v>289.06522051625166</v>
      </c>
      <c r="BJ103" s="59">
        <f t="shared" si="92"/>
        <v>173.19148969173838</v>
      </c>
      <c r="BK103" s="15">
        <f>IF(ISNA(VLOOKUP(A103,'Données projet'!$A$87:$I$107,3,0)),0,VLOOKUP(A103,'Données projet'!$A$87:$I$107,3,0))</f>
        <v>8</v>
      </c>
      <c r="BL103" s="15">
        <f>IF(ISNA(VLOOKUP(A103,'Données projet'!$A$87:$I$107,4,0)),0,VLOOKUP(A103,'Données projet'!$A$87:$I$107,4,0))</f>
        <v>18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234.00000000000045</v>
      </c>
      <c r="BZ103" s="13">
        <f>BY103*VLOOKUP('Données projet'!$B$12,Paramètres!$A$1:$I$89,3,0)*VLOOKUP('Données projet'!$B$12,Paramètres!$A$1:$I$89,5,0)</f>
        <v>189.82080000000036</v>
      </c>
      <c r="CA103" s="13">
        <f t="shared" si="93"/>
        <v>47.500332100049881</v>
      </c>
      <c r="CB103" s="20">
        <f t="shared" si="64"/>
        <v>413.33430507425419</v>
      </c>
      <c r="CC103" s="59">
        <f t="shared" si="65"/>
        <v>690.73836025796345</v>
      </c>
      <c r="CD103" s="59">
        <f ca="1">AVERAGE(OFFSET($CC$3,0,0,'Données projet'!$E$12+1,1))-AVERAGE(OFFSET($H$3,0,0,'Données projet'!$E$12+1,1))</f>
        <v>306.06916761900357</v>
      </c>
      <c r="CE103" s="59">
        <f t="shared" si="94"/>
        <v>258.90832875500337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5.2208795281869116E-12</v>
      </c>
      <c r="CN103" s="22">
        <f t="shared" si="66"/>
        <v>5.2208795281869116E-12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290</v>
      </c>
      <c r="CR103" s="12">
        <f>VLOOKUP(A103,'Données projet'!$A$139:$I$159,9,0)</f>
        <v>5.0999999999999996</v>
      </c>
      <c r="CS103" s="12">
        <f t="array" ref="CS103">INDEX(CR:CR,MIN(IF(ISNUMBER(CR103:CR299),ROW(CR103:CR299),"")))</f>
        <v>5.0999999999999996</v>
      </c>
      <c r="CT103" s="12">
        <f>IF('Données projet'!$A$140&gt;35,CT102+CS103-DB102,IF(A103&lt;'Données projet'!$A$140,$CQ$205^A103,IF(A103='Données projet'!$A$140,'Données projet'!$B$140,CT102+CS103-DB102)))</f>
        <v>290.00000000000011</v>
      </c>
      <c r="CU103" s="17">
        <f>CT103*VLOOKUP('Données projet'!$B$13,Paramètres!$A$1:$I$89,3,0)*VLOOKUP('Données projet'!$B$13,Paramètres!$A$1:$I$89,5,0)</f>
        <v>194.53200000000007</v>
      </c>
      <c r="CV103" s="13">
        <f t="shared" si="95"/>
        <v>48.540534952652621</v>
      </c>
      <c r="CW103" s="20">
        <f t="shared" si="67"/>
        <v>423.35133170920341</v>
      </c>
      <c r="CX103" s="59">
        <f t="shared" si="68"/>
        <v>700.75538689291261</v>
      </c>
      <c r="CY103" s="59">
        <f ca="1">AVERAGE(OFFSET($CX$3,0,0,'Données projet'!$E$13+1,1))-AVERAGE(OFFSET($H$3,0,0,'Données projet'!$E$13+1,1))</f>
        <v>324.58754156328285</v>
      </c>
      <c r="CZ103" s="59">
        <f t="shared" si="96"/>
        <v>226.01037731977604</v>
      </c>
      <c r="DA103" s="15">
        <f>IF(ISNA(VLOOKUP(A103,'Données projet'!$A$139:$I$159,3,0)),0,VLOOKUP(A103,'Données projet'!$A$139:$I$159,3,0))</f>
        <v>9</v>
      </c>
      <c r="DB103" s="15">
        <f>IF(ISNA(VLOOKUP(A103,'Données projet'!$A$139:$I$159,4,0)),0,VLOOKUP(A103,'Données projet'!$A$139:$I$159,4,0))</f>
        <v>37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3.1659948933748822E-12</v>
      </c>
      <c r="DI103" s="22">
        <f t="shared" si="69"/>
        <v>3.1659948933748822E-12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7.5015384615384617</v>
      </c>
      <c r="DO103" s="12">
        <f>IF('Données projet'!$A$166&gt;35,DO102+DN103-DW102,IF(A103&lt;'Données projet'!$A$166,$DL$205^A103,IF(A103='Données projet'!$A$166,'Données projet'!$B$166,DO102+DN103-DW102)))</f>
        <v>272.20769230769258</v>
      </c>
      <c r="DP103" s="17">
        <f>DO103*VLOOKUP('Données projet'!$B$14,Paramètres!$A$1:$I$89,3,0)*VLOOKUP('Données projet'!$B$14,Paramètres!$A$1:$I$89,5,0)</f>
        <v>127.39320000000012</v>
      </c>
      <c r="DQ103" s="13">
        <f t="shared" si="97"/>
        <v>33.393296112922592</v>
      </c>
      <c r="DR103" s="20">
        <f t="shared" si="70"/>
        <v>280.03648073000704</v>
      </c>
      <c r="DS103" s="59">
        <f t="shared" si="71"/>
        <v>557.4405359137163</v>
      </c>
      <c r="DT103" s="59">
        <f ca="1">AVERAGE(OFFSET($DS$3,0,0,'Données projet'!$E$14+1,1))-AVERAGE(OFFSET($H$3,0,0,'Données projet'!$E$14+1,1))</f>
        <v>325.93182817189722</v>
      </c>
      <c r="DU103" s="59">
        <f t="shared" si="98"/>
        <v>280.04509991782709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0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5.6843418860808015E-14</v>
      </c>
      <c r="EK103" s="17">
        <f>EJ103*VLOOKUP('Données projet'!$B$15,Paramètres!$A$1:$I$89,3,0)*VLOOKUP('Données projet'!$B$15,Paramètres!$A$1:$I$89,5,0)</f>
        <v>4.5224624045658861E-14</v>
      </c>
      <c r="EL103" s="13">
        <f t="shared" si="99"/>
        <v>7.4514601661523691E-13</v>
      </c>
      <c r="EM103" s="20">
        <f t="shared" si="73"/>
        <v>1.3765621991510601E-12</v>
      </c>
      <c r="EN103" s="59">
        <f t="shared" si="74"/>
        <v>277.40405518371057</v>
      </c>
      <c r="EO103" s="59">
        <f ca="1">AVERAGE(OFFSET($EN$3,0,0,'Données projet'!$E$15+1,1))-AVERAGE(OFFSET($H$3,0,0,'Données projet'!$E$15+1,1))</f>
        <v>333.52903437536651</v>
      </c>
      <c r="EP103" s="59">
        <f t="shared" si="100"/>
        <v>359.47288701414777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0.54314636131552807</v>
      </c>
      <c r="EX103" s="21">
        <f>EXP(-LN(2)/2)*EX102+(1-EXP(-LN(2)/2))/(LN(2)/2)*ER103*EU103*VLOOKUP('Données projet'!$B$15,Paramètres!$A$1:$I$89,3,0)*0.475*44/12</f>
        <v>7.339351798278136E-12</v>
      </c>
      <c r="EY103" s="22">
        <f t="shared" si="75"/>
        <v>0.54314636132286742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-2.8421709430404007E-13</v>
      </c>
      <c r="FF103" s="17">
        <f>FE103*VLOOKUP('Données projet'!$B$16,Paramètres!$A$1:$I$89,3,0)*VLOOKUP('Données projet'!$B$16,Paramètres!$A$1:$I$89,5,0)</f>
        <v>-1.69961822393816E-13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313.26988717307376</v>
      </c>
      <c r="FK103" s="59">
        <f t="shared" si="102"/>
        <v>248.17359813993201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0.58272616261631671</v>
      </c>
      <c r="FR103" s="21">
        <f>EXP(-LN(2)/25)*FR102+(1-EXP(-LN(2)/25))/(LN(2)/25)*Calculateur!FM103*Calculateur!FO103*VLOOKUP('Données projet'!$B$16,Paramètres!$A$1:$I$89,3,0)*0.475*44/12</f>
        <v>1.0825380542438516</v>
      </c>
      <c r="FS103" s="21">
        <f>EXP(-LN(2)/2)*FS102+(1-EXP(-LN(2)/2))/(LN(2)/2)*FM103*FP103*VLOOKUP('Données projet'!$B$16,Paramètres!$A$1:$I$89,3,0)*0.475*44/12</f>
        <v>1.2253572645702928E-10</v>
      </c>
      <c r="FT103" s="22">
        <f t="shared" si="78"/>
        <v>1.6652642169827041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>
        <f>VLOOKUP(A103,'Données projet'!$A$243:$I$263,2,0)</f>
        <v>179</v>
      </c>
      <c r="FX103" s="12">
        <f>VLOOKUP(A103,'Données projet'!$A$243:$I$263,9,0)</f>
        <v>2.9</v>
      </c>
      <c r="FY103" s="12">
        <f t="array" ref="FY103">INDEX(FX:FX,MIN(IF(ISNUMBER(FX103:FX299),ROW(FX103:FX299),"")))</f>
        <v>2.9</v>
      </c>
      <c r="FZ103" s="12">
        <f>IF('Données projet'!$A$244&gt;35,FZ102+FY103-GH102,IF(A103&lt;'Données projet'!$A$244,$FW$205^A103,IF(A103='Données projet'!$A$244,'Données projet'!$B$244,FZ102+FY103-GH102)))</f>
        <v>179.00000000000003</v>
      </c>
      <c r="GA103" s="17">
        <f>FZ103*VLOOKUP('Données projet'!$B$17,Paramètres!$A$1:$I$89,3,0)*VLOOKUP('Données projet'!$B$17,Paramètres!$A$1:$I$89,5,0)</f>
        <v>192.6756</v>
      </c>
      <c r="GB103" s="13">
        <f t="shared" si="103"/>
        <v>48.131007733172986</v>
      </c>
      <c r="GC103" s="20">
        <f t="shared" si="79"/>
        <v>419.40484180194295</v>
      </c>
      <c r="GD103" s="59">
        <f t="shared" si="80"/>
        <v>696.80889698565215</v>
      </c>
      <c r="GE103" s="59">
        <f ca="1">AVERAGE(OFFSET($GD$3,0,0,'Données projet'!$E$17+1,1))-AVERAGE(OFFSET($H$3,0,0,'Données projet'!$E$17+1,1))</f>
        <v>313.51355235711543</v>
      </c>
      <c r="GF103" s="59">
        <f t="shared" si="104"/>
        <v>186.0840067781198</v>
      </c>
      <c r="GG103" s="15">
        <f>IF(ISNA(VLOOKUP(A103,'Données projet'!$A$243:$I$263,3,0)),0,VLOOKUP(A103,'Données projet'!$A$243:$I$263,3,0))</f>
        <v>8</v>
      </c>
      <c r="GH103" s="15">
        <f>IF(ISNA(VLOOKUP(A103,'Données projet'!$A$243:$I$263,4,0)),0,VLOOKUP(A103,'Données projet'!$A$243:$I$263,4,0))</f>
        <v>18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0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0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4.5999999999999996</v>
      </c>
      <c r="N104" s="13">
        <f>IF('Données projet'!$A$36&gt;35,N103+M104-V103,IF(A104&lt;'Données projet'!$A$36,$K$205^A104,IF(A104='Données projet'!$A$36,'Données projet'!$B$36,N103+M104-V103)))</f>
        <v>257.60000000000014</v>
      </c>
      <c r="O104" s="13">
        <f>N104*VLOOKUP('Données projet'!$B$9,Paramètres!$A$1:$I$89,3,0)*VLOOKUP('Données projet'!$B$9,Paramètres!$A$1:$I$89,5,0)</f>
        <v>261.20640000000014</v>
      </c>
      <c r="P104" s="13">
        <f t="shared" si="87"/>
        <v>62.979464359660597</v>
      </c>
      <c r="Q104" s="20">
        <f t="shared" si="107"/>
        <v>564.62371375974249</v>
      </c>
      <c r="R104" s="59">
        <f t="shared" si="55"/>
        <v>842.30410630681695</v>
      </c>
      <c r="S104" s="59">
        <f ca="1">AVERAGE(OFFSET($R$3,0,0,'Données projet'!$E$9+1,1))-AVERAGE(OFFSET($H$3,0,0,'Données projet'!$E$9+1,1))</f>
        <v>452.67426184967104</v>
      </c>
      <c r="T104" s="59">
        <f t="shared" si="88"/>
        <v>310.47823616327639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3.2051282051282044</v>
      </c>
      <c r="AI104" s="13">
        <f>IF('Données projet'!$A$62&gt;35,AI103+AH104-AQ103,IF(A104&lt;'Données projet'!$A$62,$AF$205^A104,IF(A104='Données projet'!$A$62,'Données projet'!$B$62,AI103+AH104-AQ103)))</f>
        <v>292.30769230769221</v>
      </c>
      <c r="AJ104" s="13">
        <f>AI104*VLOOKUP('Données projet'!$B$10,Paramètres!$A$1:$I$89,3,0)*VLOOKUP('Données projet'!$B$10,Paramètres!$A$1:$I$89,5,0)</f>
        <v>305.51999999999992</v>
      </c>
      <c r="AK104" s="13">
        <f t="shared" si="89"/>
        <v>72.332436678206648</v>
      </c>
      <c r="AL104" s="20">
        <f t="shared" si="58"/>
        <v>658.09299388120974</v>
      </c>
      <c r="AM104" s="59">
        <f t="shared" si="59"/>
        <v>935.77338642828408</v>
      </c>
      <c r="AN104" s="59">
        <f ca="1">AVERAGE(OFFSET($AM$3,0,0,'Données projet'!$E$10+1,1))-AVERAGE(OFFSET($H$3,0,0,'Données projet'!$E$10+1,1))</f>
        <v>528.45201982036087</v>
      </c>
      <c r="AO104" s="59">
        <f t="shared" si="90"/>
        <v>321.23004033257985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2.0327514325715984E-12</v>
      </c>
      <c r="AX104" s="21">
        <f t="shared" si="60"/>
        <v>2.0327514325715984E-12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2.9</v>
      </c>
      <c r="BD104" s="12">
        <f>IF('Données projet'!$A$88&gt;35,BD103+BC104-BL103,IF(A104&lt;'Données projet'!$A$88,$BA$205^A104,IF(A104='Données projet'!$A$88,'Données projet'!$B$88,BD103+BC104-BL103)))</f>
        <v>163.90000000000003</v>
      </c>
      <c r="BE104" s="13">
        <f>BD104*VLOOKUP('Données projet'!$B$11,Paramètres!$A$1:$I$89,3,0)*VLOOKUP('Données projet'!$B$11,Paramètres!$A$1:$I$89,5,0)</f>
        <v>158.52408000000005</v>
      </c>
      <c r="BF104" s="13">
        <f t="shared" si="91"/>
        <v>40.509438192876381</v>
      </c>
      <c r="BG104" s="20">
        <f t="shared" si="61"/>
        <v>346.65004418592645</v>
      </c>
      <c r="BH104" s="59">
        <f t="shared" si="62"/>
        <v>624.33043673300085</v>
      </c>
      <c r="BI104" s="59">
        <f ca="1">AVERAGE(OFFSET($BH$3,0,0,'Données projet'!$E$11+1,1))-AVERAGE(OFFSET($H$3,0,0,'Données projet'!$E$11+1,1))</f>
        <v>289.06522051625166</v>
      </c>
      <c r="BJ104" s="59">
        <f t="shared" si="92"/>
        <v>173.19148969173838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234.00000000000045</v>
      </c>
      <c r="BZ104" s="13">
        <f>BY104*VLOOKUP('Données projet'!$B$12,Paramètres!$A$1:$I$89,3,0)*VLOOKUP('Données projet'!$B$12,Paramètres!$A$1:$I$89,5,0)</f>
        <v>189.82080000000036</v>
      </c>
      <c r="CA104" s="13">
        <f t="shared" si="93"/>
        <v>47.500332100049881</v>
      </c>
      <c r="CB104" s="20">
        <f t="shared" si="64"/>
        <v>413.33430507425419</v>
      </c>
      <c r="CC104" s="59">
        <f t="shared" si="65"/>
        <v>691.01469762132865</v>
      </c>
      <c r="CD104" s="59">
        <f ca="1">AVERAGE(OFFSET($CC$3,0,0,'Données projet'!$E$12+1,1))-AVERAGE(OFFSET($H$3,0,0,'Données projet'!$E$12+1,1))</f>
        <v>306.06916761900357</v>
      </c>
      <c r="CE104" s="59">
        <f t="shared" si="94"/>
        <v>258.90832875500337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3.6917193181389879E-12</v>
      </c>
      <c r="CN104" s="22">
        <f t="shared" si="66"/>
        <v>3.6917193181389879E-12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4.5999999999999996</v>
      </c>
      <c r="CT104" s="12">
        <f>IF('Données projet'!$A$140&gt;35,CT103+CS104-DB103,IF(A104&lt;'Données projet'!$A$140,$CQ$205^A104,IF(A104='Données projet'!$A$140,'Données projet'!$B$140,CT103+CS104-DB103)))</f>
        <v>257.60000000000014</v>
      </c>
      <c r="CU104" s="17">
        <f>CT104*VLOOKUP('Données projet'!$B$13,Paramètres!$A$1:$I$89,3,0)*VLOOKUP('Données projet'!$B$13,Paramètres!$A$1:$I$89,5,0)</f>
        <v>172.79808000000008</v>
      </c>
      <c r="CV104" s="13">
        <f t="shared" si="95"/>
        <v>43.716103757502459</v>
      </c>
      <c r="CW104" s="20">
        <f t="shared" si="67"/>
        <v>377.09553671098359</v>
      </c>
      <c r="CX104" s="59">
        <f t="shared" si="68"/>
        <v>654.775929258058</v>
      </c>
      <c r="CY104" s="59">
        <f ca="1">AVERAGE(OFFSET($CX$3,0,0,'Données projet'!$E$13+1,1))-AVERAGE(OFFSET($H$3,0,0,'Données projet'!$E$13+1,1))</f>
        <v>324.58754156328285</v>
      </c>
      <c r="CZ104" s="59">
        <f t="shared" si="96"/>
        <v>226.01037731977604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2.2386964583073597E-12</v>
      </c>
      <c r="DI104" s="22">
        <f t="shared" si="69"/>
        <v>2.2386964583073597E-12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7.5015384615384617</v>
      </c>
      <c r="DO104" s="12">
        <f>IF('Données projet'!$A$166&gt;35,DO103+DN104-DW103,IF(A104&lt;'Données projet'!$A$166,$DL$205^A104,IF(A104='Données projet'!$A$166,'Données projet'!$B$166,DO103+DN104-DW103)))</f>
        <v>279.70923076923106</v>
      </c>
      <c r="DP104" s="17">
        <f>DO104*VLOOKUP('Données projet'!$B$14,Paramètres!$A$1:$I$89,3,0)*VLOOKUP('Données projet'!$B$14,Paramètres!$A$1:$I$89,5,0)</f>
        <v>130.90392000000014</v>
      </c>
      <c r="DQ104" s="13">
        <f t="shared" si="97"/>
        <v>34.205144397668505</v>
      </c>
      <c r="DR104" s="20">
        <f t="shared" si="70"/>
        <v>287.56495382593954</v>
      </c>
      <c r="DS104" s="59">
        <f t="shared" si="71"/>
        <v>565.24534637301394</v>
      </c>
      <c r="DT104" s="59">
        <f ca="1">AVERAGE(OFFSET($DS$3,0,0,'Données projet'!$E$14+1,1))-AVERAGE(OFFSET($H$3,0,0,'Données projet'!$E$14+1,1))</f>
        <v>325.93182817189722</v>
      </c>
      <c r="DU104" s="59">
        <f t="shared" si="98"/>
        <v>280.04509991782709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0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5.6843418860808015E-14</v>
      </c>
      <c r="EK104" s="17">
        <f>EJ104*VLOOKUP('Données projet'!$B$15,Paramètres!$A$1:$I$89,3,0)*VLOOKUP('Données projet'!$B$15,Paramètres!$A$1:$I$89,5,0)</f>
        <v>4.5224624045658861E-14</v>
      </c>
      <c r="EL104" s="13">
        <f t="shared" si="99"/>
        <v>7.4514601661523691E-13</v>
      </c>
      <c r="EM104" s="20">
        <f t="shared" si="73"/>
        <v>1.3765621991510601E-12</v>
      </c>
      <c r="EN104" s="59">
        <f t="shared" si="74"/>
        <v>277.68039254707577</v>
      </c>
      <c r="EO104" s="59">
        <f ca="1">AVERAGE(OFFSET($EN$3,0,0,'Données projet'!$E$15+1,1))-AVERAGE(OFFSET($H$3,0,0,'Données projet'!$E$15+1,1))</f>
        <v>333.52903437536651</v>
      </c>
      <c r="EP104" s="59">
        <f t="shared" si="100"/>
        <v>359.47288701414777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0.5282939955025292</v>
      </c>
      <c r="EX104" s="21">
        <f>EXP(-LN(2)/2)*EX103+(1-EXP(-LN(2)/2))/(LN(2)/2)*ER104*EU104*VLOOKUP('Données projet'!$B$15,Paramètres!$A$1:$I$89,3,0)*0.475*44/12</f>
        <v>5.1897054260761522E-12</v>
      </c>
      <c r="EY104" s="22">
        <f t="shared" si="75"/>
        <v>0.52829399550771894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-2.8421709430404007E-13</v>
      </c>
      <c r="FF104" s="17">
        <f>FE104*VLOOKUP('Données projet'!$B$16,Paramètres!$A$1:$I$89,3,0)*VLOOKUP('Données projet'!$B$16,Paramètres!$A$1:$I$89,5,0)</f>
        <v>-1.69961822393816E-13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313.26988717307376</v>
      </c>
      <c r="FK104" s="59">
        <f t="shared" si="102"/>
        <v>248.17359813993201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0.57129925799527437</v>
      </c>
      <c r="FR104" s="21">
        <f>EXP(-LN(2)/25)*FR103+(1-EXP(-LN(2)/25))/(LN(2)/25)*Calculateur!FM104*Calculateur!FO104*VLOOKUP('Données projet'!$B$16,Paramètres!$A$1:$I$89,3,0)*0.475*44/12</f>
        <v>1.0529359942223515</v>
      </c>
      <c r="FS104" s="21">
        <f>EXP(-LN(2)/2)*FS103+(1-EXP(-LN(2)/2))/(LN(2)/2)*FM104*FP104*VLOOKUP('Données projet'!$B$16,Paramètres!$A$1:$I$89,3,0)*0.475*44/12</f>
        <v>8.664584311538525E-11</v>
      </c>
      <c r="FT104" s="22">
        <f t="shared" si="78"/>
        <v>1.6242352523042718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2.9</v>
      </c>
      <c r="FZ104" s="12">
        <f>IF('Données projet'!$A$244&gt;35,FZ103+FY104-GH103,IF(A104&lt;'Données projet'!$A$244,$FW$205^A104,IF(A104='Données projet'!$A$244,'Données projet'!$B$244,FZ103+FY104-GH103)))</f>
        <v>163.90000000000003</v>
      </c>
      <c r="GA104" s="17">
        <f>FZ104*VLOOKUP('Données projet'!$B$17,Paramètres!$A$1:$I$89,3,0)*VLOOKUP('Données projet'!$B$17,Paramètres!$A$1:$I$89,5,0)</f>
        <v>176.42196000000001</v>
      </c>
      <c r="GB104" s="13">
        <f t="shared" si="103"/>
        <v>44.525210355406884</v>
      </c>
      <c r="GC104" s="20">
        <f t="shared" si="79"/>
        <v>384.81632170233365</v>
      </c>
      <c r="GD104" s="59">
        <f t="shared" si="80"/>
        <v>662.49671424940811</v>
      </c>
      <c r="GE104" s="59">
        <f ca="1">AVERAGE(OFFSET($GD$3,0,0,'Données projet'!$E$17+1,1))-AVERAGE(OFFSET($H$3,0,0,'Données projet'!$E$17+1,1))</f>
        <v>313.51355235711543</v>
      </c>
      <c r="GF104" s="59">
        <f t="shared" si="104"/>
        <v>186.0840067781198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0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0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4.5999999999999996</v>
      </c>
      <c r="N105" s="13">
        <f>IF('Données projet'!$A$36&gt;35,N104+M105-V104,IF(A105&lt;'Données projet'!$A$36,$K$205^A105,IF(A105='Données projet'!$A$36,'Données projet'!$B$36,N104+M105-V104)))</f>
        <v>262.20000000000016</v>
      </c>
      <c r="O105" s="13">
        <f>N105*VLOOKUP('Données projet'!$B$9,Paramètres!$A$1:$I$89,3,0)*VLOOKUP('Données projet'!$B$9,Paramètres!$A$1:$I$89,5,0)</f>
        <v>265.8708000000002</v>
      </c>
      <c r="P105" s="13">
        <f t="shared" si="87"/>
        <v>63.97216437022184</v>
      </c>
      <c r="Q105" s="20">
        <f t="shared" si="107"/>
        <v>574.47649627813678</v>
      </c>
      <c r="R105" s="59">
        <f t="shared" si="55"/>
        <v>852.42843235311966</v>
      </c>
      <c r="S105" s="59">
        <f ca="1">AVERAGE(OFFSET($R$3,0,0,'Données projet'!$E$9+1,1))-AVERAGE(OFFSET($H$3,0,0,'Données projet'!$E$9+1,1))</f>
        <v>452.67426184967104</v>
      </c>
      <c r="T105" s="59">
        <f t="shared" si="88"/>
        <v>310.47823616327639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3.2051282051282044</v>
      </c>
      <c r="AI105" s="13">
        <f>IF('Données projet'!$A$62&gt;35,AI104+AH105-AQ104,IF(A105&lt;'Données projet'!$A$62,$AF$205^A105,IF(A105='Données projet'!$A$62,'Données projet'!$B$62,AI104+AH105-AQ104)))</f>
        <v>295.51282051282044</v>
      </c>
      <c r="AJ105" s="13">
        <f>AI105*VLOOKUP('Données projet'!$B$10,Paramètres!$A$1:$I$89,3,0)*VLOOKUP('Données projet'!$B$10,Paramètres!$A$1:$I$89,5,0)</f>
        <v>308.86999999999995</v>
      </c>
      <c r="AK105" s="13">
        <f t="shared" si="89"/>
        <v>73.032791063818436</v>
      </c>
      <c r="AL105" s="20">
        <f t="shared" si="58"/>
        <v>665.14736110281694</v>
      </c>
      <c r="AM105" s="59">
        <f t="shared" si="59"/>
        <v>943.09929717779983</v>
      </c>
      <c r="AN105" s="59">
        <f ca="1">AVERAGE(OFFSET($AM$3,0,0,'Données projet'!$E$10+1,1))-AVERAGE(OFFSET($H$3,0,0,'Données projet'!$E$10+1,1))</f>
        <v>528.45201982036087</v>
      </c>
      <c r="AO105" s="59">
        <f t="shared" si="90"/>
        <v>321.23004033257985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1.4373723224380462E-12</v>
      </c>
      <c r="AX105" s="21">
        <f t="shared" si="60"/>
        <v>1.4373723224380462E-12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2.9</v>
      </c>
      <c r="BD105" s="12">
        <f>IF('Données projet'!$A$88&gt;35,BD104+BC105-BL104,IF(A105&lt;'Données projet'!$A$88,$BA$205^A105,IF(A105='Données projet'!$A$88,'Données projet'!$B$88,BD104+BC105-BL104)))</f>
        <v>166.80000000000004</v>
      </c>
      <c r="BE105" s="13">
        <f>BD105*VLOOKUP('Données projet'!$B$11,Paramètres!$A$1:$I$89,3,0)*VLOOKUP('Données projet'!$B$11,Paramètres!$A$1:$I$89,5,0)</f>
        <v>161.32896000000005</v>
      </c>
      <c r="BF105" s="13">
        <f t="shared" si="91"/>
        <v>41.142121587976256</v>
      </c>
      <c r="BG105" s="20">
        <f t="shared" si="61"/>
        <v>352.63713376572537</v>
      </c>
      <c r="BH105" s="59">
        <f t="shared" si="62"/>
        <v>630.58906984070836</v>
      </c>
      <c r="BI105" s="59">
        <f ca="1">AVERAGE(OFFSET($BH$3,0,0,'Données projet'!$E$11+1,1))-AVERAGE(OFFSET($H$3,0,0,'Données projet'!$E$11+1,1))</f>
        <v>289.06522051625166</v>
      </c>
      <c r="BJ105" s="59">
        <f t="shared" si="92"/>
        <v>173.19148969173838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234.00000000000045</v>
      </c>
      <c r="BZ105" s="13">
        <f>BY105*VLOOKUP('Données projet'!$B$12,Paramètres!$A$1:$I$89,3,0)*VLOOKUP('Données projet'!$B$12,Paramètres!$A$1:$I$89,5,0)</f>
        <v>189.82080000000036</v>
      </c>
      <c r="CA105" s="13">
        <f t="shared" si="93"/>
        <v>47.500332100049881</v>
      </c>
      <c r="CB105" s="20">
        <f t="shared" si="64"/>
        <v>413.33430507425419</v>
      </c>
      <c r="CC105" s="59">
        <f t="shared" si="65"/>
        <v>691.28624114923718</v>
      </c>
      <c r="CD105" s="59">
        <f ca="1">AVERAGE(OFFSET($CC$3,0,0,'Données projet'!$E$12+1,1))-AVERAGE(OFFSET($H$3,0,0,'Données projet'!$E$12+1,1))</f>
        <v>306.06916761900357</v>
      </c>
      <c r="CE105" s="59">
        <f t="shared" si="94"/>
        <v>258.90832875500337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2.6104397640934558E-12</v>
      </c>
      <c r="CN105" s="22">
        <f t="shared" si="66"/>
        <v>2.6104397640934558E-12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4.5999999999999996</v>
      </c>
      <c r="CT105" s="12">
        <f>IF('Données projet'!$A$140&gt;35,CT104+CS105-DB104,IF(A105&lt;'Données projet'!$A$140,$CQ$205^A105,IF(A105='Données projet'!$A$140,'Données projet'!$B$140,CT104+CS105-DB104)))</f>
        <v>262.20000000000016</v>
      </c>
      <c r="CU105" s="17">
        <f>CT105*VLOOKUP('Données projet'!$B$13,Paramètres!$A$1:$I$89,3,0)*VLOOKUP('Données projet'!$B$13,Paramètres!$A$1:$I$89,5,0)</f>
        <v>175.88376000000011</v>
      </c>
      <c r="CV105" s="13">
        <f t="shared" si="95"/>
        <v>44.405169266442599</v>
      </c>
      <c r="CW105" s="20">
        <f t="shared" si="67"/>
        <v>383.66988513905443</v>
      </c>
      <c r="CX105" s="59">
        <f t="shared" si="68"/>
        <v>661.62182121403737</v>
      </c>
      <c r="CY105" s="59">
        <f ca="1">AVERAGE(OFFSET($CX$3,0,0,'Données projet'!$E$13+1,1))-AVERAGE(OFFSET($H$3,0,0,'Données projet'!$E$13+1,1))</f>
        <v>324.58754156328285</v>
      </c>
      <c r="CZ105" s="59">
        <f t="shared" si="96"/>
        <v>226.01037731977604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1.5829974466874411E-12</v>
      </c>
      <c r="DI105" s="22">
        <f t="shared" si="69"/>
        <v>1.5829974466874411E-12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7.5015384615384617</v>
      </c>
      <c r="DO105" s="12">
        <f>IF('Données projet'!$A$166&gt;35,DO104+DN105-DW104,IF(A105&lt;'Données projet'!$A$166,$DL$205^A105,IF(A105='Données projet'!$A$166,'Données projet'!$B$166,DO104+DN105-DW104)))</f>
        <v>287.21076923076953</v>
      </c>
      <c r="DP105" s="17">
        <f>DO105*VLOOKUP('Données projet'!$B$14,Paramètres!$A$1:$I$89,3,0)*VLOOKUP('Données projet'!$B$14,Paramètres!$A$1:$I$89,5,0)</f>
        <v>134.41464000000013</v>
      </c>
      <c r="DQ105" s="13">
        <f t="shared" si="97"/>
        <v>35.014461935490388</v>
      </c>
      <c r="DR105" s="20">
        <f t="shared" si="70"/>
        <v>295.08901920431265</v>
      </c>
      <c r="DS105" s="59">
        <f t="shared" si="71"/>
        <v>573.04095527929553</v>
      </c>
      <c r="DT105" s="59">
        <f ca="1">AVERAGE(OFFSET($DS$3,0,0,'Données projet'!$E$14+1,1))-AVERAGE(OFFSET($H$3,0,0,'Données projet'!$E$14+1,1))</f>
        <v>325.93182817189722</v>
      </c>
      <c r="DU105" s="59">
        <f t="shared" si="98"/>
        <v>280.04509991782709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0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5.6843418860808015E-14</v>
      </c>
      <c r="EK105" s="17">
        <f>EJ105*VLOOKUP('Données projet'!$B$15,Paramètres!$A$1:$I$89,3,0)*VLOOKUP('Données projet'!$B$15,Paramètres!$A$1:$I$89,5,0)</f>
        <v>4.5224624045658861E-14</v>
      </c>
      <c r="EL105" s="13">
        <f t="shared" si="99"/>
        <v>7.4514601661523691E-13</v>
      </c>
      <c r="EM105" s="20">
        <f t="shared" si="73"/>
        <v>1.3765621991510601E-12</v>
      </c>
      <c r="EN105" s="59">
        <f t="shared" si="74"/>
        <v>277.9519360749843</v>
      </c>
      <c r="EO105" s="59">
        <f ca="1">AVERAGE(OFFSET($EN$3,0,0,'Données projet'!$E$15+1,1))-AVERAGE(OFFSET($H$3,0,0,'Données projet'!$E$15+1,1))</f>
        <v>333.52903437536651</v>
      </c>
      <c r="EP105" s="59">
        <f t="shared" si="100"/>
        <v>359.47288701414777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0.5138477684137388</v>
      </c>
      <c r="EX105" s="21">
        <f>EXP(-LN(2)/2)*EX104+(1-EXP(-LN(2)/2))/(LN(2)/2)*ER105*EU105*VLOOKUP('Données projet'!$B$15,Paramètres!$A$1:$I$89,3,0)*0.475*44/12</f>
        <v>3.669675899139068E-12</v>
      </c>
      <c r="EY105" s="22">
        <f t="shared" si="75"/>
        <v>0.51384776841740853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-2.8421709430404007E-13</v>
      </c>
      <c r="FF105" s="17">
        <f>FE105*VLOOKUP('Données projet'!$B$16,Paramètres!$A$1:$I$89,3,0)*VLOOKUP('Données projet'!$B$16,Paramètres!$A$1:$I$89,5,0)</f>
        <v>-1.69961822393816E-13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313.26988717307376</v>
      </c>
      <c r="FK105" s="59">
        <f t="shared" si="102"/>
        <v>248.17359813993201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0.56009642800412707</v>
      </c>
      <c r="FR105" s="21">
        <f>EXP(-LN(2)/25)*FR104+(1-EXP(-LN(2)/25))/(LN(2)/25)*Calculateur!FM105*Calculateur!FO105*VLOOKUP('Données projet'!$B$16,Paramètres!$A$1:$I$89,3,0)*0.475*44/12</f>
        <v>1.024143404088844</v>
      </c>
      <c r="FS105" s="21">
        <f>EXP(-LN(2)/2)*FS104+(1-EXP(-LN(2)/2))/(LN(2)/2)*FM105*FP105*VLOOKUP('Données projet'!$B$16,Paramètres!$A$1:$I$89,3,0)*0.475*44/12</f>
        <v>6.1267863228514641E-11</v>
      </c>
      <c r="FT105" s="22">
        <f t="shared" si="78"/>
        <v>1.584239832154239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2.9</v>
      </c>
      <c r="FZ105" s="12">
        <f>IF('Données projet'!$A$244&gt;35,FZ104+FY105-GH104,IF(A105&lt;'Données projet'!$A$244,$FW$205^A105,IF(A105='Données projet'!$A$244,'Données projet'!$B$244,FZ104+FY105-GH104)))</f>
        <v>166.80000000000004</v>
      </c>
      <c r="GA105" s="17">
        <f>FZ105*VLOOKUP('Données projet'!$B$17,Paramètres!$A$1:$I$89,3,0)*VLOOKUP('Données projet'!$B$17,Paramètres!$A$1:$I$89,5,0)</f>
        <v>179.54352000000003</v>
      </c>
      <c r="GB105" s="13">
        <f t="shared" si="103"/>
        <v>45.22061277301308</v>
      </c>
      <c r="GC105" s="20">
        <f t="shared" si="79"/>
        <v>391.4641979129978</v>
      </c>
      <c r="GD105" s="59">
        <f t="shared" si="80"/>
        <v>669.41613398798074</v>
      </c>
      <c r="GE105" s="59">
        <f ca="1">AVERAGE(OFFSET($GD$3,0,0,'Données projet'!$E$17+1,1))-AVERAGE(OFFSET($H$3,0,0,'Données projet'!$E$17+1,1))</f>
        <v>313.51355235711543</v>
      </c>
      <c r="GF105" s="59">
        <f t="shared" si="104"/>
        <v>186.0840067781198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0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0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4.5999999999999996</v>
      </c>
      <c r="N106" s="13">
        <f>IF('Données projet'!$A$36&gt;35,N105+M106-V105,IF(A106&lt;'Données projet'!$A$36,$K$205^A106,IF(A106='Données projet'!$A$36,'Données projet'!$B$36,N105+M106-V105)))</f>
        <v>266.80000000000018</v>
      </c>
      <c r="O106" s="13">
        <f>N106*VLOOKUP('Données projet'!$B$9,Paramètres!$A$1:$I$89,3,0)*VLOOKUP('Données projet'!$B$9,Paramètres!$A$1:$I$89,5,0)</f>
        <v>270.5352000000002</v>
      </c>
      <c r="P106" s="13">
        <f t="shared" si="87"/>
        <v>64.962839141501462</v>
      </c>
      <c r="Q106" s="20">
        <f t="shared" si="107"/>
        <v>584.32575150478203</v>
      </c>
      <c r="R106" s="59">
        <f t="shared" si="55"/>
        <v>862.54452043454467</v>
      </c>
      <c r="S106" s="59">
        <f ca="1">AVERAGE(OFFSET($R$3,0,0,'Données projet'!$E$9+1,1))-AVERAGE(OFFSET($H$3,0,0,'Données projet'!$E$9+1,1))</f>
        <v>452.67426184967104</v>
      </c>
      <c r="T106" s="59">
        <f t="shared" si="88"/>
        <v>310.47823616327639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0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3.2051282051282044</v>
      </c>
      <c r="AI106" s="13">
        <f>IF('Données projet'!$A$62&gt;35,AI105+AH106-AQ105,IF(A106&lt;'Données projet'!$A$62,$AF$205^A106,IF(A106='Données projet'!$A$62,'Données projet'!$B$62,AI105+AH106-AQ105)))</f>
        <v>298.71794871794862</v>
      </c>
      <c r="AJ106" s="13">
        <f>AI106*VLOOKUP('Données projet'!$B$10,Paramètres!$A$1:$I$89,3,0)*VLOOKUP('Données projet'!$B$10,Paramètres!$A$1:$I$89,5,0)</f>
        <v>312.21999999999991</v>
      </c>
      <c r="AK106" s="13">
        <f t="shared" si="89"/>
        <v>73.732261810577455</v>
      </c>
      <c r="AL106" s="20">
        <f t="shared" si="58"/>
        <v>672.20018932008895</v>
      </c>
      <c r="AM106" s="59">
        <f t="shared" si="59"/>
        <v>950.41895824985158</v>
      </c>
      <c r="AN106" s="59">
        <f ca="1">AVERAGE(OFFSET($AM$3,0,0,'Données projet'!$E$10+1,1))-AVERAGE(OFFSET($H$3,0,0,'Données projet'!$E$10+1,1))</f>
        <v>528.45201982036087</v>
      </c>
      <c r="AO106" s="59">
        <f t="shared" si="90"/>
        <v>321.23004033257985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1.0163757162857992E-12</v>
      </c>
      <c r="AX106" s="21">
        <f t="shared" si="60"/>
        <v>1.0163757162857992E-12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2.9</v>
      </c>
      <c r="BD106" s="12">
        <f>IF('Données projet'!$A$88&gt;35,BD105+BC106-BL105,IF(A106&lt;'Données projet'!$A$88,$BA$205^A106,IF(A106='Données projet'!$A$88,'Données projet'!$B$88,BD105+BC106-BL105)))</f>
        <v>169.70000000000005</v>
      </c>
      <c r="BE106" s="13">
        <f>BD106*VLOOKUP('Données projet'!$B$11,Paramètres!$A$1:$I$89,3,0)*VLOOKUP('Données projet'!$B$11,Paramètres!$A$1:$I$89,5,0)</f>
        <v>164.13384000000005</v>
      </c>
      <c r="BF106" s="13">
        <f t="shared" si="91"/>
        <v>41.773525822327642</v>
      </c>
      <c r="BG106" s="20">
        <f t="shared" si="61"/>
        <v>358.62199547388735</v>
      </c>
      <c r="BH106" s="59">
        <f t="shared" si="62"/>
        <v>636.84076440365004</v>
      </c>
      <c r="BI106" s="59">
        <f ca="1">AVERAGE(OFFSET($BH$3,0,0,'Données projet'!$E$11+1,1))-AVERAGE(OFFSET($H$3,0,0,'Données projet'!$E$11+1,1))</f>
        <v>289.06522051625166</v>
      </c>
      <c r="BJ106" s="59">
        <f t="shared" si="92"/>
        <v>173.19148969173838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234.00000000000045</v>
      </c>
      <c r="BZ106" s="13">
        <f>BY106*VLOOKUP('Données projet'!$B$12,Paramètres!$A$1:$I$89,3,0)*VLOOKUP('Données projet'!$B$12,Paramètres!$A$1:$I$89,5,0)</f>
        <v>189.82080000000036</v>
      </c>
      <c r="CA106" s="13">
        <f t="shared" si="93"/>
        <v>47.500332100049881</v>
      </c>
      <c r="CB106" s="20">
        <f t="shared" si="64"/>
        <v>413.33430507425419</v>
      </c>
      <c r="CC106" s="59">
        <f t="shared" si="65"/>
        <v>691.55307400401693</v>
      </c>
      <c r="CD106" s="59">
        <f ca="1">AVERAGE(OFFSET($CC$3,0,0,'Données projet'!$E$12+1,1))-AVERAGE(OFFSET($H$3,0,0,'Données projet'!$E$12+1,1))</f>
        <v>306.06916761900357</v>
      </c>
      <c r="CE106" s="59">
        <f t="shared" si="94"/>
        <v>258.90832875500337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1.845859659069494E-12</v>
      </c>
      <c r="CN106" s="22">
        <f t="shared" si="66"/>
        <v>1.845859659069494E-12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4.5999999999999996</v>
      </c>
      <c r="CT106" s="12">
        <f>IF('Données projet'!$A$140&gt;35,CT105+CS106-DB105,IF(A106&lt;'Données projet'!$A$140,$CQ$205^A106,IF(A106='Données projet'!$A$140,'Données projet'!$B$140,CT105+CS106-DB105)))</f>
        <v>266.80000000000018</v>
      </c>
      <c r="CU106" s="17">
        <f>CT106*VLOOKUP('Données projet'!$B$13,Paramètres!$A$1:$I$89,3,0)*VLOOKUP('Données projet'!$B$13,Paramètres!$A$1:$I$89,5,0)</f>
        <v>178.96944000000013</v>
      </c>
      <c r="CV106" s="13">
        <f t="shared" si="95"/>
        <v>45.092828990632661</v>
      </c>
      <c r="CW106" s="20">
        <f t="shared" si="67"/>
        <v>390.24178515868539</v>
      </c>
      <c r="CX106" s="59">
        <f t="shared" si="68"/>
        <v>668.46055408844813</v>
      </c>
      <c r="CY106" s="59">
        <f ca="1">AVERAGE(OFFSET($CX$3,0,0,'Données projet'!$E$13+1,1))-AVERAGE(OFFSET($H$3,0,0,'Données projet'!$E$13+1,1))</f>
        <v>324.58754156328285</v>
      </c>
      <c r="CZ106" s="59">
        <f t="shared" si="96"/>
        <v>226.01037731977604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1.1193482291536798E-12</v>
      </c>
      <c r="DI106" s="22">
        <f t="shared" si="69"/>
        <v>1.1193482291536798E-12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7.5015384615384617</v>
      </c>
      <c r="DO106" s="12">
        <f>IF('Données projet'!$A$166&gt;35,DO105+DN106-DW105,IF(A106&lt;'Données projet'!$A$166,$DL$205^A106,IF(A106='Données projet'!$A$166,'Données projet'!$B$166,DO105+DN106-DW105)))</f>
        <v>294.712307692308</v>
      </c>
      <c r="DP106" s="17">
        <f>DO106*VLOOKUP('Données projet'!$B$14,Paramètres!$A$1:$I$89,3,0)*VLOOKUP('Données projet'!$B$14,Paramètres!$A$1:$I$89,5,0)</f>
        <v>137.92536000000015</v>
      </c>
      <c r="DQ106" s="13">
        <f t="shared" si="97"/>
        <v>35.82132242479814</v>
      </c>
      <c r="DR106" s="20">
        <f t="shared" si="70"/>
        <v>302.6088052231903</v>
      </c>
      <c r="DS106" s="59">
        <f t="shared" si="71"/>
        <v>580.82757415295305</v>
      </c>
      <c r="DT106" s="59">
        <f ca="1">AVERAGE(OFFSET($DS$3,0,0,'Données projet'!$E$14+1,1))-AVERAGE(OFFSET($H$3,0,0,'Données projet'!$E$14+1,1))</f>
        <v>325.93182817189722</v>
      </c>
      <c r="DU106" s="59">
        <f t="shared" si="98"/>
        <v>280.04509991782709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0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5.6843418860808015E-14</v>
      </c>
      <c r="EK106" s="17">
        <f>EJ106*VLOOKUP('Données projet'!$B$15,Paramètres!$A$1:$I$89,3,0)*VLOOKUP('Données projet'!$B$15,Paramètres!$A$1:$I$89,5,0)</f>
        <v>4.5224624045658861E-14</v>
      </c>
      <c r="EL106" s="13">
        <f t="shared" si="99"/>
        <v>7.4514601661523691E-13</v>
      </c>
      <c r="EM106" s="20">
        <f t="shared" si="73"/>
        <v>1.3765621991510601E-12</v>
      </c>
      <c r="EN106" s="59">
        <f t="shared" si="74"/>
        <v>278.21876892976405</v>
      </c>
      <c r="EO106" s="59">
        <f ca="1">AVERAGE(OFFSET($EN$3,0,0,'Données projet'!$E$15+1,1))-AVERAGE(OFFSET($H$3,0,0,'Données projet'!$E$15+1,1))</f>
        <v>333.52903437536651</v>
      </c>
      <c r="EP106" s="59">
        <f t="shared" si="100"/>
        <v>359.47288701414777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0.49979657416438539</v>
      </c>
      <c r="EX106" s="21">
        <f>EXP(-LN(2)/2)*EX105+(1-EXP(-LN(2)/2))/(LN(2)/2)*ER106*EU106*VLOOKUP('Données projet'!$B$15,Paramètres!$A$1:$I$89,3,0)*0.475*44/12</f>
        <v>2.5948527130380761E-12</v>
      </c>
      <c r="EY106" s="22">
        <f t="shared" si="75"/>
        <v>0.49979657416698026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-2.8421709430404007E-13</v>
      </c>
      <c r="FF106" s="17">
        <f>FE106*VLOOKUP('Données projet'!$B$16,Paramètres!$A$1:$I$89,3,0)*VLOOKUP('Données projet'!$B$16,Paramètres!$A$1:$I$89,5,0)</f>
        <v>-1.69961822393816E-13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313.26988717307376</v>
      </c>
      <c r="FK106" s="59">
        <f t="shared" si="102"/>
        <v>248.17359813993201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0.54911327867605453</v>
      </c>
      <c r="FR106" s="21">
        <f>EXP(-LN(2)/25)*FR105+(1-EXP(-LN(2)/25))/(LN(2)/25)*Calculateur!FM106*Calculateur!FO106*VLOOKUP('Données projet'!$B$16,Paramètres!$A$1:$I$89,3,0)*0.475*44/12</f>
        <v>0.99613814884667362</v>
      </c>
      <c r="FS106" s="21">
        <f>EXP(-LN(2)/2)*FS105+(1-EXP(-LN(2)/2))/(LN(2)/2)*FM106*FP106*VLOOKUP('Données projet'!$B$16,Paramètres!$A$1:$I$89,3,0)*0.475*44/12</f>
        <v>4.3322921557692625E-11</v>
      </c>
      <c r="FT106" s="22">
        <f t="shared" si="78"/>
        <v>1.5452514275660512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2.9</v>
      </c>
      <c r="FZ106" s="12">
        <f>IF('Données projet'!$A$244&gt;35,FZ105+FY106-GH105,IF(A106&lt;'Données projet'!$A$244,$FW$205^A106,IF(A106='Données projet'!$A$244,'Données projet'!$B$244,FZ105+FY106-GH105)))</f>
        <v>169.70000000000005</v>
      </c>
      <c r="GA106" s="17">
        <f>FZ106*VLOOKUP('Données projet'!$B$17,Paramètres!$A$1:$I$89,3,0)*VLOOKUP('Données projet'!$B$17,Paramètres!$A$1:$I$89,5,0)</f>
        <v>182.66508000000005</v>
      </c>
      <c r="GB106" s="13">
        <f t="shared" si="103"/>
        <v>45.914609224406277</v>
      </c>
      <c r="GC106" s="20">
        <f t="shared" si="79"/>
        <v>398.10962539917432</v>
      </c>
      <c r="GD106" s="59">
        <f t="shared" si="80"/>
        <v>676.32839432893707</v>
      </c>
      <c r="GE106" s="59">
        <f ca="1">AVERAGE(OFFSET($GD$3,0,0,'Données projet'!$E$17+1,1))-AVERAGE(OFFSET($H$3,0,0,'Données projet'!$E$17+1,1))</f>
        <v>313.51355235711543</v>
      </c>
      <c r="GF106" s="59">
        <f t="shared" si="104"/>
        <v>186.0840067781198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0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0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4.5999999999999996</v>
      </c>
      <c r="N107" s="13">
        <f>IF('Données projet'!$A$36&gt;35,N106+M107-V106,IF(A107&lt;'Données projet'!$A$36,$K$205^A107,IF(A107='Données projet'!$A$36,'Données projet'!$B$36,N106+M107-V106)))</f>
        <v>271.4000000000002</v>
      </c>
      <c r="O107" s="13">
        <f>N107*VLOOKUP('Données projet'!$B$9,Paramètres!$A$1:$I$89,3,0)*VLOOKUP('Données projet'!$B$9,Paramètres!$A$1:$I$89,5,0)</f>
        <v>275.1996000000002</v>
      </c>
      <c r="P107" s="13">
        <f t="shared" si="87"/>
        <v>65.951527620662674</v>
      </c>
      <c r="Q107" s="20">
        <f t="shared" si="107"/>
        <v>594.17154727265449</v>
      </c>
      <c r="R107" s="59">
        <f t="shared" si="55"/>
        <v>872.65252010371546</v>
      </c>
      <c r="S107" s="59">
        <f ca="1">AVERAGE(OFFSET($R$3,0,0,'Données projet'!$E$9+1,1))-AVERAGE(OFFSET($H$3,0,0,'Données projet'!$E$9+1,1))</f>
        <v>452.67426184967104</v>
      </c>
      <c r="T107" s="59">
        <f t="shared" si="88"/>
        <v>310.47823616327639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0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3.2051282051282044</v>
      </c>
      <c r="AI107" s="13">
        <f>IF('Données projet'!$A$62&gt;35,AI106+AH107-AQ106,IF(A107&lt;'Données projet'!$A$62,$AF$205^A107,IF(A107='Données projet'!$A$62,'Données projet'!$B$62,AI106+AH107-AQ106)))</f>
        <v>301.92307692307679</v>
      </c>
      <c r="AJ107" s="13">
        <f>AI107*VLOOKUP('Données projet'!$B$10,Paramètres!$A$1:$I$89,3,0)*VLOOKUP('Données projet'!$B$10,Paramètres!$A$1:$I$89,5,0)</f>
        <v>315.56999999999988</v>
      </c>
      <c r="AK107" s="13">
        <f t="shared" si="89"/>
        <v>74.430859496988774</v>
      </c>
      <c r="AL107" s="20">
        <f t="shared" si="58"/>
        <v>679.2514969572552</v>
      </c>
      <c r="AM107" s="59">
        <f t="shared" si="59"/>
        <v>957.73246978831617</v>
      </c>
      <c r="AN107" s="59">
        <f ca="1">AVERAGE(OFFSET($AM$3,0,0,'Données projet'!$E$10+1,1))-AVERAGE(OFFSET($H$3,0,0,'Données projet'!$E$10+1,1))</f>
        <v>528.45201982036087</v>
      </c>
      <c r="AO107" s="59">
        <f t="shared" si="90"/>
        <v>321.23004033257985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7.1868616121902312E-13</v>
      </c>
      <c r="AX107" s="21">
        <f t="shared" si="60"/>
        <v>7.1868616121902312E-13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2.9</v>
      </c>
      <c r="BD107" s="12">
        <f>IF('Données projet'!$A$88&gt;35,BD106+BC107-BL106,IF(A107&lt;'Données projet'!$A$88,$BA$205^A107,IF(A107='Données projet'!$A$88,'Données projet'!$B$88,BD106+BC107-BL106)))</f>
        <v>172.60000000000005</v>
      </c>
      <c r="BE107" s="13">
        <f>BD107*VLOOKUP('Données projet'!$B$11,Paramètres!$A$1:$I$89,3,0)*VLOOKUP('Données projet'!$B$11,Paramètres!$A$1:$I$89,5,0)</f>
        <v>166.93872000000005</v>
      </c>
      <c r="BF107" s="13">
        <f t="shared" si="91"/>
        <v>42.403675278071887</v>
      </c>
      <c r="BG107" s="20">
        <f t="shared" si="61"/>
        <v>364.60467177597525</v>
      </c>
      <c r="BH107" s="59">
        <f t="shared" si="62"/>
        <v>643.0856446070361</v>
      </c>
      <c r="BI107" s="59">
        <f ca="1">AVERAGE(OFFSET($BH$3,0,0,'Données projet'!$E$11+1,1))-AVERAGE(OFFSET($H$3,0,0,'Données projet'!$E$11+1,1))</f>
        <v>289.06522051625166</v>
      </c>
      <c r="BJ107" s="59">
        <f t="shared" si="92"/>
        <v>173.19148969173838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234.00000000000045</v>
      </c>
      <c r="BZ107" s="13">
        <f>BY107*VLOOKUP('Données projet'!$B$12,Paramètres!$A$1:$I$89,3,0)*VLOOKUP('Données projet'!$B$12,Paramètres!$A$1:$I$89,5,0)</f>
        <v>189.82080000000036</v>
      </c>
      <c r="CA107" s="13">
        <f t="shared" si="93"/>
        <v>47.500332100049881</v>
      </c>
      <c r="CB107" s="20">
        <f t="shared" si="64"/>
        <v>413.33430507425419</v>
      </c>
      <c r="CC107" s="59">
        <f t="shared" si="65"/>
        <v>691.81527790531504</v>
      </c>
      <c r="CD107" s="59">
        <f ca="1">AVERAGE(OFFSET($CC$3,0,0,'Données projet'!$E$12+1,1))-AVERAGE(OFFSET($H$3,0,0,'Données projet'!$E$12+1,1))</f>
        <v>306.06916761900357</v>
      </c>
      <c r="CE107" s="59">
        <f t="shared" si="94"/>
        <v>258.90832875500337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1.3052198820467279E-12</v>
      </c>
      <c r="CN107" s="22">
        <f t="shared" si="66"/>
        <v>1.3052198820467279E-12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4.5999999999999996</v>
      </c>
      <c r="CT107" s="12">
        <f>IF('Données projet'!$A$140&gt;35,CT106+CS107-DB106,IF(A107&lt;'Données projet'!$A$140,$CQ$205^A107,IF(A107='Données projet'!$A$140,'Données projet'!$B$140,CT106+CS107-DB106)))</f>
        <v>271.4000000000002</v>
      </c>
      <c r="CU107" s="17">
        <f>CT107*VLOOKUP('Données projet'!$B$13,Paramètres!$A$1:$I$89,3,0)*VLOOKUP('Données projet'!$B$13,Paramètres!$A$1:$I$89,5,0)</f>
        <v>182.05512000000013</v>
      </c>
      <c r="CV107" s="13">
        <f t="shared" si="95"/>
        <v>45.7791099645709</v>
      </c>
      <c r="CW107" s="20">
        <f t="shared" si="67"/>
        <v>396.81128385496118</v>
      </c>
      <c r="CX107" s="59">
        <f t="shared" si="68"/>
        <v>675.29225668602203</v>
      </c>
      <c r="CY107" s="59">
        <f ca="1">AVERAGE(OFFSET($CX$3,0,0,'Données projet'!$E$13+1,1))-AVERAGE(OFFSET($H$3,0,0,'Données projet'!$E$13+1,1))</f>
        <v>324.58754156328285</v>
      </c>
      <c r="CZ107" s="59">
        <f t="shared" si="96"/>
        <v>226.01037731977604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7.9149872334372055E-13</v>
      </c>
      <c r="DI107" s="22">
        <f t="shared" si="69"/>
        <v>7.9149872334372055E-13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7.5015384615384617</v>
      </c>
      <c r="DO107" s="12">
        <f>IF('Données projet'!$A$166&gt;35,DO106+DN107-DW106,IF(A107&lt;'Données projet'!$A$166,$DL$205^A107,IF(A107='Données projet'!$A$166,'Données projet'!$B$166,DO106+DN107-DW106)))</f>
        <v>302.21384615384648</v>
      </c>
      <c r="DP107" s="17">
        <f>DO107*VLOOKUP('Données projet'!$B$14,Paramètres!$A$1:$I$89,3,0)*VLOOKUP('Données projet'!$B$14,Paramètres!$A$1:$I$89,5,0)</f>
        <v>141.43608000000015</v>
      </c>
      <c r="DQ107" s="13">
        <f t="shared" si="97"/>
        <v>36.625795598426585</v>
      </c>
      <c r="DR107" s="20">
        <f t="shared" si="70"/>
        <v>310.12443333392656</v>
      </c>
      <c r="DS107" s="59">
        <f t="shared" si="71"/>
        <v>588.60540616498747</v>
      </c>
      <c r="DT107" s="59">
        <f ca="1">AVERAGE(OFFSET($DS$3,0,0,'Données projet'!$E$14+1,1))-AVERAGE(OFFSET($H$3,0,0,'Données projet'!$E$14+1,1))</f>
        <v>325.93182817189722</v>
      </c>
      <c r="DU107" s="59">
        <f t="shared" si="98"/>
        <v>280.04509991782709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0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5.6843418860808015E-14</v>
      </c>
      <c r="EK107" s="17">
        <f>EJ107*VLOOKUP('Données projet'!$B$15,Paramètres!$A$1:$I$89,3,0)*VLOOKUP('Données projet'!$B$15,Paramètres!$A$1:$I$89,5,0)</f>
        <v>4.5224624045658861E-14</v>
      </c>
      <c r="EL107" s="13">
        <f t="shared" si="99"/>
        <v>7.4514601661523691E-13</v>
      </c>
      <c r="EM107" s="20">
        <f t="shared" si="73"/>
        <v>1.3765621991510601E-12</v>
      </c>
      <c r="EN107" s="59">
        <f t="shared" si="74"/>
        <v>278.48097283106227</v>
      </c>
      <c r="EO107" s="59">
        <f ca="1">AVERAGE(OFFSET($EN$3,0,0,'Données projet'!$E$15+1,1))-AVERAGE(OFFSET($H$3,0,0,'Données projet'!$E$15+1,1))</f>
        <v>333.52903437536651</v>
      </c>
      <c r="EP107" s="59">
        <f t="shared" si="100"/>
        <v>359.47288701414777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0.48612961056070075</v>
      </c>
      <c r="EX107" s="21">
        <f>EXP(-LN(2)/2)*EX106+(1-EXP(-LN(2)/2))/(LN(2)/2)*ER107*EU107*VLOOKUP('Données projet'!$B$15,Paramètres!$A$1:$I$89,3,0)*0.475*44/12</f>
        <v>1.834837949569534E-12</v>
      </c>
      <c r="EY107" s="22">
        <f t="shared" si="75"/>
        <v>0.48612961056253562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-2.8421709430404007E-13</v>
      </c>
      <c r="FF107" s="17">
        <f>FE107*VLOOKUP('Données projet'!$B$16,Paramètres!$A$1:$I$89,3,0)*VLOOKUP('Données projet'!$B$16,Paramètres!$A$1:$I$89,5,0)</f>
        <v>-1.69961822393816E-13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313.26988717307376</v>
      </c>
      <c r="FK107" s="59">
        <f t="shared" si="102"/>
        <v>248.17359813993201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0.53834550220724586</v>
      </c>
      <c r="FR107" s="21">
        <f>EXP(-LN(2)/25)*FR106+(1-EXP(-LN(2)/25))/(LN(2)/25)*Calculateur!FM107*Calculateur!FO107*VLOOKUP('Données projet'!$B$16,Paramètres!$A$1:$I$89,3,0)*0.475*44/12</f>
        <v>0.96889869878183277</v>
      </c>
      <c r="FS107" s="21">
        <f>EXP(-LN(2)/2)*FS106+(1-EXP(-LN(2)/2))/(LN(2)/2)*FM107*FP107*VLOOKUP('Données projet'!$B$16,Paramètres!$A$1:$I$89,3,0)*0.475*44/12</f>
        <v>3.063393161425732E-11</v>
      </c>
      <c r="FT107" s="22">
        <f t="shared" si="78"/>
        <v>1.5072442010197127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2.9</v>
      </c>
      <c r="FZ107" s="12">
        <f>IF('Données projet'!$A$244&gt;35,FZ106+FY107-GH106,IF(A107&lt;'Données projet'!$A$244,$FW$205^A107,IF(A107='Données projet'!$A$244,'Données projet'!$B$244,FZ106+FY107-GH106)))</f>
        <v>172.60000000000005</v>
      </c>
      <c r="GA107" s="17">
        <f>FZ107*VLOOKUP('Données projet'!$B$17,Paramètres!$A$1:$I$89,3,0)*VLOOKUP('Données projet'!$B$17,Paramètres!$A$1:$I$89,5,0)</f>
        <v>185.78664000000003</v>
      </c>
      <c r="GB107" s="13">
        <f t="shared" si="103"/>
        <v>46.607226508772655</v>
      </c>
      <c r="GC107" s="20">
        <f t="shared" si="79"/>
        <v>404.75265083611242</v>
      </c>
      <c r="GD107" s="59">
        <f t="shared" si="80"/>
        <v>683.23362366717333</v>
      </c>
      <c r="GE107" s="59">
        <f ca="1">AVERAGE(OFFSET($GD$3,0,0,'Données projet'!$E$17+1,1))-AVERAGE(OFFSET($H$3,0,0,'Données projet'!$E$17+1,1))</f>
        <v>313.51355235711543</v>
      </c>
      <c r="GF107" s="59">
        <f t="shared" si="104"/>
        <v>186.0840067781198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0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0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4.5999999999999996</v>
      </c>
      <c r="N108" s="13">
        <f>IF('Données projet'!$A$36&gt;35,N107+M108-V107,IF(A108&lt;'Données projet'!$A$36,$K$205^A108,IF(A108='Données projet'!$A$36,'Données projet'!$B$36,N107+M108-V107)))</f>
        <v>276.00000000000023</v>
      </c>
      <c r="O108" s="13">
        <f>N108*VLOOKUP('Données projet'!$B$9,Paramètres!$A$1:$I$89,3,0)*VLOOKUP('Données projet'!$B$9,Paramètres!$A$1:$I$89,5,0)</f>
        <v>279.86400000000026</v>
      </c>
      <c r="P108" s="13">
        <f t="shared" si="87"/>
        <v>66.938267358965064</v>
      </c>
      <c r="Q108" s="20">
        <f t="shared" si="107"/>
        <v>604.01394898353124</v>
      </c>
      <c r="R108" s="59">
        <f t="shared" si="55"/>
        <v>882.752577064403</v>
      </c>
      <c r="S108" s="59">
        <f ca="1">AVERAGE(OFFSET($R$3,0,0,'Données projet'!$E$9+1,1))-AVERAGE(OFFSET($H$3,0,0,'Données projet'!$E$9+1,1))</f>
        <v>452.67426184967104</v>
      </c>
      <c r="T108" s="59">
        <f t="shared" si="88"/>
        <v>310.47823616327639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0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3.2051282051282044</v>
      </c>
      <c r="AI108" s="13">
        <f>IF('Données projet'!$A$62&gt;35,AI107+AH108-AQ107,IF(A108&lt;'Données projet'!$A$62,$AF$205^A108,IF(A108='Données projet'!$A$62,'Données projet'!$B$62,AI107+AH108-AQ107)))</f>
        <v>305.12820512820497</v>
      </c>
      <c r="AJ108" s="13">
        <f>AI108*VLOOKUP('Données projet'!$B$10,Paramètres!$A$1:$I$89,3,0)*VLOOKUP('Données projet'!$B$10,Paramètres!$A$1:$I$89,5,0)</f>
        <v>318.91999999999985</v>
      </c>
      <c r="AK108" s="13">
        <f t="shared" si="89"/>
        <v>75.128594464022527</v>
      </c>
      <c r="AL108" s="20">
        <f t="shared" si="58"/>
        <v>686.30130202483895</v>
      </c>
      <c r="AM108" s="59">
        <f t="shared" si="59"/>
        <v>965.03993010571071</v>
      </c>
      <c r="AN108" s="59">
        <f ca="1">AVERAGE(OFFSET($AM$3,0,0,'Données projet'!$E$10+1,1))-AVERAGE(OFFSET($H$3,0,0,'Données projet'!$E$10+1,1))</f>
        <v>528.45201982036087</v>
      </c>
      <c r="AO108" s="59">
        <f t="shared" si="90"/>
        <v>321.23004033257985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5.0818785814289959E-13</v>
      </c>
      <c r="AX108" s="21">
        <f t="shared" si="60"/>
        <v>5.0818785814289959E-13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2.9</v>
      </c>
      <c r="BD108" s="12">
        <f>IF('Données projet'!$A$88&gt;35,BD107+BC108-BL107,IF(A108&lt;'Données projet'!$A$88,$BA$205^A108,IF(A108='Données projet'!$A$88,'Données projet'!$B$88,BD107+BC108-BL107)))</f>
        <v>175.50000000000006</v>
      </c>
      <c r="BE108" s="13">
        <f>BD108*VLOOKUP('Données projet'!$B$11,Paramètres!$A$1:$I$89,3,0)*VLOOKUP('Données projet'!$B$11,Paramètres!$A$1:$I$89,5,0)</f>
        <v>169.74360000000004</v>
      </c>
      <c r="BF108" s="13">
        <f t="shared" si="91"/>
        <v>43.032593471060473</v>
      </c>
      <c r="BG108" s="20">
        <f t="shared" si="61"/>
        <v>370.58520362876374</v>
      </c>
      <c r="BH108" s="59">
        <f t="shared" si="62"/>
        <v>649.32383170963544</v>
      </c>
      <c r="BI108" s="59">
        <f ca="1">AVERAGE(OFFSET($BH$3,0,0,'Données projet'!$E$11+1,1))-AVERAGE(OFFSET($H$3,0,0,'Données projet'!$E$11+1,1))</f>
        <v>289.06522051625166</v>
      </c>
      <c r="BJ108" s="59">
        <f t="shared" si="92"/>
        <v>173.19148969173838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234.00000000000045</v>
      </c>
      <c r="BZ108" s="13">
        <f>BY108*VLOOKUP('Données projet'!$B$12,Paramètres!$A$1:$I$89,3,0)*VLOOKUP('Données projet'!$B$12,Paramètres!$A$1:$I$89,5,0)</f>
        <v>189.82080000000036</v>
      </c>
      <c r="CA108" s="13">
        <f t="shared" si="93"/>
        <v>47.500332100049881</v>
      </c>
      <c r="CB108" s="20">
        <f t="shared" si="64"/>
        <v>413.33430507425419</v>
      </c>
      <c r="CC108" s="59">
        <f t="shared" si="65"/>
        <v>692.07293315512595</v>
      </c>
      <c r="CD108" s="59">
        <f ca="1">AVERAGE(OFFSET($CC$3,0,0,'Données projet'!$E$12+1,1))-AVERAGE(OFFSET($H$3,0,0,'Données projet'!$E$12+1,1))</f>
        <v>306.06916761900357</v>
      </c>
      <c r="CE108" s="59">
        <f t="shared" si="94"/>
        <v>258.90832875500337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9.2292982953474698E-13</v>
      </c>
      <c r="CN108" s="22">
        <f t="shared" si="66"/>
        <v>9.2292982953474698E-13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4.5999999999999996</v>
      </c>
      <c r="CT108" s="12">
        <f>IF('Données projet'!$A$140&gt;35,CT107+CS108-DB107,IF(A108&lt;'Données projet'!$A$140,$CQ$205^A108,IF(A108='Données projet'!$A$140,'Données projet'!$B$140,CT107+CS108-DB107)))</f>
        <v>276.00000000000023</v>
      </c>
      <c r="CU108" s="17">
        <f>CT108*VLOOKUP('Données projet'!$B$13,Paramètres!$A$1:$I$89,3,0)*VLOOKUP('Données projet'!$B$13,Paramètres!$A$1:$I$89,5,0)</f>
        <v>185.14080000000016</v>
      </c>
      <c r="CV108" s="13">
        <f t="shared" si="95"/>
        <v>46.464038253813548</v>
      </c>
      <c r="CW108" s="20">
        <f t="shared" si="67"/>
        <v>403.37842662539219</v>
      </c>
      <c r="CX108" s="59">
        <f t="shared" si="68"/>
        <v>682.11705470626396</v>
      </c>
      <c r="CY108" s="59">
        <f ca="1">AVERAGE(OFFSET($CX$3,0,0,'Données projet'!$E$13+1,1))-AVERAGE(OFFSET($H$3,0,0,'Données projet'!$E$13+1,1))</f>
        <v>324.58754156328285</v>
      </c>
      <c r="CZ108" s="59">
        <f t="shared" si="96"/>
        <v>226.01037731977604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5.5967411457683991E-13</v>
      </c>
      <c r="DI108" s="22">
        <f t="shared" si="69"/>
        <v>5.5967411457683991E-13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>
        <f>VLOOKUP(A108,'Données projet'!$A$165:$I$185,2,0)</f>
        <v>309.71538461538461</v>
      </c>
      <c r="DM108" s="12">
        <f>VLOOKUP(A108,'Données projet'!$A$165:$I$185,9,0)</f>
        <v>7.5015384615384617</v>
      </c>
      <c r="DN108" s="12">
        <f t="array" ref="DN108">INDEX(DM:DM,MIN(IF(ISNUMBER(DM108:DM304),ROW(DM108:DM304),"")))</f>
        <v>7.5015384615384617</v>
      </c>
      <c r="DO108" s="12">
        <f>IF('Données projet'!$A$166&gt;35,DO107+DN108-DW107,IF(A108&lt;'Données projet'!$A$166,$DL$205^A108,IF(A108='Données projet'!$A$166,'Données projet'!$B$166,DO107+DN108-DW107)))</f>
        <v>309.71538461538495</v>
      </c>
      <c r="DP108" s="17">
        <f>DO108*VLOOKUP('Données projet'!$B$14,Paramètres!$A$1:$I$89,3,0)*VLOOKUP('Données projet'!$B$14,Paramètres!$A$1:$I$89,5,0)</f>
        <v>144.94680000000017</v>
      </c>
      <c r="DQ108" s="13">
        <f t="shared" si="97"/>
        <v>37.427947530076956</v>
      </c>
      <c r="DR108" s="20">
        <f t="shared" si="70"/>
        <v>317.63601861488428</v>
      </c>
      <c r="DS108" s="59">
        <f t="shared" si="71"/>
        <v>596.37464669575604</v>
      </c>
      <c r="DT108" s="59">
        <f ca="1">AVERAGE(OFFSET($DS$3,0,0,'Données projet'!$E$14+1,1))-AVERAGE(OFFSET($H$3,0,0,'Données projet'!$E$14+1,1))</f>
        <v>325.93182817189722</v>
      </c>
      <c r="DU108" s="59">
        <f t="shared" si="98"/>
        <v>280.04509991782709</v>
      </c>
      <c r="DV108" s="15">
        <f>IF(ISNA(VLOOKUP(A108,'Données projet'!$A$165:$I$185,3,0)),0,VLOOKUP(A108,'Données projet'!$A$165:$I$185,3,0))</f>
        <v>9</v>
      </c>
      <c r="DW108" s="15">
        <f>IF(ISNA(VLOOKUP(A108,'Données projet'!$A$165:$I$185,4,0)),0,VLOOKUP(A108,'Données projet'!$A$165:$I$185,4,0))</f>
        <v>309.71538461538461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0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5.6843418860808015E-14</v>
      </c>
      <c r="EK108" s="17">
        <f>EJ108*VLOOKUP('Données projet'!$B$15,Paramètres!$A$1:$I$89,3,0)*VLOOKUP('Données projet'!$B$15,Paramètres!$A$1:$I$89,5,0)</f>
        <v>4.5224624045658861E-14</v>
      </c>
      <c r="EL108" s="13">
        <f t="shared" si="99"/>
        <v>7.4514601661523691E-13</v>
      </c>
      <c r="EM108" s="20">
        <f t="shared" si="73"/>
        <v>1.3765621991510601E-12</v>
      </c>
      <c r="EN108" s="59">
        <f t="shared" si="74"/>
        <v>278.73862808087313</v>
      </c>
      <c r="EO108" s="59">
        <f ca="1">AVERAGE(OFFSET($EN$3,0,0,'Données projet'!$E$15+1,1))-AVERAGE(OFFSET($H$3,0,0,'Données projet'!$E$15+1,1))</f>
        <v>333.52903437536651</v>
      </c>
      <c r="EP108" s="59">
        <f t="shared" si="100"/>
        <v>359.47288701414777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0.47283637079547325</v>
      </c>
      <c r="EX108" s="21">
        <f>EXP(-LN(2)/2)*EX107+(1-EXP(-LN(2)/2))/(LN(2)/2)*ER108*EU108*VLOOKUP('Données projet'!$B$15,Paramètres!$A$1:$I$89,3,0)*0.475*44/12</f>
        <v>1.297426356519038E-12</v>
      </c>
      <c r="EY108" s="22">
        <f t="shared" si="75"/>
        <v>0.47283637079677066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-2.8421709430404007E-13</v>
      </c>
      <c r="FF108" s="17">
        <f>FE108*VLOOKUP('Données projet'!$B$16,Paramètres!$A$1:$I$89,3,0)*VLOOKUP('Données projet'!$B$16,Paramètres!$A$1:$I$89,5,0)</f>
        <v>-1.69961822393816E-13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313.26988717307376</v>
      </c>
      <c r="FK108" s="59">
        <f t="shared" si="102"/>
        <v>248.17359813993201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0.52778887526729545</v>
      </c>
      <c r="FR108" s="21">
        <f>EXP(-LN(2)/25)*FR107+(1-EXP(-LN(2)/25))/(LN(2)/25)*Calculateur!FM108*Calculateur!FO108*VLOOKUP('Données projet'!$B$16,Paramètres!$A$1:$I$89,3,0)*0.475*44/12</f>
        <v>0.94240411291147541</v>
      </c>
      <c r="FS108" s="21">
        <f>EXP(-LN(2)/2)*FS107+(1-EXP(-LN(2)/2))/(LN(2)/2)*FM108*FP108*VLOOKUP('Données projet'!$B$16,Paramètres!$A$1:$I$89,3,0)*0.475*44/12</f>
        <v>2.1661460778846312E-11</v>
      </c>
      <c r="FT108" s="22">
        <f t="shared" si="78"/>
        <v>1.4701929882004323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2.9</v>
      </c>
      <c r="FZ108" s="12">
        <f>IF('Données projet'!$A$244&gt;35,FZ107+FY108-GH107,IF(A108&lt;'Données projet'!$A$244,$FW$205^A108,IF(A108='Données projet'!$A$244,'Données projet'!$B$244,FZ107+FY108-GH107)))</f>
        <v>175.50000000000006</v>
      </c>
      <c r="GA108" s="17">
        <f>FZ108*VLOOKUP('Données projet'!$B$17,Paramètres!$A$1:$I$89,3,0)*VLOOKUP('Données projet'!$B$17,Paramètres!$A$1:$I$89,5,0)</f>
        <v>188.90820000000005</v>
      </c>
      <c r="GB108" s="13">
        <f t="shared" si="103"/>
        <v>47.298490473131508</v>
      </c>
      <c r="GC108" s="20">
        <f t="shared" si="79"/>
        <v>411.39331924070416</v>
      </c>
      <c r="GD108" s="59">
        <f t="shared" si="80"/>
        <v>690.13194732157592</v>
      </c>
      <c r="GE108" s="59">
        <f ca="1">AVERAGE(OFFSET($GD$3,0,0,'Données projet'!$E$17+1,1))-AVERAGE(OFFSET($H$3,0,0,'Données projet'!$E$17+1,1))</f>
        <v>313.51355235711543</v>
      </c>
      <c r="GF108" s="59">
        <f t="shared" si="104"/>
        <v>186.0840067781198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0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0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4.5999999999999996</v>
      </c>
      <c r="N109" s="13">
        <f>IF('Données projet'!$A$36&gt;35,N108+M109-V108,IF(A109&lt;'Données projet'!$A$36,$K$205^A109,IF(A109='Données projet'!$A$36,'Données projet'!$B$36,N108+M109-V108)))</f>
        <v>280.60000000000025</v>
      </c>
      <c r="O109" s="13">
        <f>N109*VLOOKUP('Données projet'!$B$9,Paramètres!$A$1:$I$89,3,0)*VLOOKUP('Données projet'!$B$9,Paramètres!$A$1:$I$89,5,0)</f>
        <v>284.52840000000026</v>
      </c>
      <c r="P109" s="13">
        <f t="shared" si="87"/>
        <v>67.923094584210929</v>
      </c>
      <c r="Q109" s="20">
        <f t="shared" si="107"/>
        <v>613.8530197341679</v>
      </c>
      <c r="R109" s="59">
        <f t="shared" si="55"/>
        <v>892.84483332229706</v>
      </c>
      <c r="S109" s="59">
        <f ca="1">AVERAGE(OFFSET($R$3,0,0,'Données projet'!$E$9+1,1))-AVERAGE(OFFSET($H$3,0,0,'Données projet'!$E$9+1,1))</f>
        <v>452.67426184967104</v>
      </c>
      <c r="T109" s="59">
        <f t="shared" si="88"/>
        <v>310.47823616327639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0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3.2051282051282044</v>
      </c>
      <c r="AI109" s="13">
        <f>IF('Données projet'!$A$62&gt;35,AI108+AH109-AQ108,IF(A109&lt;'Données projet'!$A$62,$AF$205^A109,IF(A109='Données projet'!$A$62,'Données projet'!$B$62,AI108+AH109-AQ108)))</f>
        <v>308.33333333333314</v>
      </c>
      <c r="AJ109" s="13">
        <f>AI109*VLOOKUP('Données projet'!$B$10,Paramètres!$A$1:$I$89,3,0)*VLOOKUP('Données projet'!$B$10,Paramètres!$A$1:$I$89,5,0)</f>
        <v>322.26999999999987</v>
      </c>
      <c r="AK109" s="13">
        <f t="shared" si="89"/>
        <v>75.825476822885776</v>
      </c>
      <c r="AL109" s="20">
        <f t="shared" si="58"/>
        <v>693.3496221331925</v>
      </c>
      <c r="AM109" s="59">
        <f t="shared" si="59"/>
        <v>972.34143572132166</v>
      </c>
      <c r="AN109" s="59">
        <f ca="1">AVERAGE(OFFSET($AM$3,0,0,'Données projet'!$E$10+1,1))-AVERAGE(OFFSET($H$3,0,0,'Données projet'!$E$10+1,1))</f>
        <v>528.45201982036087</v>
      </c>
      <c r="AO109" s="59">
        <f t="shared" si="90"/>
        <v>321.23004033257985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3.5934308060951156E-13</v>
      </c>
      <c r="AX109" s="21">
        <f t="shared" si="60"/>
        <v>3.5934308060951156E-13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2.9</v>
      </c>
      <c r="BD109" s="12">
        <f>IF('Données projet'!$A$88&gt;35,BD108+BC109-BL108,IF(A109&lt;'Données projet'!$A$88,$BA$205^A109,IF(A109='Données projet'!$A$88,'Données projet'!$B$88,BD108+BC109-BL108)))</f>
        <v>178.40000000000006</v>
      </c>
      <c r="BE109" s="13">
        <f>BD109*VLOOKUP('Données projet'!$B$11,Paramètres!$A$1:$I$89,3,0)*VLOOKUP('Données projet'!$B$11,Paramètres!$A$1:$I$89,5,0)</f>
        <v>172.54848000000007</v>
      </c>
      <c r="BF109" s="13">
        <f t="shared" si="91"/>
        <v>43.6603030954305</v>
      </c>
      <c r="BG109" s="20">
        <f t="shared" si="61"/>
        <v>376.56363055787489</v>
      </c>
      <c r="BH109" s="59">
        <f t="shared" si="62"/>
        <v>655.55544414600399</v>
      </c>
      <c r="BI109" s="59">
        <f ca="1">AVERAGE(OFFSET($BH$3,0,0,'Données projet'!$E$11+1,1))-AVERAGE(OFFSET($H$3,0,0,'Données projet'!$E$11+1,1))</f>
        <v>289.06522051625166</v>
      </c>
      <c r="BJ109" s="59">
        <f t="shared" si="92"/>
        <v>173.19148969173838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234.00000000000045</v>
      </c>
      <c r="BZ109" s="13">
        <f>BY109*VLOOKUP('Données projet'!$B$12,Paramètres!$A$1:$I$89,3,0)*VLOOKUP('Données projet'!$B$12,Paramètres!$A$1:$I$89,5,0)</f>
        <v>189.82080000000036</v>
      </c>
      <c r="CA109" s="13">
        <f t="shared" si="93"/>
        <v>47.500332100049881</v>
      </c>
      <c r="CB109" s="20">
        <f t="shared" si="64"/>
        <v>413.33430507425419</v>
      </c>
      <c r="CC109" s="59">
        <f t="shared" si="65"/>
        <v>692.32611866238335</v>
      </c>
      <c r="CD109" s="59">
        <f ca="1">AVERAGE(OFFSET($CC$3,0,0,'Données projet'!$E$12+1,1))-AVERAGE(OFFSET($H$3,0,0,'Données projet'!$E$12+1,1))</f>
        <v>306.06916761900357</v>
      </c>
      <c r="CE109" s="59">
        <f t="shared" si="94"/>
        <v>258.90832875500337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6.5260994102336395E-13</v>
      </c>
      <c r="CN109" s="22">
        <f t="shared" si="66"/>
        <v>6.5260994102336395E-13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4.5999999999999996</v>
      </c>
      <c r="CT109" s="12">
        <f>IF('Données projet'!$A$140&gt;35,CT108+CS109-DB108,IF(A109&lt;'Données projet'!$A$140,$CQ$205^A109,IF(A109='Données projet'!$A$140,'Données projet'!$B$140,CT108+CS109-DB108)))</f>
        <v>280.60000000000025</v>
      </c>
      <c r="CU109" s="17">
        <f>CT109*VLOOKUP('Données projet'!$B$13,Paramètres!$A$1:$I$89,3,0)*VLOOKUP('Données projet'!$B$13,Paramètres!$A$1:$I$89,5,0)</f>
        <v>188.22648000000015</v>
      </c>
      <c r="CV109" s="13">
        <f t="shared" si="95"/>
        <v>47.147639005261588</v>
      </c>
      <c r="CW109" s="20">
        <f t="shared" si="67"/>
        <v>409.94325726749753</v>
      </c>
      <c r="CX109" s="59">
        <f t="shared" si="68"/>
        <v>688.93507085562669</v>
      </c>
      <c r="CY109" s="59">
        <f ca="1">AVERAGE(OFFSET($CX$3,0,0,'Données projet'!$E$13+1,1))-AVERAGE(OFFSET($H$3,0,0,'Données projet'!$E$13+1,1))</f>
        <v>324.58754156328285</v>
      </c>
      <c r="CZ109" s="59">
        <f t="shared" si="96"/>
        <v>226.01037731977604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3.9574936167186027E-13</v>
      </c>
      <c r="DI109" s="22">
        <f t="shared" si="69"/>
        <v>3.9574936167186027E-13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3.4106051316484809E-13</v>
      </c>
      <c r="DP109" s="17">
        <f>DO109*VLOOKUP('Données projet'!$B$14,Paramètres!$A$1:$I$89,3,0)*VLOOKUP('Données projet'!$B$14,Paramètres!$A$1:$I$89,5,0)</f>
        <v>1.5961632016114892E-13</v>
      </c>
      <c r="DQ109" s="13">
        <f t="shared" si="97"/>
        <v>2.2708641912150958E-12</v>
      </c>
      <c r="DR109" s="20">
        <f t="shared" si="70"/>
        <v>4.2330868906469593E-12</v>
      </c>
      <c r="DS109" s="59">
        <f t="shared" si="71"/>
        <v>278.99181358813331</v>
      </c>
      <c r="DT109" s="59">
        <f ca="1">AVERAGE(OFFSET($DS$3,0,0,'Données projet'!$E$14+1,1))-AVERAGE(OFFSET($H$3,0,0,'Données projet'!$E$14+1,1))</f>
        <v>325.93182817189722</v>
      </c>
      <c r="DU109" s="59">
        <f t="shared" si="98"/>
        <v>280.04509991782709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0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5.6843418860808015E-14</v>
      </c>
      <c r="EK109" s="17">
        <f>EJ109*VLOOKUP('Données projet'!$B$15,Paramètres!$A$1:$I$89,3,0)*VLOOKUP('Données projet'!$B$15,Paramètres!$A$1:$I$89,5,0)</f>
        <v>4.5224624045658861E-14</v>
      </c>
      <c r="EL109" s="13">
        <f t="shared" si="99"/>
        <v>7.4514601661523691E-13</v>
      </c>
      <c r="EM109" s="20">
        <f t="shared" si="73"/>
        <v>1.3765621991510601E-12</v>
      </c>
      <c r="EN109" s="59">
        <f t="shared" si="74"/>
        <v>278.99181358813047</v>
      </c>
      <c r="EO109" s="59">
        <f ca="1">AVERAGE(OFFSET($EN$3,0,0,'Données projet'!$E$15+1,1))-AVERAGE(OFFSET($H$3,0,0,'Données projet'!$E$15+1,1))</f>
        <v>333.52903437536651</v>
      </c>
      <c r="EP109" s="59">
        <f t="shared" si="100"/>
        <v>359.47288701414777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0.45990663537068699</v>
      </c>
      <c r="EX109" s="21">
        <f>EXP(-LN(2)/2)*EX108+(1-EXP(-LN(2)/2))/(LN(2)/2)*ER109*EU109*VLOOKUP('Données projet'!$B$15,Paramètres!$A$1:$I$89,3,0)*0.475*44/12</f>
        <v>9.17418974784767E-13</v>
      </c>
      <c r="EY109" s="22">
        <f t="shared" si="75"/>
        <v>0.45990663537160442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-2.8421709430404007E-13</v>
      </c>
      <c r="FF109" s="17">
        <f>FE109*VLOOKUP('Données projet'!$B$16,Paramètres!$A$1:$I$89,3,0)*VLOOKUP('Données projet'!$B$16,Paramètres!$A$1:$I$89,5,0)</f>
        <v>-1.69961822393816E-13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313.26988717307376</v>
      </c>
      <c r="FK109" s="59">
        <f t="shared" si="102"/>
        <v>248.17359813993201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0.51743925734273077</v>
      </c>
      <c r="FR109" s="21">
        <f>EXP(-LN(2)/25)*FR108+(1-EXP(-LN(2)/25))/(LN(2)/25)*Calculateur!FM109*Calculateur!FO109*VLOOKUP('Données projet'!$B$16,Paramètres!$A$1:$I$89,3,0)*0.475*44/12</f>
        <v>0.91663402288503271</v>
      </c>
      <c r="FS109" s="21">
        <f>EXP(-LN(2)/2)*FS108+(1-EXP(-LN(2)/2))/(LN(2)/2)*FM109*FP109*VLOOKUP('Données projet'!$B$16,Paramètres!$A$1:$I$89,3,0)*0.475*44/12</f>
        <v>1.531696580712866E-11</v>
      </c>
      <c r="FT109" s="22">
        <f t="shared" si="78"/>
        <v>1.4340732802430802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2.9</v>
      </c>
      <c r="FZ109" s="12">
        <f>IF('Données projet'!$A$244&gt;35,FZ108+FY109-GH108,IF(A109&lt;'Données projet'!$A$244,$FW$205^A109,IF(A109='Données projet'!$A$244,'Données projet'!$B$244,FZ108+FY109-GH108)))</f>
        <v>178.40000000000006</v>
      </c>
      <c r="GA109" s="17">
        <f>FZ109*VLOOKUP('Données projet'!$B$17,Paramètres!$A$1:$I$89,3,0)*VLOOKUP('Données projet'!$B$17,Paramètres!$A$1:$I$89,5,0)</f>
        <v>192.02976000000007</v>
      </c>
      <c r="GB109" s="13">
        <f t="shared" si="103"/>
        <v>47.988426061329989</v>
      </c>
      <c r="GC109" s="20">
        <f t="shared" si="79"/>
        <v>418.03167405681648</v>
      </c>
      <c r="GD109" s="59">
        <f t="shared" si="80"/>
        <v>697.02348764494559</v>
      </c>
      <c r="GE109" s="59">
        <f ca="1">AVERAGE(OFFSET($GD$3,0,0,'Données projet'!$E$17+1,1))-AVERAGE(OFFSET($H$3,0,0,'Données projet'!$E$17+1,1))</f>
        <v>313.51355235711543</v>
      </c>
      <c r="GF109" s="59">
        <f t="shared" si="104"/>
        <v>186.0840067781198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0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0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4.5999999999999996</v>
      </c>
      <c r="N110" s="13">
        <f>IF('Données projet'!$A$36&gt;35,N109+M110-V109,IF(A110&lt;'Données projet'!$A$36,$K$205^A110,IF(A110='Données projet'!$A$36,'Données projet'!$B$36,N109+M110-V109)))</f>
        <v>285.20000000000027</v>
      </c>
      <c r="O110" s="13">
        <f>N110*VLOOKUP('Données projet'!$B$9,Paramètres!$A$1:$I$89,3,0)*VLOOKUP('Données projet'!$B$9,Paramètres!$A$1:$I$89,5,0)</f>
        <v>289.19280000000032</v>
      </c>
      <c r="P110" s="13">
        <f t="shared" si="87"/>
        <v>68.906044268306403</v>
      </c>
      <c r="Q110" s="20">
        <f t="shared" si="107"/>
        <v>623.68882043396752</v>
      </c>
      <c r="R110" s="59">
        <f t="shared" si="55"/>
        <v>902.92942732684116</v>
      </c>
      <c r="S110" s="59">
        <f ca="1">AVERAGE(OFFSET($R$3,0,0,'Données projet'!$E$9+1,1))-AVERAGE(OFFSET($H$3,0,0,'Données projet'!$E$9+1,1))</f>
        <v>452.67426184967104</v>
      </c>
      <c r="T110" s="59">
        <f t="shared" si="88"/>
        <v>310.47823616327639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0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3.2051282051282044</v>
      </c>
      <c r="AI110" s="13">
        <f>IF('Données projet'!$A$62&gt;35,AI109+AH110-AQ109,IF(A110&lt;'Données projet'!$A$62,$AF$205^A110,IF(A110='Données projet'!$A$62,'Données projet'!$B$62,AI109+AH110-AQ109)))</f>
        <v>311.53846153846132</v>
      </c>
      <c r="AJ110" s="13">
        <f>AI110*VLOOKUP('Données projet'!$B$10,Paramètres!$A$1:$I$89,3,0)*VLOOKUP('Données projet'!$B$10,Paramètres!$A$1:$I$89,5,0)</f>
        <v>325.61999999999978</v>
      </c>
      <c r="AK110" s="13">
        <f t="shared" si="89"/>
        <v>76.521516462461591</v>
      </c>
      <c r="AL110" s="20">
        <f t="shared" si="58"/>
        <v>700.39647450545363</v>
      </c>
      <c r="AM110" s="59">
        <f t="shared" si="59"/>
        <v>979.63708139832727</v>
      </c>
      <c r="AN110" s="59">
        <f ca="1">AVERAGE(OFFSET($AM$3,0,0,'Données projet'!$E$10+1,1))-AVERAGE(OFFSET($H$3,0,0,'Données projet'!$E$10+1,1))</f>
        <v>528.45201982036087</v>
      </c>
      <c r="AO110" s="59">
        <f t="shared" si="90"/>
        <v>321.23004033257985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2.5409392907144979E-13</v>
      </c>
      <c r="AX110" s="21">
        <f t="shared" si="60"/>
        <v>2.5409392907144979E-13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2.9</v>
      </c>
      <c r="BD110" s="12">
        <f>IF('Données projet'!$A$88&gt;35,BD109+BC110-BL109,IF(A110&lt;'Données projet'!$A$88,$BA$205^A110,IF(A110='Données projet'!$A$88,'Données projet'!$B$88,BD109+BC110-BL109)))</f>
        <v>181.30000000000007</v>
      </c>
      <c r="BE110" s="13">
        <f>BD110*VLOOKUP('Données projet'!$B$11,Paramètres!$A$1:$I$89,3,0)*VLOOKUP('Données projet'!$B$11,Paramètres!$A$1:$I$89,5,0)</f>
        <v>175.35336000000009</v>
      </c>
      <c r="BF110" s="13">
        <f t="shared" si="91"/>
        <v>44.286826065200074</v>
      </c>
      <c r="BG110" s="20">
        <f t="shared" si="61"/>
        <v>382.53999073022356</v>
      </c>
      <c r="BH110" s="59">
        <f t="shared" si="62"/>
        <v>661.78059762309726</v>
      </c>
      <c r="BI110" s="59">
        <f ca="1">AVERAGE(OFFSET($BH$3,0,0,'Données projet'!$E$11+1,1))-AVERAGE(OFFSET($H$3,0,0,'Données projet'!$E$11+1,1))</f>
        <v>289.06522051625166</v>
      </c>
      <c r="BJ110" s="59">
        <f t="shared" si="92"/>
        <v>173.19148969173838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234.00000000000045</v>
      </c>
      <c r="BZ110" s="13">
        <f>BY110*VLOOKUP('Données projet'!$B$12,Paramètres!$A$1:$I$89,3,0)*VLOOKUP('Données projet'!$B$12,Paramètres!$A$1:$I$89,5,0)</f>
        <v>189.82080000000036</v>
      </c>
      <c r="CA110" s="13">
        <f t="shared" si="93"/>
        <v>47.500332100049881</v>
      </c>
      <c r="CB110" s="20">
        <f t="shared" si="64"/>
        <v>413.33430507425419</v>
      </c>
      <c r="CC110" s="59">
        <f t="shared" si="65"/>
        <v>692.57491196712783</v>
      </c>
      <c r="CD110" s="59">
        <f ca="1">AVERAGE(OFFSET($CC$3,0,0,'Données projet'!$E$12+1,1))-AVERAGE(OFFSET($H$3,0,0,'Données projet'!$E$12+1,1))</f>
        <v>306.06916761900357</v>
      </c>
      <c r="CE110" s="59">
        <f t="shared" si="94"/>
        <v>258.90832875500337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4.6146491476737349E-13</v>
      </c>
      <c r="CN110" s="22">
        <f t="shared" si="66"/>
        <v>4.6146491476737349E-13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4.5999999999999996</v>
      </c>
      <c r="CT110" s="12">
        <f>IF('Données projet'!$A$140&gt;35,CT109+CS110-DB109,IF(A110&lt;'Données projet'!$A$140,$CQ$205^A110,IF(A110='Données projet'!$A$140,'Données projet'!$B$140,CT109+CS110-DB109)))</f>
        <v>285.20000000000027</v>
      </c>
      <c r="CU110" s="17">
        <f>CT110*VLOOKUP('Données projet'!$B$13,Paramètres!$A$1:$I$89,3,0)*VLOOKUP('Données projet'!$B$13,Paramètres!$A$1:$I$89,5,0)</f>
        <v>191.31216000000018</v>
      </c>
      <c r="CV110" s="13">
        <f t="shared" si="95"/>
        <v>47.829936494057719</v>
      </c>
      <c r="CW110" s="20">
        <f t="shared" si="67"/>
        <v>416.50581806048422</v>
      </c>
      <c r="CX110" s="59">
        <f t="shared" si="68"/>
        <v>695.74642495335786</v>
      </c>
      <c r="CY110" s="59">
        <f ca="1">AVERAGE(OFFSET($CX$3,0,0,'Données projet'!$E$13+1,1))-AVERAGE(OFFSET($H$3,0,0,'Données projet'!$E$13+1,1))</f>
        <v>324.58754156328285</v>
      </c>
      <c r="CZ110" s="59">
        <f t="shared" si="96"/>
        <v>226.01037731977604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2.7983705728841996E-13</v>
      </c>
      <c r="DI110" s="22">
        <f t="shared" si="69"/>
        <v>2.7983705728841996E-13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3.4106051316484809E-13</v>
      </c>
      <c r="DP110" s="17">
        <f>DO110*VLOOKUP('Données projet'!$B$14,Paramètres!$A$1:$I$89,3,0)*VLOOKUP('Données projet'!$B$14,Paramètres!$A$1:$I$89,5,0)</f>
        <v>1.5961632016114892E-13</v>
      </c>
      <c r="DQ110" s="13">
        <f t="shared" si="97"/>
        <v>2.2708641912150958E-12</v>
      </c>
      <c r="DR110" s="20">
        <f t="shared" si="70"/>
        <v>4.2330868906469593E-12</v>
      </c>
      <c r="DS110" s="59">
        <f t="shared" si="71"/>
        <v>279.24060689287785</v>
      </c>
      <c r="DT110" s="59">
        <f ca="1">AVERAGE(OFFSET($DS$3,0,0,'Données projet'!$E$14+1,1))-AVERAGE(OFFSET($H$3,0,0,'Données projet'!$E$14+1,1))</f>
        <v>325.93182817189722</v>
      </c>
      <c r="DU110" s="59">
        <f t="shared" si="98"/>
        <v>280.04509991782709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0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5.6843418860808015E-14</v>
      </c>
      <c r="EK110" s="17">
        <f>EJ110*VLOOKUP('Données projet'!$B$15,Paramètres!$A$1:$I$89,3,0)*VLOOKUP('Données projet'!$B$15,Paramètres!$A$1:$I$89,5,0)</f>
        <v>4.5224624045658861E-14</v>
      </c>
      <c r="EL110" s="13">
        <f t="shared" si="99"/>
        <v>7.4514601661523691E-13</v>
      </c>
      <c r="EM110" s="20">
        <f t="shared" si="73"/>
        <v>1.3765621991510601E-12</v>
      </c>
      <c r="EN110" s="59">
        <f t="shared" si="74"/>
        <v>279.24060689287501</v>
      </c>
      <c r="EO110" s="59">
        <f ca="1">AVERAGE(OFFSET($EN$3,0,0,'Données projet'!$E$15+1,1))-AVERAGE(OFFSET($H$3,0,0,'Données projet'!$E$15+1,1))</f>
        <v>333.52903437536651</v>
      </c>
      <c r="EP110" s="59">
        <f t="shared" si="100"/>
        <v>359.47288701414777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0.44733046424103673</v>
      </c>
      <c r="EX110" s="21">
        <f>EXP(-LN(2)/2)*EX109+(1-EXP(-LN(2)/2))/(LN(2)/2)*ER110*EU110*VLOOKUP('Données projet'!$B$15,Paramètres!$A$1:$I$89,3,0)*0.475*44/12</f>
        <v>6.4871317825951902E-13</v>
      </c>
      <c r="EY110" s="22">
        <f t="shared" si="75"/>
        <v>0.44733046424168543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-2.8421709430404007E-13</v>
      </c>
      <c r="FF110" s="17">
        <f>FE110*VLOOKUP('Données projet'!$B$16,Paramètres!$A$1:$I$89,3,0)*VLOOKUP('Données projet'!$B$16,Paramètres!$A$1:$I$89,5,0)</f>
        <v>-1.69961822393816E-13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313.26988717307376</v>
      </c>
      <c r="FK110" s="59">
        <f t="shared" si="102"/>
        <v>248.17359813993201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0.50729258911302322</v>
      </c>
      <c r="FR110" s="21">
        <f>EXP(-LN(2)/25)*FR109+(1-EXP(-LN(2)/25))/(LN(2)/25)*Calculateur!FM110*Calculateur!FO110*VLOOKUP('Données projet'!$B$16,Paramètres!$A$1:$I$89,3,0)*0.475*44/12</f>
        <v>0.89156861732555326</v>
      </c>
      <c r="FS110" s="21">
        <f>EXP(-LN(2)/2)*FS109+(1-EXP(-LN(2)/2))/(LN(2)/2)*FM110*FP110*VLOOKUP('Données projet'!$B$16,Paramètres!$A$1:$I$89,3,0)*0.475*44/12</f>
        <v>1.0830730389423156E-11</v>
      </c>
      <c r="FT110" s="22">
        <f t="shared" si="78"/>
        <v>1.3988612064494073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2.9</v>
      </c>
      <c r="FZ110" s="12">
        <f>IF('Données projet'!$A$244&gt;35,FZ109+FY110-GH109,IF(A110&lt;'Données projet'!$A$244,$FW$205^A110,IF(A110='Données projet'!$A$244,'Données projet'!$B$244,FZ109+FY110-GH109)))</f>
        <v>181.30000000000007</v>
      </c>
      <c r="GA110" s="17">
        <f>FZ110*VLOOKUP('Données projet'!$B$17,Paramètres!$A$1:$I$89,3,0)*VLOOKUP('Données projet'!$B$17,Paramètres!$A$1:$I$89,5,0)</f>
        <v>195.15132000000006</v>
      </c>
      <c r="GB110" s="13">
        <f t="shared" si="103"/>
        <v>48.677057359761243</v>
      </c>
      <c r="GC110" s="20">
        <f t="shared" si="79"/>
        <v>424.66775723491764</v>
      </c>
      <c r="GD110" s="59">
        <f t="shared" si="80"/>
        <v>703.90836412779129</v>
      </c>
      <c r="GE110" s="59">
        <f ca="1">AVERAGE(OFFSET($GD$3,0,0,'Données projet'!$E$17+1,1))-AVERAGE(OFFSET($H$3,0,0,'Données projet'!$E$17+1,1))</f>
        <v>313.51355235711543</v>
      </c>
      <c r="GF110" s="59">
        <f t="shared" si="104"/>
        <v>186.0840067781198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0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0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4.5999999999999996</v>
      </c>
      <c r="N111" s="13">
        <f>IF('Données projet'!$A$36&gt;35,N110+M111-V110,IF(A111&lt;'Données projet'!$A$36,$K$205^A111,IF(A111='Données projet'!$A$36,'Données projet'!$B$36,N110+M111-V110)))</f>
        <v>289.8000000000003</v>
      </c>
      <c r="O111" s="13">
        <f>N111*VLOOKUP('Données projet'!$B$9,Paramètres!$A$1:$I$89,3,0)*VLOOKUP('Données projet'!$B$9,Paramètres!$A$1:$I$89,5,0)</f>
        <v>293.85720000000032</v>
      </c>
      <c r="P111" s="13">
        <f t="shared" si="87"/>
        <v>69.887150190339895</v>
      </c>
      <c r="Q111" s="20">
        <f t="shared" si="107"/>
        <v>633.52140991484259</v>
      </c>
      <c r="R111" s="59">
        <f t="shared" si="55"/>
        <v>913.00649410484198</v>
      </c>
      <c r="S111" s="59">
        <f ca="1">AVERAGE(OFFSET($R$3,0,0,'Données projet'!$E$9+1,1))-AVERAGE(OFFSET($H$3,0,0,'Données projet'!$E$9+1,1))</f>
        <v>452.67426184967104</v>
      </c>
      <c r="T111" s="59">
        <f t="shared" si="88"/>
        <v>310.47823616327639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3.2051282051282044</v>
      </c>
      <c r="AI111" s="13">
        <f>IF('Données projet'!$A$62&gt;35,AI110+AH111-AQ110,IF(A111&lt;'Données projet'!$A$62,$AF$205^A111,IF(A111='Données projet'!$A$62,'Données projet'!$B$62,AI110+AH111-AQ110)))</f>
        <v>314.7435897435895</v>
      </c>
      <c r="AJ111" s="13">
        <f>AI111*VLOOKUP('Données projet'!$B$10,Paramètres!$A$1:$I$89,3,0)*VLOOKUP('Données projet'!$B$10,Paramètres!$A$1:$I$89,5,0)</f>
        <v>328.96999999999974</v>
      </c>
      <c r="AK111" s="13">
        <f t="shared" si="89"/>
        <v>77.216723056433693</v>
      </c>
      <c r="AL111" s="20">
        <f t="shared" si="58"/>
        <v>707.44187598995484</v>
      </c>
      <c r="AM111" s="59">
        <f t="shared" si="59"/>
        <v>986.92696017995422</v>
      </c>
      <c r="AN111" s="59">
        <f ca="1">AVERAGE(OFFSET($AM$3,0,0,'Données projet'!$E$10+1,1))-AVERAGE(OFFSET($H$3,0,0,'Données projet'!$E$10+1,1))</f>
        <v>528.45201982036087</v>
      </c>
      <c r="AO111" s="59">
        <f t="shared" si="90"/>
        <v>321.23004033257985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1.7967154030475578E-13</v>
      </c>
      <c r="AX111" s="21">
        <f t="shared" si="60"/>
        <v>1.7967154030475578E-13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2.9</v>
      </c>
      <c r="BD111" s="12">
        <f>IF('Données projet'!$A$88&gt;35,BD110+BC111-BL110,IF(A111&lt;'Données projet'!$A$88,$BA$205^A111,IF(A111='Données projet'!$A$88,'Données projet'!$B$88,BD110+BC111-BL110)))</f>
        <v>184.20000000000007</v>
      </c>
      <c r="BE111" s="13">
        <f>BD111*VLOOKUP('Données projet'!$B$11,Paramètres!$A$1:$I$89,3,0)*VLOOKUP('Données projet'!$B$11,Paramètres!$A$1:$I$89,5,0)</f>
        <v>178.15824000000009</v>
      </c>
      <c r="BF111" s="13">
        <f t="shared" si="91"/>
        <v>44.912183553126354</v>
      </c>
      <c r="BG111" s="20">
        <f t="shared" si="61"/>
        <v>388.5143210216952</v>
      </c>
      <c r="BH111" s="59">
        <f t="shared" si="62"/>
        <v>667.99940521169447</v>
      </c>
      <c r="BI111" s="59">
        <f ca="1">AVERAGE(OFFSET($BH$3,0,0,'Données projet'!$E$11+1,1))-AVERAGE(OFFSET($H$3,0,0,'Données projet'!$E$11+1,1))</f>
        <v>289.06522051625166</v>
      </c>
      <c r="BJ111" s="59">
        <f t="shared" si="92"/>
        <v>173.19148969173838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234.00000000000045</v>
      </c>
      <c r="BZ111" s="13">
        <f>BY111*VLOOKUP('Données projet'!$B$12,Paramètres!$A$1:$I$89,3,0)*VLOOKUP('Données projet'!$B$12,Paramètres!$A$1:$I$89,5,0)</f>
        <v>189.82080000000036</v>
      </c>
      <c r="CA111" s="13">
        <f t="shared" si="93"/>
        <v>47.500332100049881</v>
      </c>
      <c r="CB111" s="20">
        <f t="shared" si="64"/>
        <v>413.33430507425419</v>
      </c>
      <c r="CC111" s="59">
        <f t="shared" si="65"/>
        <v>692.81938926425346</v>
      </c>
      <c r="CD111" s="59">
        <f ca="1">AVERAGE(OFFSET($CC$3,0,0,'Données projet'!$E$12+1,1))-AVERAGE(OFFSET($H$3,0,0,'Données projet'!$E$12+1,1))</f>
        <v>306.06916761900357</v>
      </c>
      <c r="CE111" s="59">
        <f t="shared" si="94"/>
        <v>258.90832875500337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3.2630497051168198E-13</v>
      </c>
      <c r="CN111" s="22">
        <f t="shared" si="66"/>
        <v>3.2630497051168198E-13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4.5999999999999996</v>
      </c>
      <c r="CT111" s="12">
        <f>IF('Données projet'!$A$140&gt;35,CT110+CS111-DB110,IF(A111&lt;'Données projet'!$A$140,$CQ$205^A111,IF(A111='Données projet'!$A$140,'Données projet'!$B$140,CT110+CS111-DB110)))</f>
        <v>289.8000000000003</v>
      </c>
      <c r="CU111" s="17">
        <f>CT111*VLOOKUP('Données projet'!$B$13,Paramètres!$A$1:$I$89,3,0)*VLOOKUP('Données projet'!$B$13,Paramètres!$A$1:$I$89,5,0)</f>
        <v>194.3978400000002</v>
      </c>
      <c r="CV111" s="13">
        <f t="shared" si="95"/>
        <v>48.510954167370741</v>
      </c>
      <c r="CW111" s="20">
        <f t="shared" si="67"/>
        <v>423.06614984150434</v>
      </c>
      <c r="CX111" s="59">
        <f t="shared" si="68"/>
        <v>702.55123403150367</v>
      </c>
      <c r="CY111" s="59">
        <f ca="1">AVERAGE(OFFSET($CX$3,0,0,'Données projet'!$E$13+1,1))-AVERAGE(OFFSET($H$3,0,0,'Données projet'!$E$13+1,1))</f>
        <v>324.58754156328285</v>
      </c>
      <c r="CZ111" s="59">
        <f t="shared" si="96"/>
        <v>226.01037731977604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1.9787468083593014E-13</v>
      </c>
      <c r="DI111" s="22">
        <f t="shared" si="69"/>
        <v>1.9787468083593014E-13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3.4106051316484809E-13</v>
      </c>
      <c r="DP111" s="17">
        <f>DO111*VLOOKUP('Données projet'!$B$14,Paramètres!$A$1:$I$89,3,0)*VLOOKUP('Données projet'!$B$14,Paramètres!$A$1:$I$89,5,0)</f>
        <v>1.5961632016114892E-13</v>
      </c>
      <c r="DQ111" s="13">
        <f t="shared" si="97"/>
        <v>2.2708641912150958E-12</v>
      </c>
      <c r="DR111" s="20">
        <f t="shared" si="70"/>
        <v>4.2330868906469593E-12</v>
      </c>
      <c r="DS111" s="59">
        <f t="shared" si="71"/>
        <v>279.48508419000353</v>
      </c>
      <c r="DT111" s="59">
        <f ca="1">AVERAGE(OFFSET($DS$3,0,0,'Données projet'!$E$14+1,1))-AVERAGE(OFFSET($H$3,0,0,'Données projet'!$E$14+1,1))</f>
        <v>325.93182817189722</v>
      </c>
      <c r="DU111" s="59">
        <f t="shared" si="98"/>
        <v>280.04509991782709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0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5.6843418860808015E-14</v>
      </c>
      <c r="EK111" s="17">
        <f>EJ111*VLOOKUP('Données projet'!$B$15,Paramètres!$A$1:$I$89,3,0)*VLOOKUP('Données projet'!$B$15,Paramètres!$A$1:$I$89,5,0)</f>
        <v>4.5224624045658861E-14</v>
      </c>
      <c r="EL111" s="13">
        <f t="shared" si="99"/>
        <v>7.4514601661523691E-13</v>
      </c>
      <c r="EM111" s="20">
        <f t="shared" si="73"/>
        <v>1.3765621991510601E-12</v>
      </c>
      <c r="EN111" s="59">
        <f t="shared" si="74"/>
        <v>279.48508419000069</v>
      </c>
      <c r="EO111" s="59">
        <f ca="1">AVERAGE(OFFSET($EN$3,0,0,'Données projet'!$E$15+1,1))-AVERAGE(OFFSET($H$3,0,0,'Données projet'!$E$15+1,1))</f>
        <v>333.52903437536651</v>
      </c>
      <c r="EP111" s="59">
        <f t="shared" si="100"/>
        <v>359.47288701414777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0.43509818917227883</v>
      </c>
      <c r="EX111" s="21">
        <f>EXP(-LN(2)/2)*EX110+(1-EXP(-LN(2)/2))/(LN(2)/2)*ER111*EU111*VLOOKUP('Données projet'!$B$15,Paramètres!$A$1:$I$89,3,0)*0.475*44/12</f>
        <v>4.587094873923835E-13</v>
      </c>
      <c r="EY111" s="22">
        <f t="shared" si="75"/>
        <v>0.43509818917273752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-2.8421709430404007E-13</v>
      </c>
      <c r="FF111" s="17">
        <f>FE111*VLOOKUP('Données projet'!$B$16,Paramètres!$A$1:$I$89,3,0)*VLOOKUP('Données projet'!$B$16,Paramètres!$A$1:$I$89,5,0)</f>
        <v>-1.69961822393816E-13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313.26988717307376</v>
      </c>
      <c r="FK111" s="59">
        <f t="shared" si="102"/>
        <v>248.17359813993201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0.49734489085844369</v>
      </c>
      <c r="FR111" s="21">
        <f>EXP(-LN(2)/25)*FR110+(1-EXP(-LN(2)/25))/(LN(2)/25)*Calculateur!FM111*Calculateur!FO111*VLOOKUP('Données projet'!$B$16,Paramètres!$A$1:$I$89,3,0)*0.475*44/12</f>
        <v>0.86718862659923013</v>
      </c>
      <c r="FS111" s="21">
        <f>EXP(-LN(2)/2)*FS110+(1-EXP(-LN(2)/2))/(LN(2)/2)*FM111*FP111*VLOOKUP('Données projet'!$B$16,Paramètres!$A$1:$I$89,3,0)*0.475*44/12</f>
        <v>7.6584829035643301E-12</v>
      </c>
      <c r="FT111" s="22">
        <f t="shared" si="78"/>
        <v>1.3645335174653324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2.9</v>
      </c>
      <c r="FZ111" s="12">
        <f>IF('Données projet'!$A$244&gt;35,FZ110+FY111-GH110,IF(A111&lt;'Données projet'!$A$244,$FW$205^A111,IF(A111='Données projet'!$A$244,'Données projet'!$B$244,FZ110+FY111-GH110)))</f>
        <v>184.20000000000007</v>
      </c>
      <c r="GA111" s="17">
        <f>FZ111*VLOOKUP('Données projet'!$B$17,Paramètres!$A$1:$I$89,3,0)*VLOOKUP('Données projet'!$B$17,Paramètres!$A$1:$I$89,5,0)</f>
        <v>198.27288000000007</v>
      </c>
      <c r="GB111" s="13">
        <f t="shared" si="103"/>
        <v>49.364407640075534</v>
      </c>
      <c r="GC111" s="20">
        <f t="shared" si="79"/>
        <v>431.30160930646502</v>
      </c>
      <c r="GD111" s="59">
        <f t="shared" si="80"/>
        <v>710.7866934964643</v>
      </c>
      <c r="GE111" s="59">
        <f ca="1">AVERAGE(OFFSET($GD$3,0,0,'Données projet'!$E$17+1,1))-AVERAGE(OFFSET($H$3,0,0,'Données projet'!$E$17+1,1))</f>
        <v>313.51355235711543</v>
      </c>
      <c r="GF111" s="59">
        <f t="shared" si="104"/>
        <v>186.0840067781198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0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0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4.5999999999999996</v>
      </c>
      <c r="N112" s="13">
        <f>IF('Données projet'!$A$36&gt;35,N111+M112-V111,IF(A112&lt;'Données projet'!$A$36,$K$205^A112,IF(A112='Données projet'!$A$36,'Données projet'!$B$36,N111+M112-V111)))</f>
        <v>294.40000000000032</v>
      </c>
      <c r="O112" s="13">
        <f>N112*VLOOKUP('Données projet'!$B$9,Paramètres!$A$1:$I$89,3,0)*VLOOKUP('Données projet'!$B$9,Paramètres!$A$1:$I$89,5,0)</f>
        <v>298.52160000000032</v>
      </c>
      <c r="P112" s="13">
        <f t="shared" si="87"/>
        <v>70.866444995542565</v>
      </c>
      <c r="Q112" s="20">
        <f t="shared" si="107"/>
        <v>643.35084503390385</v>
      </c>
      <c r="R112" s="59">
        <f t="shared" si="55"/>
        <v>923.07616538649313</v>
      </c>
      <c r="S112" s="59">
        <f ca="1">AVERAGE(OFFSET($R$3,0,0,'Données projet'!$E$9+1,1))-AVERAGE(OFFSET($H$3,0,0,'Données projet'!$E$9+1,1))</f>
        <v>452.67426184967104</v>
      </c>
      <c r="T112" s="59">
        <f t="shared" si="88"/>
        <v>310.47823616327639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3.2051282051282044</v>
      </c>
      <c r="AI112" s="13">
        <f>IF('Données projet'!$A$62&gt;35,AI111+AH112-AQ111,IF(A112&lt;'Données projet'!$A$62,$AF$205^A112,IF(A112='Données projet'!$A$62,'Données projet'!$B$62,AI111+AH112-AQ111)))</f>
        <v>317.94871794871767</v>
      </c>
      <c r="AJ112" s="13">
        <f>AI112*VLOOKUP('Données projet'!$B$10,Paramètres!$A$1:$I$89,3,0)*VLOOKUP('Données projet'!$B$10,Paramètres!$A$1:$I$89,5,0)</f>
        <v>332.31999999999977</v>
      </c>
      <c r="AK112" s="13">
        <f t="shared" si="89"/>
        <v>77.911106070111686</v>
      </c>
      <c r="AL112" s="20">
        <f t="shared" si="58"/>
        <v>714.4858430721107</v>
      </c>
      <c r="AM112" s="59">
        <f t="shared" si="59"/>
        <v>994.21116342469998</v>
      </c>
      <c r="AN112" s="59">
        <f ca="1">AVERAGE(OFFSET($AM$3,0,0,'Données projet'!$E$10+1,1))-AVERAGE(OFFSET($H$3,0,0,'Données projet'!$E$10+1,1))</f>
        <v>528.45201982036087</v>
      </c>
      <c r="AO112" s="59">
        <f t="shared" si="90"/>
        <v>321.23004033257985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1.270469645357249E-13</v>
      </c>
      <c r="AX112" s="21">
        <f t="shared" si="60"/>
        <v>1.270469645357249E-13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2.9</v>
      </c>
      <c r="BD112" s="12">
        <f>IF('Données projet'!$A$88&gt;35,BD111+BC112-BL111,IF(A112&lt;'Données projet'!$A$88,$BA$205^A112,IF(A112='Données projet'!$A$88,'Données projet'!$B$88,BD111+BC112-BL111)))</f>
        <v>187.10000000000008</v>
      </c>
      <c r="BE112" s="13">
        <f>BD112*VLOOKUP('Données projet'!$B$11,Paramètres!$A$1:$I$89,3,0)*VLOOKUP('Données projet'!$B$11,Paramètres!$A$1:$I$89,5,0)</f>
        <v>180.96312000000009</v>
      </c>
      <c r="BF112" s="13">
        <f t="shared" si="91"/>
        <v>45.536396027047481</v>
      </c>
      <c r="BG112" s="20">
        <f t="shared" si="61"/>
        <v>394.48665708044115</v>
      </c>
      <c r="BH112" s="59">
        <f t="shared" si="62"/>
        <v>674.21197743303037</v>
      </c>
      <c r="BI112" s="59">
        <f ca="1">AVERAGE(OFFSET($BH$3,0,0,'Données projet'!$E$11+1,1))-AVERAGE(OFFSET($H$3,0,0,'Données projet'!$E$11+1,1))</f>
        <v>289.06522051625166</v>
      </c>
      <c r="BJ112" s="59">
        <f t="shared" si="92"/>
        <v>173.19148969173838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234.00000000000045</v>
      </c>
      <c r="BZ112" s="13">
        <f>BY112*VLOOKUP('Données projet'!$B$12,Paramètres!$A$1:$I$89,3,0)*VLOOKUP('Données projet'!$B$12,Paramètres!$A$1:$I$89,5,0)</f>
        <v>189.82080000000036</v>
      </c>
      <c r="CA112" s="13">
        <f t="shared" si="93"/>
        <v>47.500332100049881</v>
      </c>
      <c r="CB112" s="20">
        <f t="shared" si="64"/>
        <v>413.33430507425419</v>
      </c>
      <c r="CC112" s="59">
        <f t="shared" si="65"/>
        <v>693.05962542684347</v>
      </c>
      <c r="CD112" s="59">
        <f ca="1">AVERAGE(OFFSET($CC$3,0,0,'Données projet'!$E$12+1,1))-AVERAGE(OFFSET($H$3,0,0,'Données projet'!$E$12+1,1))</f>
        <v>306.06916761900357</v>
      </c>
      <c r="CE112" s="59">
        <f t="shared" si="94"/>
        <v>258.90832875500337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2.3073245738368675E-13</v>
      </c>
      <c r="CN112" s="22">
        <f t="shared" si="66"/>
        <v>2.3073245738368675E-13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4.5999999999999996</v>
      </c>
      <c r="CT112" s="12">
        <f>IF('Données projet'!$A$140&gt;35,CT111+CS112-DB111,IF(A112&lt;'Données projet'!$A$140,$CQ$205^A112,IF(A112='Données projet'!$A$140,'Données projet'!$B$140,CT111+CS112-DB111)))</f>
        <v>294.40000000000032</v>
      </c>
      <c r="CU112" s="17">
        <f>CT112*VLOOKUP('Données projet'!$B$13,Paramètres!$A$1:$I$89,3,0)*VLOOKUP('Données projet'!$B$13,Paramètres!$A$1:$I$89,5,0)</f>
        <v>197.48352000000023</v>
      </c>
      <c r="CV112" s="13">
        <f t="shared" si="95"/>
        <v>49.190714685322106</v>
      </c>
      <c r="CW112" s="20">
        <f t="shared" si="67"/>
        <v>429.6242920769364</v>
      </c>
      <c r="CX112" s="59">
        <f t="shared" si="68"/>
        <v>709.34961242952568</v>
      </c>
      <c r="CY112" s="59">
        <f ca="1">AVERAGE(OFFSET($CX$3,0,0,'Données projet'!$E$13+1,1))-AVERAGE(OFFSET($H$3,0,0,'Données projet'!$E$13+1,1))</f>
        <v>324.58754156328285</v>
      </c>
      <c r="CZ112" s="59">
        <f t="shared" si="96"/>
        <v>226.01037731977604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1.3991852864420998E-13</v>
      </c>
      <c r="DI112" s="22">
        <f t="shared" si="69"/>
        <v>1.3991852864420998E-13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3.4106051316484809E-13</v>
      </c>
      <c r="DP112" s="17">
        <f>DO112*VLOOKUP('Données projet'!$B$14,Paramètres!$A$1:$I$89,3,0)*VLOOKUP('Données projet'!$B$14,Paramètres!$A$1:$I$89,5,0)</f>
        <v>1.5961632016114892E-13</v>
      </c>
      <c r="DQ112" s="13">
        <f t="shared" si="97"/>
        <v>2.2708641912150958E-12</v>
      </c>
      <c r="DR112" s="20">
        <f t="shared" si="70"/>
        <v>4.2330868906469593E-12</v>
      </c>
      <c r="DS112" s="59">
        <f t="shared" si="71"/>
        <v>279.72532035259349</v>
      </c>
      <c r="DT112" s="59">
        <f ca="1">AVERAGE(OFFSET($DS$3,0,0,'Données projet'!$E$14+1,1))-AVERAGE(OFFSET($H$3,0,0,'Données projet'!$E$14+1,1))</f>
        <v>325.93182817189722</v>
      </c>
      <c r="DU112" s="59">
        <f t="shared" si="98"/>
        <v>280.04509991782709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0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5.6843418860808015E-14</v>
      </c>
      <c r="EK112" s="17">
        <f>EJ112*VLOOKUP('Données projet'!$B$15,Paramètres!$A$1:$I$89,3,0)*VLOOKUP('Données projet'!$B$15,Paramètres!$A$1:$I$89,5,0)</f>
        <v>4.5224624045658861E-14</v>
      </c>
      <c r="EL112" s="13">
        <f t="shared" si="99"/>
        <v>7.4514601661523691E-13</v>
      </c>
      <c r="EM112" s="20">
        <f t="shared" si="73"/>
        <v>1.3765621991510601E-12</v>
      </c>
      <c r="EN112" s="59">
        <f t="shared" si="74"/>
        <v>279.72532035259064</v>
      </c>
      <c r="EO112" s="59">
        <f ca="1">AVERAGE(OFFSET($EN$3,0,0,'Données projet'!$E$15+1,1))-AVERAGE(OFFSET($H$3,0,0,'Données projet'!$E$15+1,1))</f>
        <v>333.52903437536651</v>
      </c>
      <c r="EP112" s="59">
        <f t="shared" si="100"/>
        <v>359.47288701414777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0.4232004063085435</v>
      </c>
      <c r="EX112" s="21">
        <f>EXP(-LN(2)/2)*EX111+(1-EXP(-LN(2)/2))/(LN(2)/2)*ER112*EU112*VLOOKUP('Données projet'!$B$15,Paramètres!$A$1:$I$89,3,0)*0.475*44/12</f>
        <v>3.2435658912975951E-13</v>
      </c>
      <c r="EY112" s="22">
        <f t="shared" si="75"/>
        <v>0.42320040630886785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-2.8421709430404007E-13</v>
      </c>
      <c r="FF112" s="17">
        <f>FE112*VLOOKUP('Données projet'!$B$16,Paramètres!$A$1:$I$89,3,0)*VLOOKUP('Données projet'!$B$16,Paramètres!$A$1:$I$89,5,0)</f>
        <v>-1.69961822393816E-13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313.26988717307376</v>
      </c>
      <c r="FK112" s="59">
        <f t="shared" si="102"/>
        <v>248.17359813993201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0.48759226089913965</v>
      </c>
      <c r="FR112" s="21">
        <f>EXP(-LN(2)/25)*FR111+(1-EXP(-LN(2)/25))/(LN(2)/25)*Calculateur!FM112*Calculateur!FO112*VLOOKUP('Données projet'!$B$16,Paramètres!$A$1:$I$89,3,0)*0.475*44/12</f>
        <v>0.84347530800140624</v>
      </c>
      <c r="FS112" s="21">
        <f>EXP(-LN(2)/2)*FS111+(1-EXP(-LN(2)/2))/(LN(2)/2)*FM112*FP112*VLOOKUP('Données projet'!$B$16,Paramètres!$A$1:$I$89,3,0)*0.475*44/12</f>
        <v>5.4153651947115781E-12</v>
      </c>
      <c r="FT112" s="22">
        <f t="shared" si="78"/>
        <v>1.3310675689059612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2.9</v>
      </c>
      <c r="FZ112" s="12">
        <f>IF('Données projet'!$A$244&gt;35,FZ111+FY112-GH111,IF(A112&lt;'Données projet'!$A$244,$FW$205^A112,IF(A112='Données projet'!$A$244,'Données projet'!$B$244,FZ111+FY112-GH111)))</f>
        <v>187.10000000000008</v>
      </c>
      <c r="GA112" s="17">
        <f>FZ112*VLOOKUP('Données projet'!$B$17,Paramètres!$A$1:$I$89,3,0)*VLOOKUP('Données projet'!$B$17,Paramètres!$A$1:$I$89,5,0)</f>
        <v>201.39444000000009</v>
      </c>
      <c r="GB112" s="13">
        <f t="shared" si="103"/>
        <v>50.050499399123836</v>
      </c>
      <c r="GC112" s="20">
        <f t="shared" si="79"/>
        <v>437.93326945347417</v>
      </c>
      <c r="GD112" s="59">
        <f t="shared" si="80"/>
        <v>717.65858980606345</v>
      </c>
      <c r="GE112" s="59">
        <f ca="1">AVERAGE(OFFSET($GD$3,0,0,'Données projet'!$E$17+1,1))-AVERAGE(OFFSET($H$3,0,0,'Données projet'!$E$17+1,1))</f>
        <v>313.51355235711543</v>
      </c>
      <c r="GF112" s="59">
        <f t="shared" si="104"/>
        <v>186.0840067781198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0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0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299</v>
      </c>
      <c r="L113" s="12">
        <f>VLOOKUP(A113,'Données projet'!$A$35:$I$55,9,0)</f>
        <v>4.5999999999999996</v>
      </c>
      <c r="M113" s="12">
        <f t="array" ref="M113">INDEX(L:L,MIN(IF(ISNUMBER(L113:L309),ROW(L113:L309),"")))</f>
        <v>4.5999999999999996</v>
      </c>
      <c r="N113" s="13">
        <f>IF('Données projet'!$A$36&gt;35,N112+M113-V112,IF(A113&lt;'Données projet'!$A$36,$K$205^A113,IF(A113='Données projet'!$A$36,'Données projet'!$B$36,N112+M113-V112)))</f>
        <v>299.00000000000034</v>
      </c>
      <c r="O113" s="13">
        <f>N113*VLOOKUP('Données projet'!$B$9,Paramètres!$A$1:$I$89,3,0)*VLOOKUP('Données projet'!$B$9,Paramètres!$A$1:$I$89,5,0)</f>
        <v>303.18600000000038</v>
      </c>
      <c r="P113" s="13">
        <f t="shared" si="87"/>
        <v>71.843960250458494</v>
      </c>
      <c r="Q113" s="20">
        <f t="shared" si="107"/>
        <v>653.17718076954918</v>
      </c>
      <c r="R113" s="59">
        <f t="shared" si="55"/>
        <v>933.13856972439498</v>
      </c>
      <c r="S113" s="59">
        <f ca="1">AVERAGE(OFFSET($R$3,0,0,'Données projet'!$E$9+1,1))-AVERAGE(OFFSET($H$3,0,0,'Données projet'!$E$9+1,1))</f>
        <v>452.67426184967104</v>
      </c>
      <c r="T113" s="59">
        <f t="shared" si="88"/>
        <v>310.47823616327639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34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321.15384615384613</v>
      </c>
      <c r="AG113" s="12">
        <f>VLOOKUP(A113,'Données projet'!$A$61:$I$81,9,0)</f>
        <v>3.2051282051282044</v>
      </c>
      <c r="AH113" s="12">
        <f t="array" ref="AH113">INDEX(AG:AG,MIN(IF(ISNUMBER(AG113:AG309),ROW(AG113:AG309),"")))</f>
        <v>3.2051282051282044</v>
      </c>
      <c r="AI113" s="13">
        <f>IF('Données projet'!$A$62&gt;35,AI112+AH113-AQ112,IF(A113&lt;'Données projet'!$A$62,$AF$205^A113,IF(A113='Données projet'!$A$62,'Données projet'!$B$62,AI112+AH113-AQ112)))</f>
        <v>321.15384615384585</v>
      </c>
      <c r="AJ113" s="13">
        <f>AI113*VLOOKUP('Données projet'!$B$10,Paramètres!$A$1:$I$89,3,0)*VLOOKUP('Données projet'!$B$10,Paramètres!$A$1:$I$89,5,0)</f>
        <v>335.66999999999973</v>
      </c>
      <c r="AK113" s="13">
        <f t="shared" si="89"/>
        <v>78.604674766974242</v>
      </c>
      <c r="AL113" s="20">
        <f t="shared" si="58"/>
        <v>721.52839188581299</v>
      </c>
      <c r="AM113" s="59">
        <f t="shared" si="59"/>
        <v>1001.4897808406588</v>
      </c>
      <c r="AN113" s="59">
        <f ca="1">AVERAGE(OFFSET($AM$3,0,0,'Données projet'!$E$10+1,1))-AVERAGE(OFFSET($H$3,0,0,'Données projet'!$E$10+1,1))</f>
        <v>528.45201982036087</v>
      </c>
      <c r="AO113" s="59">
        <f t="shared" si="90"/>
        <v>321.23004033257985</v>
      </c>
      <c r="AP113" s="15">
        <f>IF(ISNA(VLOOKUP(A113,'Données projet'!$A$61:$I$81,3,0)),0,VLOOKUP(A113,'Données projet'!$A$61:$I$81,3,0))</f>
        <v>11</v>
      </c>
      <c r="AQ113" s="15">
        <f>IF(ISNA(VLOOKUP(A113,'Données projet'!$A$61:$I$81,4,0)),0,VLOOKUP(A113,'Données projet'!$A$61:$I$81,4,0))</f>
        <v>19.23076923076923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8.983577015237789E-14</v>
      </c>
      <c r="AX113" s="21">
        <f t="shared" si="60"/>
        <v>8.983577015237789E-14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190</v>
      </c>
      <c r="BB113" s="12">
        <f>VLOOKUP(A113,'Données projet'!$A$87:$I$107,9,0)</f>
        <v>2.9</v>
      </c>
      <c r="BC113" s="12">
        <f t="array" ref="BC113">INDEX(BB:BB,MIN(IF(ISNUMBER(BB113:BB309),ROW(BB113:BB309),"")))</f>
        <v>2.9</v>
      </c>
      <c r="BD113" s="12">
        <f>IF('Données projet'!$A$88&gt;35,BD112+BC113-BL112,IF(A113&lt;'Données projet'!$A$88,$BA$205^A113,IF(A113='Données projet'!$A$88,'Données projet'!$B$88,BD112+BC113-BL112)))</f>
        <v>190.00000000000009</v>
      </c>
      <c r="BE113" s="13">
        <f>BD113*VLOOKUP('Données projet'!$B$11,Paramètres!$A$1:$I$89,3,0)*VLOOKUP('Données projet'!$B$11,Paramètres!$A$1:$I$89,5,0)</f>
        <v>183.76800000000009</v>
      </c>
      <c r="BF113" s="13">
        <f t="shared" si="91"/>
        <v>46.159483283907285</v>
      </c>
      <c r="BG113" s="20">
        <f t="shared" si="61"/>
        <v>400.45703338613868</v>
      </c>
      <c r="BH113" s="59">
        <f t="shared" si="62"/>
        <v>680.41842234098453</v>
      </c>
      <c r="BI113" s="59">
        <f ca="1">AVERAGE(OFFSET($BH$3,0,0,'Données projet'!$E$11+1,1))-AVERAGE(OFFSET($H$3,0,0,'Données projet'!$E$11+1,1))</f>
        <v>289.06522051625166</v>
      </c>
      <c r="BJ113" s="59">
        <f t="shared" si="92"/>
        <v>173.19148969173838</v>
      </c>
      <c r="BK113" s="15">
        <f>IF(ISNA(VLOOKUP(A113,'Données projet'!$A$87:$I$107,3,0)),0,VLOOKUP(A113,'Données projet'!$A$87:$I$107,3,0))</f>
        <v>9</v>
      </c>
      <c r="BL113" s="15">
        <f>IF(ISNA(VLOOKUP(A113,'Données projet'!$A$87:$I$107,4,0)),0,VLOOKUP(A113,'Données projet'!$A$87:$I$107,4,0))</f>
        <v>19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234.00000000000045</v>
      </c>
      <c r="BZ113" s="13">
        <f>BY113*VLOOKUP('Données projet'!$B$12,Paramètres!$A$1:$I$89,3,0)*VLOOKUP('Données projet'!$B$12,Paramètres!$A$1:$I$89,5,0)</f>
        <v>189.82080000000036</v>
      </c>
      <c r="CA113" s="13">
        <f t="shared" si="93"/>
        <v>47.500332100049881</v>
      </c>
      <c r="CB113" s="20">
        <f t="shared" si="64"/>
        <v>413.33430507425419</v>
      </c>
      <c r="CC113" s="59">
        <f t="shared" si="65"/>
        <v>693.2956940291001</v>
      </c>
      <c r="CD113" s="59">
        <f ca="1">AVERAGE(OFFSET($CC$3,0,0,'Données projet'!$E$12+1,1))-AVERAGE(OFFSET($H$3,0,0,'Données projet'!$E$12+1,1))</f>
        <v>306.06916761900357</v>
      </c>
      <c r="CE113" s="59">
        <f t="shared" si="94"/>
        <v>258.90832875500337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1.6315248525584099E-13</v>
      </c>
      <c r="CN113" s="22">
        <f t="shared" si="66"/>
        <v>1.6315248525584099E-13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299</v>
      </c>
      <c r="CR113" s="12">
        <f>VLOOKUP(A113,'Données projet'!$A$139:$I$159,9,0)</f>
        <v>4.5999999999999996</v>
      </c>
      <c r="CS113" s="12">
        <f t="array" ref="CS113">INDEX(CR:CR,MIN(IF(ISNUMBER(CR113:CR309),ROW(CR113:CR309),"")))</f>
        <v>4.5999999999999996</v>
      </c>
      <c r="CT113" s="12">
        <f>IF('Données projet'!$A$140&gt;35,CT112+CS113-DB112,IF(A113&lt;'Données projet'!$A$140,$CQ$205^A113,IF(A113='Données projet'!$A$140,'Données projet'!$B$140,CT112+CS113-DB112)))</f>
        <v>299.00000000000034</v>
      </c>
      <c r="CU113" s="17">
        <f>CT113*VLOOKUP('Données projet'!$B$13,Paramètres!$A$1:$I$89,3,0)*VLOOKUP('Données projet'!$B$13,Paramètres!$A$1:$I$89,5,0)</f>
        <v>200.56920000000022</v>
      </c>
      <c r="CV113" s="13">
        <f t="shared" si="95"/>
        <v>49.869239959281366</v>
      </c>
      <c r="CW113" s="20">
        <f t="shared" si="67"/>
        <v>436.18028292908207</v>
      </c>
      <c r="CX113" s="59">
        <f t="shared" si="68"/>
        <v>716.14167188392798</v>
      </c>
      <c r="CY113" s="59">
        <f ca="1">AVERAGE(OFFSET($CX$3,0,0,'Données projet'!$E$13+1,1))-AVERAGE(OFFSET($H$3,0,0,'Données projet'!$E$13+1,1))</f>
        <v>324.58754156328285</v>
      </c>
      <c r="CZ113" s="59">
        <f t="shared" si="96"/>
        <v>226.01037731977604</v>
      </c>
      <c r="DA113" s="15">
        <f>IF(ISNA(VLOOKUP(A113,'Données projet'!$A$139:$I$159,3,0)),0,VLOOKUP(A113,'Données projet'!$A$139:$I$159,3,0))</f>
        <v>10</v>
      </c>
      <c r="DB113" s="15">
        <f>IF(ISNA(VLOOKUP(A113,'Données projet'!$A$139:$I$159,4,0)),0,VLOOKUP(A113,'Données projet'!$A$139:$I$159,4,0))</f>
        <v>34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9.8937340417965069E-14</v>
      </c>
      <c r="DI113" s="22">
        <f t="shared" si="69"/>
        <v>9.8937340417965069E-14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3.4106051316484809E-13</v>
      </c>
      <c r="DP113" s="17">
        <f>DO113*VLOOKUP('Données projet'!$B$14,Paramètres!$A$1:$I$89,3,0)*VLOOKUP('Données projet'!$B$14,Paramètres!$A$1:$I$89,5,0)</f>
        <v>1.5961632016114892E-13</v>
      </c>
      <c r="DQ113" s="13">
        <f t="shared" si="97"/>
        <v>2.2708641912150958E-12</v>
      </c>
      <c r="DR113" s="20">
        <f t="shared" si="70"/>
        <v>4.2330868906469593E-12</v>
      </c>
      <c r="DS113" s="59">
        <f t="shared" si="71"/>
        <v>279.96138895485007</v>
      </c>
      <c r="DT113" s="59">
        <f ca="1">AVERAGE(OFFSET($DS$3,0,0,'Données projet'!$E$14+1,1))-AVERAGE(OFFSET($H$3,0,0,'Données projet'!$E$14+1,1))</f>
        <v>325.93182817189722</v>
      </c>
      <c r="DU113" s="59">
        <f t="shared" si="98"/>
        <v>280.04509991782709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0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5.6843418860808015E-14</v>
      </c>
      <c r="EK113" s="17">
        <f>EJ113*VLOOKUP('Données projet'!$B$15,Paramètres!$A$1:$I$89,3,0)*VLOOKUP('Données projet'!$B$15,Paramètres!$A$1:$I$89,5,0)</f>
        <v>4.5224624045658861E-14</v>
      </c>
      <c r="EL113" s="13">
        <f t="shared" si="99"/>
        <v>7.4514601661523691E-13</v>
      </c>
      <c r="EM113" s="20">
        <f t="shared" si="73"/>
        <v>1.3765621991510601E-12</v>
      </c>
      <c r="EN113" s="59">
        <f t="shared" si="74"/>
        <v>279.96138895484722</v>
      </c>
      <c r="EO113" s="59">
        <f ca="1">AVERAGE(OFFSET($EN$3,0,0,'Données projet'!$E$15+1,1))-AVERAGE(OFFSET($H$3,0,0,'Données projet'!$E$15+1,1))</f>
        <v>333.52903437536651</v>
      </c>
      <c r="EP113" s="59">
        <f t="shared" si="100"/>
        <v>359.47288701414777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0.41162796894289422</v>
      </c>
      <c r="EX113" s="21">
        <f>EXP(-LN(2)/2)*EX112+(1-EXP(-LN(2)/2))/(LN(2)/2)*ER113*EU113*VLOOKUP('Données projet'!$B$15,Paramètres!$A$1:$I$89,3,0)*0.475*44/12</f>
        <v>2.2935474369619175E-13</v>
      </c>
      <c r="EY113" s="22">
        <f t="shared" si="75"/>
        <v>0.41162796894312359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-2.8421709430404007E-13</v>
      </c>
      <c r="FF113" s="17">
        <f>FE113*VLOOKUP('Données projet'!$B$16,Paramètres!$A$1:$I$89,3,0)*VLOOKUP('Données projet'!$B$16,Paramètres!$A$1:$I$89,5,0)</f>
        <v>-1.69961822393816E-13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313.26988717307376</v>
      </c>
      <c r="FK113" s="59">
        <f t="shared" si="102"/>
        <v>248.17359813993201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0.4780308740648207</v>
      </c>
      <c r="FR113" s="21">
        <f>EXP(-LN(2)/25)*FR112+(1-EXP(-LN(2)/25))/(LN(2)/25)*Calculateur!FM113*Calculateur!FO113*VLOOKUP('Données projet'!$B$16,Paramètres!$A$1:$I$89,3,0)*0.475*44/12</f>
        <v>0.82041043134766911</v>
      </c>
      <c r="FS113" s="21">
        <f>EXP(-LN(2)/2)*FS112+(1-EXP(-LN(2)/2))/(LN(2)/2)*FM113*FP113*VLOOKUP('Données projet'!$B$16,Paramètres!$A$1:$I$89,3,0)*0.475*44/12</f>
        <v>3.8292414517821651E-12</v>
      </c>
      <c r="FT113" s="22">
        <f t="shared" si="78"/>
        <v>1.2984413054163191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>
        <f>VLOOKUP(A113,'Données projet'!$A$243:$I$263,2,0)</f>
        <v>190</v>
      </c>
      <c r="FX113" s="12">
        <f>VLOOKUP(A113,'Données projet'!$A$243:$I$263,9,0)</f>
        <v>2.9</v>
      </c>
      <c r="FY113" s="12">
        <f t="array" ref="FY113">INDEX(FX:FX,MIN(IF(ISNUMBER(FX113:FX309),ROW(FX113:FX309),"")))</f>
        <v>2.9</v>
      </c>
      <c r="FZ113" s="12">
        <f>IF('Données projet'!$A$244&gt;35,FZ112+FY113-GH112,IF(A113&lt;'Données projet'!$A$244,$FW$205^A113,IF(A113='Données projet'!$A$244,'Données projet'!$B$244,FZ112+FY113-GH112)))</f>
        <v>190.00000000000009</v>
      </c>
      <c r="GA113" s="17">
        <f>FZ113*VLOOKUP('Données projet'!$B$17,Paramètres!$A$1:$I$89,3,0)*VLOOKUP('Données projet'!$B$17,Paramètres!$A$1:$I$89,5,0)</f>
        <v>204.51600000000008</v>
      </c>
      <c r="GB113" s="13">
        <f t="shared" si="103"/>
        <v>50.735354396355888</v>
      </c>
      <c r="GC113" s="20">
        <f t="shared" si="79"/>
        <v>444.56277557365325</v>
      </c>
      <c r="GD113" s="59">
        <f t="shared" si="80"/>
        <v>724.52416452849911</v>
      </c>
      <c r="GE113" s="59">
        <f ca="1">AVERAGE(OFFSET($GD$3,0,0,'Données projet'!$E$17+1,1))-AVERAGE(OFFSET($H$3,0,0,'Données projet'!$E$17+1,1))</f>
        <v>313.51355235711543</v>
      </c>
      <c r="GF113" s="59">
        <f t="shared" si="104"/>
        <v>186.0840067781198</v>
      </c>
      <c r="GG113" s="15">
        <f>IF(ISNA(VLOOKUP(A113,'Données projet'!$A$243:$I$263,3,0)),0,VLOOKUP(A113,'Données projet'!$A$243:$I$263,3,0))</f>
        <v>9</v>
      </c>
      <c r="GH113" s="15">
        <f>IF(ISNA(VLOOKUP(A113,'Données projet'!$A$243:$I$263,4,0)),0,VLOOKUP(A113,'Données projet'!$A$243:$I$263,4,0))</f>
        <v>19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0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0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4.0999999999999996</v>
      </c>
      <c r="N114" s="13">
        <f>IF('Données projet'!$A$36&gt;35,N113+M114-V113,IF(A114&lt;'Données projet'!$A$36,$K$205^A114,IF(A114='Données projet'!$A$36,'Données projet'!$B$36,N113+M114-V113)))</f>
        <v>269.10000000000036</v>
      </c>
      <c r="O114" s="13">
        <f>N114*VLOOKUP('Données projet'!$B$9,Paramètres!$A$1:$I$89,3,0)*VLOOKUP('Données projet'!$B$9,Paramètres!$A$1:$I$89,5,0)</f>
        <v>272.86740000000037</v>
      </c>
      <c r="P114" s="13">
        <f t="shared" si="87"/>
        <v>65.457429288800611</v>
      </c>
      <c r="Q114" s="20">
        <f t="shared" si="107"/>
        <v>589.24907767799493</v>
      </c>
      <c r="R114" s="59">
        <f t="shared" si="55"/>
        <v>869.44243997261856</v>
      </c>
      <c r="S114" s="59">
        <f ca="1">AVERAGE(OFFSET($R$3,0,0,'Données projet'!$E$9+1,1))-AVERAGE(OFFSET($H$3,0,0,'Données projet'!$E$9+1,1))</f>
        <v>452.67426184967104</v>
      </c>
      <c r="T114" s="59">
        <f t="shared" si="88"/>
        <v>310.47823616327639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2.8846153846153868</v>
      </c>
      <c r="AI114" s="13">
        <f>IF('Données projet'!$A$62&gt;35,AI113+AH114-AQ113,IF(A114&lt;'Données projet'!$A$62,$AF$205^A114,IF(A114='Données projet'!$A$62,'Données projet'!$B$62,AI113+AH114-AQ113)))</f>
        <v>304.80769230769198</v>
      </c>
      <c r="AJ114" s="13">
        <f>AI114*VLOOKUP('Données projet'!$B$10,Paramètres!$A$1:$I$89,3,0)*VLOOKUP('Données projet'!$B$10,Paramètres!$A$1:$I$89,5,0)</f>
        <v>318.5849999999997</v>
      </c>
      <c r="AK114" s="13">
        <f t="shared" si="89"/>
        <v>75.058859499755286</v>
      </c>
      <c r="AL114" s="20">
        <f t="shared" si="58"/>
        <v>685.59638862873999</v>
      </c>
      <c r="AM114" s="59">
        <f t="shared" si="59"/>
        <v>965.7897509233635</v>
      </c>
      <c r="AN114" s="59">
        <f ca="1">AVERAGE(OFFSET($AM$3,0,0,'Données projet'!$E$10+1,1))-AVERAGE(OFFSET($H$3,0,0,'Données projet'!$E$10+1,1))</f>
        <v>528.45201982036087</v>
      </c>
      <c r="AO114" s="59">
        <f t="shared" si="90"/>
        <v>321.23004033257985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6.3523482267862449E-14</v>
      </c>
      <c r="AX114" s="21">
        <f t="shared" si="60"/>
        <v>6.3523482267862449E-14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3</v>
      </c>
      <c r="BD114" s="12">
        <f>IF('Données projet'!$A$88&gt;35,BD113+BC114-BL113,IF(A114&lt;'Données projet'!$A$88,$BA$205^A114,IF(A114='Données projet'!$A$88,'Données projet'!$B$88,BD113+BC114-BL113)))</f>
        <v>174.00000000000009</v>
      </c>
      <c r="BE114" s="13">
        <f>BD114*VLOOKUP('Données projet'!$B$11,Paramètres!$A$1:$I$89,3,0)*VLOOKUP('Données projet'!$B$11,Paramètres!$A$1:$I$89,5,0)</f>
        <v>168.29280000000008</v>
      </c>
      <c r="BF114" s="13">
        <f t="shared" si="91"/>
        <v>42.707443263135104</v>
      </c>
      <c r="BG114" s="20">
        <f t="shared" si="61"/>
        <v>367.49209034996039</v>
      </c>
      <c r="BH114" s="59">
        <f t="shared" si="62"/>
        <v>647.68545264458396</v>
      </c>
      <c r="BI114" s="59">
        <f ca="1">AVERAGE(OFFSET($BH$3,0,0,'Données projet'!$E$11+1,1))-AVERAGE(OFFSET($H$3,0,0,'Données projet'!$E$11+1,1))</f>
        <v>289.06522051625166</v>
      </c>
      <c r="BJ114" s="59">
        <f t="shared" si="92"/>
        <v>173.19148969173838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234.00000000000045</v>
      </c>
      <c r="BZ114" s="13">
        <f>BY114*VLOOKUP('Données projet'!$B$12,Paramètres!$A$1:$I$89,3,0)*VLOOKUP('Données projet'!$B$12,Paramètres!$A$1:$I$89,5,0)</f>
        <v>189.82080000000036</v>
      </c>
      <c r="CA114" s="13">
        <f t="shared" si="93"/>
        <v>47.500332100049881</v>
      </c>
      <c r="CB114" s="20">
        <f t="shared" si="64"/>
        <v>413.33430507425419</v>
      </c>
      <c r="CC114" s="59">
        <f t="shared" si="65"/>
        <v>693.5276673688777</v>
      </c>
      <c r="CD114" s="59">
        <f ca="1">AVERAGE(OFFSET($CC$3,0,0,'Données projet'!$E$12+1,1))-AVERAGE(OFFSET($H$3,0,0,'Données projet'!$E$12+1,1))</f>
        <v>306.06916761900357</v>
      </c>
      <c r="CE114" s="59">
        <f t="shared" si="94"/>
        <v>258.90832875500337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1.1536622869184337E-13</v>
      </c>
      <c r="CN114" s="22">
        <f t="shared" si="66"/>
        <v>1.1536622869184337E-13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4.0999999999999996</v>
      </c>
      <c r="CT114" s="12">
        <f>IF('Données projet'!$A$140&gt;35,CT113+CS114-DB113,IF(A114&lt;'Données projet'!$A$140,$CQ$205^A114,IF(A114='Données projet'!$A$140,'Données projet'!$B$140,CT113+CS114-DB113)))</f>
        <v>269.10000000000036</v>
      </c>
      <c r="CU114" s="17">
        <f>CT114*VLOOKUP('Données projet'!$B$13,Paramètres!$A$1:$I$89,3,0)*VLOOKUP('Données projet'!$B$13,Paramètres!$A$1:$I$89,5,0)</f>
        <v>180.51228000000023</v>
      </c>
      <c r="CV114" s="13">
        <f t="shared" si="95"/>
        <v>45.43614017018303</v>
      </c>
      <c r="CW114" s="20">
        <f t="shared" si="67"/>
        <v>393.52683179640252</v>
      </c>
      <c r="CX114" s="59">
        <f t="shared" si="68"/>
        <v>673.72019409102609</v>
      </c>
      <c r="CY114" s="59">
        <f ca="1">AVERAGE(OFFSET($CX$3,0,0,'Données projet'!$E$13+1,1))-AVERAGE(OFFSET($H$3,0,0,'Données projet'!$E$13+1,1))</f>
        <v>324.58754156328285</v>
      </c>
      <c r="CZ114" s="59">
        <f t="shared" si="96"/>
        <v>226.01037731977604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6.9959264322104989E-14</v>
      </c>
      <c r="DI114" s="22">
        <f t="shared" si="69"/>
        <v>6.9959264322104989E-14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3.4106051316484809E-13</v>
      </c>
      <c r="DP114" s="17">
        <f>DO114*VLOOKUP('Données projet'!$B$14,Paramètres!$A$1:$I$89,3,0)*VLOOKUP('Données projet'!$B$14,Paramètres!$A$1:$I$89,5,0)</f>
        <v>1.5961632016114892E-13</v>
      </c>
      <c r="DQ114" s="13">
        <f t="shared" si="97"/>
        <v>2.2708641912150958E-12</v>
      </c>
      <c r="DR114" s="20">
        <f t="shared" si="70"/>
        <v>4.2330868906469593E-12</v>
      </c>
      <c r="DS114" s="59">
        <f t="shared" si="71"/>
        <v>280.19336229462778</v>
      </c>
      <c r="DT114" s="59">
        <f ca="1">AVERAGE(OFFSET($DS$3,0,0,'Données projet'!$E$14+1,1))-AVERAGE(OFFSET($H$3,0,0,'Données projet'!$E$14+1,1))</f>
        <v>325.93182817189722</v>
      </c>
      <c r="DU114" s="59">
        <f t="shared" si="98"/>
        <v>280.04509991782709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0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5.6843418860808015E-14</v>
      </c>
      <c r="EK114" s="17">
        <f>EJ114*VLOOKUP('Données projet'!$B$15,Paramètres!$A$1:$I$89,3,0)*VLOOKUP('Données projet'!$B$15,Paramètres!$A$1:$I$89,5,0)</f>
        <v>4.5224624045658861E-14</v>
      </c>
      <c r="EL114" s="13">
        <f t="shared" si="99"/>
        <v>7.4514601661523691E-13</v>
      </c>
      <c r="EM114" s="20">
        <f t="shared" si="73"/>
        <v>1.3765621991510601E-12</v>
      </c>
      <c r="EN114" s="59">
        <f t="shared" si="74"/>
        <v>280.19336229462493</v>
      </c>
      <c r="EO114" s="59">
        <f ca="1">AVERAGE(OFFSET($EN$3,0,0,'Données projet'!$E$15+1,1))-AVERAGE(OFFSET($H$3,0,0,'Données projet'!$E$15+1,1))</f>
        <v>333.52903437536651</v>
      </c>
      <c r="EP114" s="59">
        <f t="shared" si="100"/>
        <v>359.47288701414777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0.40037198048557665</v>
      </c>
      <c r="EX114" s="21">
        <f>EXP(-LN(2)/2)*EX113+(1-EXP(-LN(2)/2))/(LN(2)/2)*ER114*EU114*VLOOKUP('Données projet'!$B$15,Paramètres!$A$1:$I$89,3,0)*0.475*44/12</f>
        <v>1.6217829456487976E-13</v>
      </c>
      <c r="EY114" s="22">
        <f t="shared" si="75"/>
        <v>0.40037198048573885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-2.8421709430404007E-13</v>
      </c>
      <c r="FF114" s="17">
        <f>FE114*VLOOKUP('Données projet'!$B$16,Paramètres!$A$1:$I$89,3,0)*VLOOKUP('Données projet'!$B$16,Paramètres!$A$1:$I$89,5,0)</f>
        <v>-1.69961822393816E-13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313.26988717307376</v>
      </c>
      <c r="FK114" s="59">
        <f t="shared" si="102"/>
        <v>248.17359813993201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0.46865698019445262</v>
      </c>
      <c r="FR114" s="21">
        <f>EXP(-LN(2)/25)*FR113+(1-EXP(-LN(2)/25))/(LN(2)/25)*Calculateur!FM114*Calculateur!FO114*VLOOKUP('Données projet'!$B$16,Paramètres!$A$1:$I$89,3,0)*0.475*44/12</f>
        <v>0.79797626495895757</v>
      </c>
      <c r="FS114" s="21">
        <f>EXP(-LN(2)/2)*FS113+(1-EXP(-LN(2)/2))/(LN(2)/2)*FM114*FP114*VLOOKUP('Données projet'!$B$16,Paramètres!$A$1:$I$89,3,0)*0.475*44/12</f>
        <v>2.7076825973557891E-12</v>
      </c>
      <c r="FT114" s="22">
        <f t="shared" si="78"/>
        <v>1.2666332451561177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3</v>
      </c>
      <c r="FZ114" s="12">
        <f>IF('Données projet'!$A$244&gt;35,FZ113+FY114-GH113,IF(A114&lt;'Données projet'!$A$244,$FW$205^A114,IF(A114='Données projet'!$A$244,'Données projet'!$B$244,FZ113+FY114-GH113)))</f>
        <v>174.00000000000009</v>
      </c>
      <c r="GA114" s="17">
        <f>FZ114*VLOOKUP('Données projet'!$B$17,Paramètres!$A$1:$I$89,3,0)*VLOOKUP('Données projet'!$B$17,Paramètres!$A$1:$I$89,5,0)</f>
        <v>187.29360000000008</v>
      </c>
      <c r="GB114" s="13">
        <f t="shared" si="103"/>
        <v>46.941107550760456</v>
      </c>
      <c r="GC114" s="20">
        <f t="shared" si="79"/>
        <v>407.95878231757456</v>
      </c>
      <c r="GD114" s="59">
        <f t="shared" si="80"/>
        <v>688.15214461219807</v>
      </c>
      <c r="GE114" s="59">
        <f ca="1">AVERAGE(OFFSET($GD$3,0,0,'Données projet'!$E$17+1,1))-AVERAGE(OFFSET($H$3,0,0,'Données projet'!$E$17+1,1))</f>
        <v>313.51355235711543</v>
      </c>
      <c r="GF114" s="59">
        <f t="shared" si="104"/>
        <v>186.0840067781198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0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0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4.0999999999999996</v>
      </c>
      <c r="N115" s="13">
        <f>IF('Données projet'!$A$36&gt;35,N114+M115-V114,IF(A115&lt;'Données projet'!$A$36,$K$205^A115,IF(A115='Données projet'!$A$36,'Données projet'!$B$36,N114+M115-V114)))</f>
        <v>273.20000000000039</v>
      </c>
      <c r="O115" s="13">
        <f>N115*VLOOKUP('Données projet'!$B$9,Paramètres!$A$1:$I$89,3,0)*VLOOKUP('Données projet'!$B$9,Paramètres!$A$1:$I$89,5,0)</f>
        <v>277.02480000000043</v>
      </c>
      <c r="P115" s="13">
        <f t="shared" si="87"/>
        <v>66.337873221533584</v>
      </c>
      <c r="Q115" s="20">
        <f t="shared" si="107"/>
        <v>598.02332252750512</v>
      </c>
      <c r="R115" s="59">
        <f t="shared" si="55"/>
        <v>878.44463394307604</v>
      </c>
      <c r="S115" s="59">
        <f ca="1">AVERAGE(OFFSET($R$3,0,0,'Données projet'!$E$9+1,1))-AVERAGE(OFFSET($H$3,0,0,'Données projet'!$E$9+1,1))</f>
        <v>452.67426184967104</v>
      </c>
      <c r="T115" s="59">
        <f t="shared" si="88"/>
        <v>310.47823616327639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2.8846153846153868</v>
      </c>
      <c r="AI115" s="13">
        <f>IF('Données projet'!$A$62&gt;35,AI114+AH115-AQ114,IF(A115&lt;'Données projet'!$A$62,$AF$205^A115,IF(A115='Données projet'!$A$62,'Données projet'!$B$62,AI114+AH115-AQ114)))</f>
        <v>307.69230769230739</v>
      </c>
      <c r="AJ115" s="13">
        <f>AI115*VLOOKUP('Données projet'!$B$10,Paramètres!$A$1:$I$89,3,0)*VLOOKUP('Données projet'!$B$10,Paramètres!$A$1:$I$89,5,0)</f>
        <v>321.59999999999974</v>
      </c>
      <c r="AK115" s="13">
        <f t="shared" si="89"/>
        <v>75.686168081957248</v>
      </c>
      <c r="AL115" s="20">
        <f t="shared" si="58"/>
        <v>691.940076076075</v>
      </c>
      <c r="AM115" s="59">
        <f t="shared" si="59"/>
        <v>972.36138749164593</v>
      </c>
      <c r="AN115" s="59">
        <f ca="1">AVERAGE(OFFSET($AM$3,0,0,'Données projet'!$E$10+1,1))-AVERAGE(OFFSET($H$3,0,0,'Données projet'!$E$10+1,1))</f>
        <v>528.45201982036087</v>
      </c>
      <c r="AO115" s="59">
        <f t="shared" si="90"/>
        <v>321.23004033257985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4.4917885076188945E-14</v>
      </c>
      <c r="AX115" s="21">
        <f t="shared" si="60"/>
        <v>4.4917885076188945E-14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3</v>
      </c>
      <c r="BD115" s="12">
        <f>IF('Données projet'!$A$88&gt;35,BD114+BC115-BL114,IF(A115&lt;'Données projet'!$A$88,$BA$205^A115,IF(A115='Données projet'!$A$88,'Données projet'!$B$88,BD114+BC115-BL114)))</f>
        <v>177.00000000000009</v>
      </c>
      <c r="BE115" s="13">
        <f>BD115*VLOOKUP('Données projet'!$B$11,Paramètres!$A$1:$I$89,3,0)*VLOOKUP('Données projet'!$B$11,Paramètres!$A$1:$I$89,5,0)</f>
        <v>171.19440000000009</v>
      </c>
      <c r="BF115" s="13">
        <f t="shared" si="91"/>
        <v>43.35742035290977</v>
      </c>
      <c r="BG115" s="20">
        <f t="shared" si="61"/>
        <v>373.67775378131802</v>
      </c>
      <c r="BH115" s="59">
        <f t="shared" si="62"/>
        <v>654.09906519688889</v>
      </c>
      <c r="BI115" s="59">
        <f ca="1">AVERAGE(OFFSET($BH$3,0,0,'Données projet'!$E$11+1,1))-AVERAGE(OFFSET($H$3,0,0,'Données projet'!$E$11+1,1))</f>
        <v>289.06522051625166</v>
      </c>
      <c r="BJ115" s="59">
        <f t="shared" si="92"/>
        <v>173.19148969173838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234.00000000000045</v>
      </c>
      <c r="BZ115" s="13">
        <f>BY115*VLOOKUP('Données projet'!$B$12,Paramètres!$A$1:$I$89,3,0)*VLOOKUP('Données projet'!$B$12,Paramètres!$A$1:$I$89,5,0)</f>
        <v>189.82080000000036</v>
      </c>
      <c r="CA115" s="13">
        <f t="shared" si="93"/>
        <v>47.500332100049881</v>
      </c>
      <c r="CB115" s="20">
        <f t="shared" si="64"/>
        <v>413.33430507425419</v>
      </c>
      <c r="CC115" s="59">
        <f t="shared" si="65"/>
        <v>693.75561648982512</v>
      </c>
      <c r="CD115" s="59">
        <f ca="1">AVERAGE(OFFSET($CC$3,0,0,'Données projet'!$E$12+1,1))-AVERAGE(OFFSET($H$3,0,0,'Données projet'!$E$12+1,1))</f>
        <v>306.06916761900357</v>
      </c>
      <c r="CE115" s="59">
        <f t="shared" si="94"/>
        <v>258.90832875500337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8.1576242627920494E-14</v>
      </c>
      <c r="CN115" s="22">
        <f t="shared" si="66"/>
        <v>8.1576242627920494E-14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4.0999999999999996</v>
      </c>
      <c r="CT115" s="12">
        <f>IF('Données projet'!$A$140&gt;35,CT114+CS115-DB114,IF(A115&lt;'Données projet'!$A$140,$CQ$205^A115,IF(A115='Données projet'!$A$140,'Données projet'!$B$140,CT114+CS115-DB114)))</f>
        <v>273.20000000000039</v>
      </c>
      <c r="CU115" s="17">
        <f>CT115*VLOOKUP('Données projet'!$B$13,Paramètres!$A$1:$I$89,3,0)*VLOOKUP('Données projet'!$B$13,Paramètres!$A$1:$I$89,5,0)</f>
        <v>183.26256000000026</v>
      </c>
      <c r="CV115" s="13">
        <f t="shared" si="95"/>
        <v>46.047285068085237</v>
      </c>
      <c r="CW115" s="20">
        <f t="shared" si="67"/>
        <v>399.38131349358224</v>
      </c>
      <c r="CX115" s="59">
        <f t="shared" si="68"/>
        <v>679.80262490915311</v>
      </c>
      <c r="CY115" s="59">
        <f ca="1">AVERAGE(OFFSET($CX$3,0,0,'Données projet'!$E$13+1,1))-AVERAGE(OFFSET($H$3,0,0,'Données projet'!$E$13+1,1))</f>
        <v>324.58754156328285</v>
      </c>
      <c r="CZ115" s="59">
        <f t="shared" si="96"/>
        <v>226.01037731977604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4.9468670208982534E-14</v>
      </c>
      <c r="DI115" s="22">
        <f t="shared" si="69"/>
        <v>4.9468670208982534E-14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3.4106051316484809E-13</v>
      </c>
      <c r="DP115" s="17">
        <f>DO115*VLOOKUP('Données projet'!$B$14,Paramètres!$A$1:$I$89,3,0)*VLOOKUP('Données projet'!$B$14,Paramètres!$A$1:$I$89,5,0)</f>
        <v>1.5961632016114892E-13</v>
      </c>
      <c r="DQ115" s="13">
        <f t="shared" si="97"/>
        <v>2.2708641912150958E-12</v>
      </c>
      <c r="DR115" s="20">
        <f t="shared" si="70"/>
        <v>4.2330868906469593E-12</v>
      </c>
      <c r="DS115" s="59">
        <f t="shared" si="71"/>
        <v>280.42131141557508</v>
      </c>
      <c r="DT115" s="59">
        <f ca="1">AVERAGE(OFFSET($DS$3,0,0,'Données projet'!$E$14+1,1))-AVERAGE(OFFSET($H$3,0,0,'Données projet'!$E$14+1,1))</f>
        <v>325.93182817189722</v>
      </c>
      <c r="DU115" s="59">
        <f t="shared" si="98"/>
        <v>280.04509991782709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0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5.6843418860808015E-14</v>
      </c>
      <c r="EK115" s="17">
        <f>EJ115*VLOOKUP('Données projet'!$B$15,Paramètres!$A$1:$I$89,3,0)*VLOOKUP('Données projet'!$B$15,Paramètres!$A$1:$I$89,5,0)</f>
        <v>4.5224624045658861E-14</v>
      </c>
      <c r="EL115" s="13">
        <f t="shared" si="99"/>
        <v>7.4514601661523691E-13</v>
      </c>
      <c r="EM115" s="20">
        <f t="shared" si="73"/>
        <v>1.3765621991510601E-12</v>
      </c>
      <c r="EN115" s="59">
        <f t="shared" si="74"/>
        <v>280.42131141557223</v>
      </c>
      <c r="EO115" s="59">
        <f ca="1">AVERAGE(OFFSET($EN$3,0,0,'Données projet'!$E$15+1,1))-AVERAGE(OFFSET($H$3,0,0,'Données projet'!$E$15+1,1))</f>
        <v>333.52903437536651</v>
      </c>
      <c r="EP115" s="59">
        <f t="shared" si="100"/>
        <v>359.47288701414777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0.38942378762455115</v>
      </c>
      <c r="EX115" s="21">
        <f>EXP(-LN(2)/2)*EX114+(1-EXP(-LN(2)/2))/(LN(2)/2)*ER115*EU115*VLOOKUP('Données projet'!$B$15,Paramètres!$A$1:$I$89,3,0)*0.475*44/12</f>
        <v>1.1467737184809587E-13</v>
      </c>
      <c r="EY115" s="22">
        <f t="shared" si="75"/>
        <v>0.38942378762466584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-2.8421709430404007E-13</v>
      </c>
      <c r="FF115" s="17">
        <f>FE115*VLOOKUP('Données projet'!$B$16,Paramètres!$A$1:$I$89,3,0)*VLOOKUP('Données projet'!$B$16,Paramètres!$A$1:$I$89,5,0)</f>
        <v>-1.69961822393816E-13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313.26988717307376</v>
      </c>
      <c r="FK115" s="59">
        <f t="shared" si="102"/>
        <v>248.17359813993201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0.45946690266537171</v>
      </c>
      <c r="FR115" s="21">
        <f>EXP(-LN(2)/25)*FR114+(1-EXP(-LN(2)/25))/(LN(2)/25)*Calculateur!FM115*Calculateur!FO115*VLOOKUP('Données projet'!$B$16,Paramètres!$A$1:$I$89,3,0)*0.475*44/12</f>
        <v>0.77615556202990688</v>
      </c>
      <c r="FS115" s="21">
        <f>EXP(-LN(2)/2)*FS114+(1-EXP(-LN(2)/2))/(LN(2)/2)*FM115*FP115*VLOOKUP('Données projet'!$B$16,Paramètres!$A$1:$I$89,3,0)*0.475*44/12</f>
        <v>1.9146207258910825E-12</v>
      </c>
      <c r="FT115" s="22">
        <f t="shared" si="78"/>
        <v>1.2356224646971932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3</v>
      </c>
      <c r="FZ115" s="12">
        <f>IF('Données projet'!$A$244&gt;35,FZ114+FY115-GH114,IF(A115&lt;'Données projet'!$A$244,$FW$205^A115,IF(A115='Données projet'!$A$244,'Données projet'!$B$244,FZ114+FY115-GH114)))</f>
        <v>177.00000000000009</v>
      </c>
      <c r="GA115" s="17">
        <f>FZ115*VLOOKUP('Données projet'!$B$17,Paramètres!$A$1:$I$89,3,0)*VLOOKUP('Données projet'!$B$17,Paramètres!$A$1:$I$89,5,0)</f>
        <v>190.52280000000007</v>
      </c>
      <c r="GB115" s="13">
        <f t="shared" si="103"/>
        <v>47.655518017541539</v>
      </c>
      <c r="GC115" s="20">
        <f t="shared" si="79"/>
        <v>414.82723721388493</v>
      </c>
      <c r="GD115" s="59">
        <f t="shared" si="80"/>
        <v>695.24854862945585</v>
      </c>
      <c r="GE115" s="59">
        <f ca="1">AVERAGE(OFFSET($GD$3,0,0,'Données projet'!$E$17+1,1))-AVERAGE(OFFSET($H$3,0,0,'Données projet'!$E$17+1,1))</f>
        <v>313.51355235711543</v>
      </c>
      <c r="GF115" s="59">
        <f t="shared" si="104"/>
        <v>186.0840067781198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0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0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4.0999999999999996</v>
      </c>
      <c r="N116" s="13">
        <f>IF('Données projet'!$A$36&gt;35,N115+M116-V115,IF(A116&lt;'Données projet'!$A$36,$K$205^A116,IF(A116='Données projet'!$A$36,'Données projet'!$B$36,N115+M116-V115)))</f>
        <v>277.30000000000041</v>
      </c>
      <c r="O116" s="13">
        <f>N116*VLOOKUP('Données projet'!$B$9,Paramètres!$A$1:$I$89,3,0)*VLOOKUP('Données projet'!$B$9,Paramètres!$A$1:$I$89,5,0)</f>
        <v>281.18220000000042</v>
      </c>
      <c r="P116" s="13">
        <f t="shared" si="87"/>
        <v>67.21678043047504</v>
      </c>
      <c r="Q116" s="20">
        <f t="shared" si="107"/>
        <v>606.79489091641142</v>
      </c>
      <c r="R116" s="59">
        <f t="shared" si="55"/>
        <v>887.4401970452991</v>
      </c>
      <c r="S116" s="59">
        <f ca="1">AVERAGE(OFFSET($R$3,0,0,'Données projet'!$E$9+1,1))-AVERAGE(OFFSET($H$3,0,0,'Données projet'!$E$9+1,1))</f>
        <v>452.67426184967104</v>
      </c>
      <c r="T116" s="59">
        <f t="shared" si="88"/>
        <v>310.47823616327639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2.8846153846153868</v>
      </c>
      <c r="AI116" s="13">
        <f>IF('Données projet'!$A$62&gt;35,AI115+AH116-AQ115,IF(A116&lt;'Données projet'!$A$62,$AF$205^A116,IF(A116='Données projet'!$A$62,'Données projet'!$B$62,AI115+AH116-AQ115)))</f>
        <v>310.57692307692275</v>
      </c>
      <c r="AJ116" s="13">
        <f>AI116*VLOOKUP('Données projet'!$B$10,Paramètres!$A$1:$I$89,3,0)*VLOOKUP('Données projet'!$B$10,Paramètres!$A$1:$I$89,5,0)</f>
        <v>324.61499999999967</v>
      </c>
      <c r="AK116" s="13">
        <f t="shared" si="89"/>
        <v>76.312792476440876</v>
      </c>
      <c r="AL116" s="20">
        <f t="shared" si="58"/>
        <v>698.28257189646729</v>
      </c>
      <c r="AM116" s="59">
        <f t="shared" si="59"/>
        <v>978.92787802535486</v>
      </c>
      <c r="AN116" s="59">
        <f ca="1">AVERAGE(OFFSET($AM$3,0,0,'Données projet'!$E$10+1,1))-AVERAGE(OFFSET($H$3,0,0,'Données projet'!$E$10+1,1))</f>
        <v>528.45201982036087</v>
      </c>
      <c r="AO116" s="59">
        <f t="shared" si="90"/>
        <v>321.23004033257985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3.1761741133931224E-14</v>
      </c>
      <c r="AX116" s="21">
        <f t="shared" si="60"/>
        <v>3.1761741133931224E-14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3</v>
      </c>
      <c r="BD116" s="12">
        <f>IF('Données projet'!$A$88&gt;35,BD115+BC116-BL115,IF(A116&lt;'Données projet'!$A$88,$BA$205^A116,IF(A116='Données projet'!$A$88,'Données projet'!$B$88,BD115+BC116-BL115)))</f>
        <v>180.00000000000009</v>
      </c>
      <c r="BE116" s="13">
        <f>BD116*VLOOKUP('Données projet'!$B$11,Paramètres!$A$1:$I$89,3,0)*VLOOKUP('Données projet'!$B$11,Paramètres!$A$1:$I$89,5,0)</f>
        <v>174.09600000000009</v>
      </c>
      <c r="BF116" s="13">
        <f t="shared" si="91"/>
        <v>44.00611631426144</v>
      </c>
      <c r="BG116" s="20">
        <f t="shared" si="61"/>
        <v>379.86118591400549</v>
      </c>
      <c r="BH116" s="59">
        <f t="shared" si="62"/>
        <v>660.50649204289311</v>
      </c>
      <c r="BI116" s="59">
        <f ca="1">AVERAGE(OFFSET($BH$3,0,0,'Données projet'!$E$11+1,1))-AVERAGE(OFFSET($H$3,0,0,'Données projet'!$E$11+1,1))</f>
        <v>289.06522051625166</v>
      </c>
      <c r="BJ116" s="59">
        <f t="shared" si="92"/>
        <v>173.19148969173838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234.00000000000045</v>
      </c>
      <c r="BZ116" s="13">
        <f>BY116*VLOOKUP('Données projet'!$B$12,Paramètres!$A$1:$I$89,3,0)*VLOOKUP('Données projet'!$B$12,Paramètres!$A$1:$I$89,5,0)</f>
        <v>189.82080000000036</v>
      </c>
      <c r="CA116" s="13">
        <f t="shared" si="93"/>
        <v>47.500332100049881</v>
      </c>
      <c r="CB116" s="20">
        <f t="shared" si="64"/>
        <v>413.33430507425419</v>
      </c>
      <c r="CC116" s="59">
        <f t="shared" si="65"/>
        <v>693.97961120314176</v>
      </c>
      <c r="CD116" s="59">
        <f ca="1">AVERAGE(OFFSET($CC$3,0,0,'Données projet'!$E$12+1,1))-AVERAGE(OFFSET($H$3,0,0,'Données projet'!$E$12+1,1))</f>
        <v>306.06916761900357</v>
      </c>
      <c r="CE116" s="59">
        <f t="shared" si="94"/>
        <v>258.90832875500337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5.7683114345921686E-14</v>
      </c>
      <c r="CN116" s="22">
        <f t="shared" si="66"/>
        <v>5.7683114345921686E-14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4.0999999999999996</v>
      </c>
      <c r="CT116" s="12">
        <f>IF('Données projet'!$A$140&gt;35,CT115+CS116-DB115,IF(A116&lt;'Données projet'!$A$140,$CQ$205^A116,IF(A116='Données projet'!$A$140,'Données projet'!$B$140,CT115+CS116-DB115)))</f>
        <v>277.30000000000041</v>
      </c>
      <c r="CU116" s="17">
        <f>CT116*VLOOKUP('Données projet'!$B$13,Paramètres!$A$1:$I$89,3,0)*VLOOKUP('Données projet'!$B$13,Paramètres!$A$1:$I$89,5,0)</f>
        <v>186.01284000000027</v>
      </c>
      <c r="CV116" s="13">
        <f t="shared" si="95"/>
        <v>46.657363275798765</v>
      </c>
      <c r="CW116" s="20">
        <f t="shared" si="67"/>
        <v>405.23393737201667</v>
      </c>
      <c r="CX116" s="59">
        <f t="shared" si="68"/>
        <v>685.87924350090429</v>
      </c>
      <c r="CY116" s="59">
        <f ca="1">AVERAGE(OFFSET($CX$3,0,0,'Données projet'!$E$13+1,1))-AVERAGE(OFFSET($H$3,0,0,'Données projet'!$E$13+1,1))</f>
        <v>324.58754156328285</v>
      </c>
      <c r="CZ116" s="59">
        <f t="shared" si="96"/>
        <v>226.01037731977604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3.4979632161052495E-14</v>
      </c>
      <c r="DI116" s="22">
        <f t="shared" si="69"/>
        <v>3.4979632161052495E-14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3.4106051316484809E-13</v>
      </c>
      <c r="DP116" s="17">
        <f>DO116*VLOOKUP('Données projet'!$B$14,Paramètres!$A$1:$I$89,3,0)*VLOOKUP('Données projet'!$B$14,Paramètres!$A$1:$I$89,5,0)</f>
        <v>1.5961632016114892E-13</v>
      </c>
      <c r="DQ116" s="13">
        <f t="shared" si="97"/>
        <v>2.2708641912150958E-12</v>
      </c>
      <c r="DR116" s="20">
        <f t="shared" si="70"/>
        <v>4.2330868906469593E-12</v>
      </c>
      <c r="DS116" s="59">
        <f t="shared" si="71"/>
        <v>280.64530612889183</v>
      </c>
      <c r="DT116" s="59">
        <f ca="1">AVERAGE(OFFSET($DS$3,0,0,'Données projet'!$E$14+1,1))-AVERAGE(OFFSET($H$3,0,0,'Données projet'!$E$14+1,1))</f>
        <v>325.93182817189722</v>
      </c>
      <c r="DU116" s="59">
        <f t="shared" si="98"/>
        <v>280.04509991782709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0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5.6843418860808015E-14</v>
      </c>
      <c r="EK116" s="17">
        <f>EJ116*VLOOKUP('Données projet'!$B$15,Paramètres!$A$1:$I$89,3,0)*VLOOKUP('Données projet'!$B$15,Paramètres!$A$1:$I$89,5,0)</f>
        <v>4.5224624045658861E-14</v>
      </c>
      <c r="EL116" s="13">
        <f t="shared" si="99"/>
        <v>7.4514601661523691E-13</v>
      </c>
      <c r="EM116" s="20">
        <f t="shared" si="73"/>
        <v>1.3765621991510601E-12</v>
      </c>
      <c r="EN116" s="59">
        <f t="shared" si="74"/>
        <v>280.64530612888899</v>
      </c>
      <c r="EO116" s="59">
        <f ca="1">AVERAGE(OFFSET($EN$3,0,0,'Données projet'!$E$15+1,1))-AVERAGE(OFFSET($H$3,0,0,'Données projet'!$E$15+1,1))</f>
        <v>333.52903437536651</v>
      </c>
      <c r="EP116" s="59">
        <f t="shared" si="100"/>
        <v>359.47288701414777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0.37877497367305085</v>
      </c>
      <c r="EX116" s="21">
        <f>EXP(-LN(2)/2)*EX115+(1-EXP(-LN(2)/2))/(LN(2)/2)*ER116*EU116*VLOOKUP('Données projet'!$B$15,Paramètres!$A$1:$I$89,3,0)*0.475*44/12</f>
        <v>8.1089147282439878E-14</v>
      </c>
      <c r="EY116" s="22">
        <f t="shared" si="75"/>
        <v>0.37877497367313195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-2.8421709430404007E-13</v>
      </c>
      <c r="FF116" s="17">
        <f>FE116*VLOOKUP('Données projet'!$B$16,Paramètres!$A$1:$I$89,3,0)*VLOOKUP('Données projet'!$B$16,Paramètres!$A$1:$I$89,5,0)</f>
        <v>-1.69961822393816E-13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313.26988717307376</v>
      </c>
      <c r="FK116" s="59">
        <f t="shared" si="102"/>
        <v>248.17359813993201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0.45045703695124228</v>
      </c>
      <c r="FR116" s="21">
        <f>EXP(-LN(2)/25)*FR115+(1-EXP(-LN(2)/25))/(LN(2)/25)*Calculateur!FM116*Calculateur!FO116*VLOOKUP('Données projet'!$B$16,Paramètres!$A$1:$I$89,3,0)*0.475*44/12</f>
        <v>0.75493154736995194</v>
      </c>
      <c r="FS116" s="21">
        <f>EXP(-LN(2)/2)*FS115+(1-EXP(-LN(2)/2))/(LN(2)/2)*FM116*FP116*VLOOKUP('Données projet'!$B$16,Paramètres!$A$1:$I$89,3,0)*0.475*44/12</f>
        <v>1.3538412986778945E-12</v>
      </c>
      <c r="FT116" s="22">
        <f t="shared" si="78"/>
        <v>1.205388584322548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3</v>
      </c>
      <c r="FZ116" s="12">
        <f>IF('Données projet'!$A$244&gt;35,FZ115+FY116-GH115,IF(A116&lt;'Données projet'!$A$244,$FW$205^A116,IF(A116='Données projet'!$A$244,'Données projet'!$B$244,FZ115+FY116-GH115)))</f>
        <v>180.00000000000009</v>
      </c>
      <c r="GA116" s="17">
        <f>FZ116*VLOOKUP('Données projet'!$B$17,Paramètres!$A$1:$I$89,3,0)*VLOOKUP('Données projet'!$B$17,Paramètres!$A$1:$I$89,5,0)</f>
        <v>193.75200000000007</v>
      </c>
      <c r="GB116" s="13">
        <f t="shared" si="103"/>
        <v>48.368520355376113</v>
      </c>
      <c r="GC116" s="20">
        <f t="shared" si="79"/>
        <v>421.69323961894685</v>
      </c>
      <c r="GD116" s="59">
        <f t="shared" si="80"/>
        <v>702.33854574783447</v>
      </c>
      <c r="GE116" s="59">
        <f ca="1">AVERAGE(OFFSET($GD$3,0,0,'Données projet'!$E$17+1,1))-AVERAGE(OFFSET($H$3,0,0,'Données projet'!$E$17+1,1))</f>
        <v>313.51355235711543</v>
      </c>
      <c r="GF116" s="59">
        <f t="shared" si="104"/>
        <v>186.0840067781198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0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0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4.0999999999999996</v>
      </c>
      <c r="N117" s="13">
        <f>IF('Données projet'!$A$36&gt;35,N116+M117-V116,IF(A117&lt;'Données projet'!$A$36,$K$205^A117,IF(A117='Données projet'!$A$36,'Données projet'!$B$36,N116+M117-V116)))</f>
        <v>281.40000000000043</v>
      </c>
      <c r="O117" s="13">
        <f>N117*VLOOKUP('Données projet'!$B$9,Paramètres!$A$1:$I$89,3,0)*VLOOKUP('Données projet'!$B$9,Paramètres!$A$1:$I$89,5,0)</f>
        <v>285.33960000000047</v>
      </c>
      <c r="P117" s="13">
        <f t="shared" si="87"/>
        <v>68.094176261531345</v>
      </c>
      <c r="Q117" s="20">
        <f t="shared" si="107"/>
        <v>615.56382698883453</v>
      </c>
      <c r="R117" s="59">
        <f t="shared" si="55"/>
        <v>896.42924202353993</v>
      </c>
      <c r="S117" s="59">
        <f ca="1">AVERAGE(OFFSET($R$3,0,0,'Données projet'!$E$9+1,1))-AVERAGE(OFFSET($H$3,0,0,'Données projet'!$E$9+1,1))</f>
        <v>452.67426184967104</v>
      </c>
      <c r="T117" s="59">
        <f t="shared" si="88"/>
        <v>310.47823616327639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2.8846153846153868</v>
      </c>
      <c r="AI117" s="13">
        <f>IF('Données projet'!$A$62&gt;35,AI116+AH117-AQ116,IF(A117&lt;'Données projet'!$A$62,$AF$205^A117,IF(A117='Données projet'!$A$62,'Données projet'!$B$62,AI116+AH117-AQ116)))</f>
        <v>313.46153846153811</v>
      </c>
      <c r="AJ117" s="13">
        <f>AI117*VLOOKUP('Données projet'!$B$10,Paramètres!$A$1:$I$89,3,0)*VLOOKUP('Données projet'!$B$10,Paramètres!$A$1:$I$89,5,0)</f>
        <v>327.62999999999965</v>
      </c>
      <c r="AK117" s="13">
        <f t="shared" si="89"/>
        <v>76.938739773947404</v>
      </c>
      <c r="AL117" s="20">
        <f t="shared" si="58"/>
        <v>704.62388843962447</v>
      </c>
      <c r="AM117" s="59">
        <f t="shared" si="59"/>
        <v>985.48930347432997</v>
      </c>
      <c r="AN117" s="59">
        <f ca="1">AVERAGE(OFFSET($AM$3,0,0,'Données projet'!$E$10+1,1))-AVERAGE(OFFSET($H$3,0,0,'Données projet'!$E$10+1,1))</f>
        <v>528.45201982036087</v>
      </c>
      <c r="AO117" s="59">
        <f t="shared" si="90"/>
        <v>321.23004033257985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2.2458942538094473E-14</v>
      </c>
      <c r="AX117" s="21">
        <f t="shared" si="60"/>
        <v>2.2458942538094473E-14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3</v>
      </c>
      <c r="BD117" s="12">
        <f>IF('Données projet'!$A$88&gt;35,BD116+BC117-BL116,IF(A117&lt;'Données projet'!$A$88,$BA$205^A117,IF(A117='Données projet'!$A$88,'Données projet'!$B$88,BD116+BC117-BL116)))</f>
        <v>183.00000000000009</v>
      </c>
      <c r="BE117" s="13">
        <f>BD117*VLOOKUP('Données projet'!$B$11,Paramètres!$A$1:$I$89,3,0)*VLOOKUP('Données projet'!$B$11,Paramètres!$A$1:$I$89,5,0)</f>
        <v>176.99760000000009</v>
      </c>
      <c r="BF117" s="13">
        <f t="shared" si="91"/>
        <v>44.65355496383409</v>
      </c>
      <c r="BG117" s="20">
        <f t="shared" si="61"/>
        <v>386.04242822867786</v>
      </c>
      <c r="BH117" s="59">
        <f t="shared" si="62"/>
        <v>666.90784326338326</v>
      </c>
      <c r="BI117" s="59">
        <f ca="1">AVERAGE(OFFSET($BH$3,0,0,'Données projet'!$E$11+1,1))-AVERAGE(OFFSET($H$3,0,0,'Données projet'!$E$11+1,1))</f>
        <v>289.06522051625166</v>
      </c>
      <c r="BJ117" s="59">
        <f t="shared" si="92"/>
        <v>173.19148969173838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234.00000000000045</v>
      </c>
      <c r="BZ117" s="13">
        <f>BY117*VLOOKUP('Données projet'!$B$12,Paramètres!$A$1:$I$89,3,0)*VLOOKUP('Données projet'!$B$12,Paramètres!$A$1:$I$89,5,0)</f>
        <v>189.82080000000036</v>
      </c>
      <c r="CA117" s="13">
        <f t="shared" si="93"/>
        <v>47.500332100049881</v>
      </c>
      <c r="CB117" s="20">
        <f t="shared" si="64"/>
        <v>413.33430507425419</v>
      </c>
      <c r="CC117" s="59">
        <f t="shared" si="65"/>
        <v>694.19972010895958</v>
      </c>
      <c r="CD117" s="59">
        <f ca="1">AVERAGE(OFFSET($CC$3,0,0,'Données projet'!$E$12+1,1))-AVERAGE(OFFSET($H$3,0,0,'Données projet'!$E$12+1,1))</f>
        <v>306.06916761900357</v>
      </c>
      <c r="CE117" s="59">
        <f t="shared" si="94"/>
        <v>258.90832875500337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4.0788121313960247E-14</v>
      </c>
      <c r="CN117" s="22">
        <f t="shared" si="66"/>
        <v>4.0788121313960247E-14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4.0999999999999996</v>
      </c>
      <c r="CT117" s="12">
        <f>IF('Données projet'!$A$140&gt;35,CT116+CS117-DB116,IF(A117&lt;'Données projet'!$A$140,$CQ$205^A117,IF(A117='Données projet'!$A$140,'Données projet'!$B$140,CT116+CS117-DB116)))</f>
        <v>281.40000000000043</v>
      </c>
      <c r="CU117" s="17">
        <f>CT117*VLOOKUP('Données projet'!$B$13,Paramètres!$A$1:$I$89,3,0)*VLOOKUP('Données projet'!$B$13,Paramètres!$A$1:$I$89,5,0)</f>
        <v>188.7631200000003</v>
      </c>
      <c r="CV117" s="13">
        <f t="shared" si="95"/>
        <v>47.266392386745402</v>
      </c>
      <c r="CW117" s="20">
        <f t="shared" si="67"/>
        <v>411.08473407358207</v>
      </c>
      <c r="CX117" s="59">
        <f t="shared" si="68"/>
        <v>691.95014910828752</v>
      </c>
      <c r="CY117" s="59">
        <f ca="1">AVERAGE(OFFSET($CX$3,0,0,'Données projet'!$E$13+1,1))-AVERAGE(OFFSET($H$3,0,0,'Données projet'!$E$13+1,1))</f>
        <v>324.58754156328285</v>
      </c>
      <c r="CZ117" s="59">
        <f t="shared" si="96"/>
        <v>226.01037731977604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2.4734335104491267E-14</v>
      </c>
      <c r="DI117" s="22">
        <f t="shared" si="69"/>
        <v>2.4734335104491267E-14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3.4106051316484809E-13</v>
      </c>
      <c r="DP117" s="17">
        <f>DO117*VLOOKUP('Données projet'!$B$14,Paramètres!$A$1:$I$89,3,0)*VLOOKUP('Données projet'!$B$14,Paramètres!$A$1:$I$89,5,0)</f>
        <v>1.5961632016114892E-13</v>
      </c>
      <c r="DQ117" s="13">
        <f t="shared" si="97"/>
        <v>2.2708641912150958E-12</v>
      </c>
      <c r="DR117" s="20">
        <f t="shared" si="70"/>
        <v>4.2330868906469593E-12</v>
      </c>
      <c r="DS117" s="59">
        <f t="shared" si="71"/>
        <v>280.86541503470966</v>
      </c>
      <c r="DT117" s="59">
        <f ca="1">AVERAGE(OFFSET($DS$3,0,0,'Données projet'!$E$14+1,1))-AVERAGE(OFFSET($H$3,0,0,'Données projet'!$E$14+1,1))</f>
        <v>325.93182817189722</v>
      </c>
      <c r="DU117" s="59">
        <f t="shared" si="98"/>
        <v>280.04509991782709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0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5.6843418860808015E-14</v>
      </c>
      <c r="EK117" s="17">
        <f>EJ117*VLOOKUP('Données projet'!$B$15,Paramètres!$A$1:$I$89,3,0)*VLOOKUP('Données projet'!$B$15,Paramètres!$A$1:$I$89,5,0)</f>
        <v>4.5224624045658861E-14</v>
      </c>
      <c r="EL117" s="13">
        <f t="shared" si="99"/>
        <v>7.4514601661523691E-13</v>
      </c>
      <c r="EM117" s="20">
        <f t="shared" si="73"/>
        <v>1.3765621991510601E-12</v>
      </c>
      <c r="EN117" s="59">
        <f t="shared" si="74"/>
        <v>280.86541503470681</v>
      </c>
      <c r="EO117" s="59">
        <f ca="1">AVERAGE(OFFSET($EN$3,0,0,'Données projet'!$E$15+1,1))-AVERAGE(OFFSET($H$3,0,0,'Données projet'!$E$15+1,1))</f>
        <v>333.52903437536651</v>
      </c>
      <c r="EP117" s="59">
        <f t="shared" si="100"/>
        <v>359.47288701414777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0.36841735209905113</v>
      </c>
      <c r="EX117" s="21">
        <f>EXP(-LN(2)/2)*EX116+(1-EXP(-LN(2)/2))/(LN(2)/2)*ER117*EU117*VLOOKUP('Données projet'!$B$15,Paramètres!$A$1:$I$89,3,0)*0.475*44/12</f>
        <v>5.7338685924047937E-14</v>
      </c>
      <c r="EY117" s="22">
        <f t="shared" si="75"/>
        <v>0.36841735209910847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-2.8421709430404007E-13</v>
      </c>
      <c r="FF117" s="17">
        <f>FE117*VLOOKUP('Données projet'!$B$16,Paramètres!$A$1:$I$89,3,0)*VLOOKUP('Données projet'!$B$16,Paramètres!$A$1:$I$89,5,0)</f>
        <v>-1.69961822393816E-13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313.26988717307376</v>
      </c>
      <c r="FK117" s="59">
        <f t="shared" si="102"/>
        <v>248.17359813993201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0.44162384920829151</v>
      </c>
      <c r="FR117" s="21">
        <f>EXP(-LN(2)/25)*FR116+(1-EXP(-LN(2)/25))/(LN(2)/25)*Calculateur!FM117*Calculateur!FO117*VLOOKUP('Données projet'!$B$16,Paramètres!$A$1:$I$89,3,0)*0.475*44/12</f>
        <v>0.73428790450699599</v>
      </c>
      <c r="FS117" s="21">
        <f>EXP(-LN(2)/2)*FS116+(1-EXP(-LN(2)/2))/(LN(2)/2)*FM117*FP117*VLOOKUP('Données projet'!$B$16,Paramètres!$A$1:$I$89,3,0)*0.475*44/12</f>
        <v>9.5731036294554126E-13</v>
      </c>
      <c r="FT117" s="22">
        <f t="shared" si="78"/>
        <v>1.1759117537162447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3</v>
      </c>
      <c r="FZ117" s="12">
        <f>IF('Données projet'!$A$244&gt;35,FZ116+FY117-GH116,IF(A117&lt;'Données projet'!$A$244,$FW$205^A117,IF(A117='Données projet'!$A$244,'Données projet'!$B$244,FZ116+FY117-GH116)))</f>
        <v>183.00000000000009</v>
      </c>
      <c r="GA117" s="17">
        <f>FZ117*VLOOKUP('Données projet'!$B$17,Paramètres!$A$1:$I$89,3,0)*VLOOKUP('Données projet'!$B$17,Paramètres!$A$1:$I$89,5,0)</f>
        <v>196.98120000000009</v>
      </c>
      <c r="GB117" s="13">
        <f t="shared" si="103"/>
        <v>49.080140741894176</v>
      </c>
      <c r="GC117" s="20">
        <f t="shared" si="79"/>
        <v>428.5568351254658</v>
      </c>
      <c r="GD117" s="59">
        <f t="shared" si="80"/>
        <v>709.42225016017119</v>
      </c>
      <c r="GE117" s="59">
        <f ca="1">AVERAGE(OFFSET($GD$3,0,0,'Données projet'!$E$17+1,1))-AVERAGE(OFFSET($H$3,0,0,'Données projet'!$E$17+1,1))</f>
        <v>313.51355235711543</v>
      </c>
      <c r="GF117" s="59">
        <f t="shared" si="104"/>
        <v>186.0840067781198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0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0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4.0999999999999996</v>
      </c>
      <c r="N118" s="13">
        <f>IF('Données projet'!$A$36&gt;35,N117+M118-V117,IF(A118&lt;'Données projet'!$A$36,$K$205^A118,IF(A118='Données projet'!$A$36,'Données projet'!$B$36,N117+M118-V117)))</f>
        <v>285.50000000000045</v>
      </c>
      <c r="O118" s="13">
        <f>N118*VLOOKUP('Données projet'!$B$9,Paramètres!$A$1:$I$89,3,0)*VLOOKUP('Données projet'!$B$9,Paramètres!$A$1:$I$89,5,0)</f>
        <v>289.49700000000047</v>
      </c>
      <c r="P118" s="13">
        <f t="shared" si="87"/>
        <v>68.97008527962349</v>
      </c>
      <c r="Q118" s="20">
        <f t="shared" si="107"/>
        <v>624.33017352867842</v>
      </c>
      <c r="R118" s="59">
        <f t="shared" si="55"/>
        <v>905.41187907177573</v>
      </c>
      <c r="S118" s="59">
        <f ca="1">AVERAGE(OFFSET($R$3,0,0,'Données projet'!$E$9+1,1))-AVERAGE(OFFSET($H$3,0,0,'Données projet'!$E$9+1,1))</f>
        <v>452.67426184967104</v>
      </c>
      <c r="T118" s="59">
        <f t="shared" si="88"/>
        <v>310.47823616327639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2.8846153846153868</v>
      </c>
      <c r="AI118" s="13">
        <f>IF('Données projet'!$A$62&gt;35,AI117+AH118-AQ117,IF(A118&lt;'Données projet'!$A$62,$AF$205^A118,IF(A118='Données projet'!$A$62,'Données projet'!$B$62,AI117+AH118-AQ117)))</f>
        <v>316.34615384615347</v>
      </c>
      <c r="AJ118" s="13">
        <f>AI118*VLOOKUP('Données projet'!$B$10,Paramètres!$A$1:$I$89,3,0)*VLOOKUP('Données projet'!$B$10,Paramètres!$A$1:$I$89,5,0)</f>
        <v>330.64499999999964</v>
      </c>
      <c r="AK118" s="13">
        <f t="shared" si="89"/>
        <v>77.564016927186358</v>
      </c>
      <c r="AL118" s="20">
        <f t="shared" si="58"/>
        <v>710.96403781484889</v>
      </c>
      <c r="AM118" s="59">
        <f t="shared" si="59"/>
        <v>992.04574335794609</v>
      </c>
      <c r="AN118" s="59">
        <f ca="1">AVERAGE(OFFSET($AM$3,0,0,'Données projet'!$E$10+1,1))-AVERAGE(OFFSET($H$3,0,0,'Données projet'!$E$10+1,1))</f>
        <v>528.45201982036087</v>
      </c>
      <c r="AO118" s="59">
        <f t="shared" si="90"/>
        <v>321.23004033257985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1.5880870566965612E-14</v>
      </c>
      <c r="AX118" s="21">
        <f t="shared" si="60"/>
        <v>1.5880870566965612E-14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3</v>
      </c>
      <c r="BD118" s="12">
        <f>IF('Données projet'!$A$88&gt;35,BD117+BC118-BL117,IF(A118&lt;'Données projet'!$A$88,$BA$205^A118,IF(A118='Données projet'!$A$88,'Données projet'!$B$88,BD117+BC118-BL117)))</f>
        <v>186.00000000000009</v>
      </c>
      <c r="BE118" s="13">
        <f>BD118*VLOOKUP('Données projet'!$B$11,Paramètres!$A$1:$I$89,3,0)*VLOOKUP('Données projet'!$B$11,Paramètres!$A$1:$I$89,5,0)</f>
        <v>179.89920000000009</v>
      </c>
      <c r="BF118" s="13">
        <f t="shared" si="91"/>
        <v>45.299759292628629</v>
      </c>
      <c r="BG118" s="20">
        <f t="shared" si="61"/>
        <v>392.22152076799506</v>
      </c>
      <c r="BH118" s="59">
        <f t="shared" si="62"/>
        <v>673.30322631109232</v>
      </c>
      <c r="BI118" s="59">
        <f ca="1">AVERAGE(OFFSET($BH$3,0,0,'Données projet'!$E$11+1,1))-AVERAGE(OFFSET($H$3,0,0,'Données projet'!$E$11+1,1))</f>
        <v>289.06522051625166</v>
      </c>
      <c r="BJ118" s="59">
        <f t="shared" si="92"/>
        <v>173.19148969173838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234.00000000000045</v>
      </c>
      <c r="BZ118" s="13">
        <f>BY118*VLOOKUP('Données projet'!$B$12,Paramètres!$A$1:$I$89,3,0)*VLOOKUP('Données projet'!$B$12,Paramètres!$A$1:$I$89,5,0)</f>
        <v>189.82080000000036</v>
      </c>
      <c r="CA118" s="13">
        <f t="shared" si="93"/>
        <v>47.500332100049881</v>
      </c>
      <c r="CB118" s="20">
        <f t="shared" si="64"/>
        <v>413.33430507425419</v>
      </c>
      <c r="CC118" s="59">
        <f t="shared" si="65"/>
        <v>694.4160106173515</v>
      </c>
      <c r="CD118" s="59">
        <f ca="1">AVERAGE(OFFSET($CC$3,0,0,'Données projet'!$E$12+1,1))-AVERAGE(OFFSET($H$3,0,0,'Données projet'!$E$12+1,1))</f>
        <v>306.06916761900357</v>
      </c>
      <c r="CE118" s="59">
        <f t="shared" si="94"/>
        <v>258.90832875500337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2.8841557172960843E-14</v>
      </c>
      <c r="CN118" s="22">
        <f t="shared" si="66"/>
        <v>2.8841557172960843E-14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4.0999999999999996</v>
      </c>
      <c r="CT118" s="12">
        <f>IF('Données projet'!$A$140&gt;35,CT117+CS118-DB117,IF(A118&lt;'Données projet'!$A$140,$CQ$205^A118,IF(A118='Données projet'!$A$140,'Données projet'!$B$140,CT117+CS118-DB117)))</f>
        <v>285.50000000000045</v>
      </c>
      <c r="CU118" s="17">
        <f>CT118*VLOOKUP('Données projet'!$B$13,Paramètres!$A$1:$I$89,3,0)*VLOOKUP('Données projet'!$B$13,Paramètres!$A$1:$I$89,5,0)</f>
        <v>191.51340000000033</v>
      </c>
      <c r="CV118" s="13">
        <f t="shared" si="95"/>
        <v>47.874389452239257</v>
      </c>
      <c r="CW118" s="20">
        <f t="shared" si="67"/>
        <v>416.93373329598393</v>
      </c>
      <c r="CX118" s="59">
        <f t="shared" si="68"/>
        <v>698.01543883908118</v>
      </c>
      <c r="CY118" s="59">
        <f ca="1">AVERAGE(OFFSET($CX$3,0,0,'Données projet'!$E$13+1,1))-AVERAGE(OFFSET($H$3,0,0,'Données projet'!$E$13+1,1))</f>
        <v>324.58754156328285</v>
      </c>
      <c r="CZ118" s="59">
        <f t="shared" si="96"/>
        <v>226.01037731977604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1.7489816080526247E-14</v>
      </c>
      <c r="DI118" s="22">
        <f t="shared" si="69"/>
        <v>1.7489816080526247E-14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3.4106051316484809E-13</v>
      </c>
      <c r="DP118" s="17">
        <f>DO118*VLOOKUP('Données projet'!$B$14,Paramètres!$A$1:$I$89,3,0)*VLOOKUP('Données projet'!$B$14,Paramètres!$A$1:$I$89,5,0)</f>
        <v>1.5961632016114892E-13</v>
      </c>
      <c r="DQ118" s="13">
        <f t="shared" si="97"/>
        <v>2.2708641912150958E-12</v>
      </c>
      <c r="DR118" s="20">
        <f t="shared" si="70"/>
        <v>4.2330868906469593E-12</v>
      </c>
      <c r="DS118" s="59">
        <f t="shared" si="71"/>
        <v>281.08170554310146</v>
      </c>
      <c r="DT118" s="59">
        <f ca="1">AVERAGE(OFFSET($DS$3,0,0,'Données projet'!$E$14+1,1))-AVERAGE(OFFSET($H$3,0,0,'Données projet'!$E$14+1,1))</f>
        <v>325.93182817189722</v>
      </c>
      <c r="DU118" s="59">
        <f t="shared" si="98"/>
        <v>280.04509991782709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5.6843418860808015E-14</v>
      </c>
      <c r="EK118" s="17">
        <f>EJ118*VLOOKUP('Données projet'!$B$15,Paramètres!$A$1:$I$89,3,0)*VLOOKUP('Données projet'!$B$15,Paramètres!$A$1:$I$89,5,0)</f>
        <v>4.5224624045658861E-14</v>
      </c>
      <c r="EL118" s="13">
        <f t="shared" si="99"/>
        <v>7.4514601661523691E-13</v>
      </c>
      <c r="EM118" s="20">
        <f t="shared" si="73"/>
        <v>1.3765621991510601E-12</v>
      </c>
      <c r="EN118" s="59">
        <f t="shared" si="74"/>
        <v>281.08170554309862</v>
      </c>
      <c r="EO118" s="59">
        <f ca="1">AVERAGE(OFFSET($EN$3,0,0,'Données projet'!$E$15+1,1))-AVERAGE(OFFSET($H$3,0,0,'Données projet'!$E$15+1,1))</f>
        <v>333.52903437536651</v>
      </c>
      <c r="EP118" s="59">
        <f t="shared" si="100"/>
        <v>359.47288701414777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0.35834296023167606</v>
      </c>
      <c r="EX118" s="21">
        <f>EXP(-LN(2)/2)*EX117+(1-EXP(-LN(2)/2))/(LN(2)/2)*ER118*EU118*VLOOKUP('Données projet'!$B$15,Paramètres!$A$1:$I$89,3,0)*0.475*44/12</f>
        <v>4.0544573641219939E-14</v>
      </c>
      <c r="EY118" s="22">
        <f t="shared" si="75"/>
        <v>0.35834296023171658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-2.8421709430404007E-13</v>
      </c>
      <c r="FF118" s="17">
        <f>FE118*VLOOKUP('Données projet'!$B$16,Paramètres!$A$1:$I$89,3,0)*VLOOKUP('Données projet'!$B$16,Paramètres!$A$1:$I$89,5,0)</f>
        <v>-1.69961822393816E-13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313.26988717307376</v>
      </c>
      <c r="FK118" s="59">
        <f t="shared" si="102"/>
        <v>248.17359813993201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0.43296387488926746</v>
      </c>
      <c r="FR118" s="21">
        <f>EXP(-LN(2)/25)*FR117+(1-EXP(-LN(2)/25))/(LN(2)/25)*Calculateur!FM118*Calculateur!FO118*VLOOKUP('Données projet'!$B$16,Paramètres!$A$1:$I$89,3,0)*0.475*44/12</f>
        <v>0.7142087631437295</v>
      </c>
      <c r="FS118" s="21">
        <f>EXP(-LN(2)/2)*FS117+(1-EXP(-LN(2)/2))/(LN(2)/2)*FM118*FP118*VLOOKUP('Données projet'!$B$16,Paramètres!$A$1:$I$89,3,0)*0.475*44/12</f>
        <v>6.7692064933894726E-13</v>
      </c>
      <c r="FT118" s="22">
        <f t="shared" si="78"/>
        <v>1.147172638033674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3</v>
      </c>
      <c r="FZ118" s="12">
        <f>IF('Données projet'!$A$244&gt;35,FZ117+FY118-GH117,IF(A118&lt;'Données projet'!$A$244,$FW$205^A118,IF(A118='Données projet'!$A$244,'Données projet'!$B$244,FZ117+FY118-GH117)))</f>
        <v>186.00000000000009</v>
      </c>
      <c r="GA118" s="17">
        <f>FZ118*VLOOKUP('Données projet'!$B$17,Paramètres!$A$1:$I$89,3,0)*VLOOKUP('Données projet'!$B$17,Paramètres!$A$1:$I$89,5,0)</f>
        <v>200.21040000000011</v>
      </c>
      <c r="GB118" s="13">
        <f t="shared" si="103"/>
        <v>49.790404447235098</v>
      </c>
      <c r="GC118" s="20">
        <f t="shared" si="79"/>
        <v>435.41806774560126</v>
      </c>
      <c r="GD118" s="59">
        <f t="shared" si="80"/>
        <v>716.49977328869852</v>
      </c>
      <c r="GE118" s="59">
        <f ca="1">AVERAGE(OFFSET($GD$3,0,0,'Données projet'!$E$17+1,1))-AVERAGE(OFFSET($H$3,0,0,'Données projet'!$E$17+1,1))</f>
        <v>313.51355235711543</v>
      </c>
      <c r="GF118" s="59">
        <f t="shared" si="104"/>
        <v>186.0840067781198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0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0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4.0999999999999996</v>
      </c>
      <c r="N119" s="13">
        <f>IF('Données projet'!$A$36&gt;35,N118+M119-V118,IF(A119&lt;'Données projet'!$A$36,$K$205^A119,IF(A119='Données projet'!$A$36,'Données projet'!$B$36,N118+M119-V118)))</f>
        <v>289.60000000000048</v>
      </c>
      <c r="O119" s="13">
        <f>N119*VLOOKUP('Données projet'!$B$9,Paramètres!$A$1:$I$89,3,0)*VLOOKUP('Données projet'!$B$9,Paramètres!$A$1:$I$89,5,0)</f>
        <v>293.65440000000052</v>
      </c>
      <c r="P119" s="13">
        <f t="shared" si="87"/>
        <v>69.844531303614659</v>
      </c>
      <c r="Q119" s="20">
        <f t="shared" si="107"/>
        <v>633.09397202046296</v>
      </c>
      <c r="R119" s="59">
        <f t="shared" si="55"/>
        <v>914.38821591518445</v>
      </c>
      <c r="S119" s="59">
        <f ca="1">AVERAGE(OFFSET($R$3,0,0,'Données projet'!$E$9+1,1))-AVERAGE(OFFSET($H$3,0,0,'Données projet'!$E$9+1,1))</f>
        <v>452.67426184967104</v>
      </c>
      <c r="T119" s="59">
        <f t="shared" si="88"/>
        <v>310.47823616327639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2.8846153846153868</v>
      </c>
      <c r="AI119" s="13">
        <f>IF('Données projet'!$A$62&gt;35,AI118+AH119-AQ118,IF(A119&lt;'Données projet'!$A$62,$AF$205^A119,IF(A119='Données projet'!$A$62,'Données projet'!$B$62,AI118+AH119-AQ118)))</f>
        <v>319.23076923076883</v>
      </c>
      <c r="AJ119" s="13">
        <f>AI119*VLOOKUP('Données projet'!$B$10,Paramètres!$A$1:$I$89,3,0)*VLOOKUP('Données projet'!$B$10,Paramètres!$A$1:$I$89,5,0)</f>
        <v>333.65999999999963</v>
      </c>
      <c r="AK119" s="13">
        <f t="shared" si="89"/>
        <v>78.188630754756332</v>
      </c>
      <c r="AL119" s="20">
        <f t="shared" si="58"/>
        <v>717.30303189786662</v>
      </c>
      <c r="AM119" s="59">
        <f t="shared" si="59"/>
        <v>998.59727579258811</v>
      </c>
      <c r="AN119" s="59">
        <f ca="1">AVERAGE(OFFSET($AM$3,0,0,'Données projet'!$E$10+1,1))-AVERAGE(OFFSET($H$3,0,0,'Données projet'!$E$10+1,1))</f>
        <v>528.45201982036087</v>
      </c>
      <c r="AO119" s="59">
        <f t="shared" si="90"/>
        <v>321.23004033257985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1.1229471269047236E-14</v>
      </c>
      <c r="AX119" s="21">
        <f t="shared" si="60"/>
        <v>1.1229471269047236E-14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3</v>
      </c>
      <c r="BD119" s="12">
        <f>IF('Données projet'!$A$88&gt;35,BD118+BC119-BL118,IF(A119&lt;'Données projet'!$A$88,$BA$205^A119,IF(A119='Données projet'!$A$88,'Données projet'!$B$88,BD118+BC119-BL118)))</f>
        <v>189.00000000000009</v>
      </c>
      <c r="BE119" s="13">
        <f>BD119*VLOOKUP('Données projet'!$B$11,Paramètres!$A$1:$I$89,3,0)*VLOOKUP('Données projet'!$B$11,Paramètres!$A$1:$I$89,5,0)</f>
        <v>182.80080000000009</v>
      </c>
      <c r="BF119" s="13">
        <f t="shared" si="91"/>
        <v>45.9447515074717</v>
      </c>
      <c r="BG119" s="20">
        <f t="shared" si="61"/>
        <v>398.39850220884665</v>
      </c>
      <c r="BH119" s="59">
        <f t="shared" si="62"/>
        <v>679.6927461035682</v>
      </c>
      <c r="BI119" s="59">
        <f ca="1">AVERAGE(OFFSET($BH$3,0,0,'Données projet'!$E$11+1,1))-AVERAGE(OFFSET($H$3,0,0,'Données projet'!$E$11+1,1))</f>
        <v>289.06522051625166</v>
      </c>
      <c r="BJ119" s="59">
        <f t="shared" si="92"/>
        <v>173.19148969173838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234.00000000000045</v>
      </c>
      <c r="BZ119" s="13">
        <f>BY119*VLOOKUP('Données projet'!$B$12,Paramètres!$A$1:$I$89,3,0)*VLOOKUP('Données projet'!$B$12,Paramètres!$A$1:$I$89,5,0)</f>
        <v>189.82080000000036</v>
      </c>
      <c r="CA119" s="13">
        <f t="shared" si="93"/>
        <v>47.500332100049881</v>
      </c>
      <c r="CB119" s="20">
        <f t="shared" si="64"/>
        <v>413.33430507425419</v>
      </c>
      <c r="CC119" s="59">
        <f t="shared" si="65"/>
        <v>694.62854896897568</v>
      </c>
      <c r="CD119" s="59">
        <f ca="1">AVERAGE(OFFSET($CC$3,0,0,'Données projet'!$E$12+1,1))-AVERAGE(OFFSET($H$3,0,0,'Données projet'!$E$12+1,1))</f>
        <v>306.06916761900357</v>
      </c>
      <c r="CE119" s="59">
        <f t="shared" si="94"/>
        <v>258.90832875500337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2.0394060656980123E-14</v>
      </c>
      <c r="CN119" s="22">
        <f t="shared" si="66"/>
        <v>2.0394060656980123E-14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4.0999999999999996</v>
      </c>
      <c r="CT119" s="12">
        <f>IF('Données projet'!$A$140&gt;35,CT118+CS119-DB118,IF(A119&lt;'Données projet'!$A$140,$CQ$205^A119,IF(A119='Données projet'!$A$140,'Données projet'!$B$140,CT118+CS119-DB118)))</f>
        <v>289.60000000000048</v>
      </c>
      <c r="CU119" s="17">
        <f>CT119*VLOOKUP('Données projet'!$B$13,Paramètres!$A$1:$I$89,3,0)*VLOOKUP('Données projet'!$B$13,Paramètres!$A$1:$I$89,5,0)</f>
        <v>194.26368000000033</v>
      </c>
      <c r="CV119" s="13">
        <f t="shared" si="95"/>
        <v>48.481371005731418</v>
      </c>
      <c r="CW119" s="20">
        <f t="shared" si="67"/>
        <v>422.78096383498274</v>
      </c>
      <c r="CX119" s="59">
        <f t="shared" si="68"/>
        <v>704.07520772970429</v>
      </c>
      <c r="CY119" s="59">
        <f ca="1">AVERAGE(OFFSET($CX$3,0,0,'Données projet'!$E$13+1,1))-AVERAGE(OFFSET($H$3,0,0,'Données projet'!$E$13+1,1))</f>
        <v>324.58754156328285</v>
      </c>
      <c r="CZ119" s="59">
        <f t="shared" si="96"/>
        <v>226.01037731977604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1.2367167552245634E-14</v>
      </c>
      <c r="DI119" s="22">
        <f t="shared" si="69"/>
        <v>1.2367167552245634E-14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3.4106051316484809E-13</v>
      </c>
      <c r="DP119" s="17">
        <f>DO119*VLOOKUP('Données projet'!$B$14,Paramètres!$A$1:$I$89,3,0)*VLOOKUP('Données projet'!$B$14,Paramètres!$A$1:$I$89,5,0)</f>
        <v>1.5961632016114892E-13</v>
      </c>
      <c r="DQ119" s="13">
        <f t="shared" si="97"/>
        <v>2.2708641912150958E-12</v>
      </c>
      <c r="DR119" s="20">
        <f t="shared" si="70"/>
        <v>4.2330868906469593E-12</v>
      </c>
      <c r="DS119" s="59">
        <f t="shared" si="71"/>
        <v>281.2942438947257</v>
      </c>
      <c r="DT119" s="59">
        <f ca="1">AVERAGE(OFFSET($DS$3,0,0,'Données projet'!$E$14+1,1))-AVERAGE(OFFSET($H$3,0,0,'Données projet'!$E$14+1,1))</f>
        <v>325.93182817189722</v>
      </c>
      <c r="DU119" s="59">
        <f t="shared" si="98"/>
        <v>280.04509991782709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5.6843418860808015E-14</v>
      </c>
      <c r="EK119" s="17">
        <f>EJ119*VLOOKUP('Données projet'!$B$15,Paramètres!$A$1:$I$89,3,0)*VLOOKUP('Données projet'!$B$15,Paramètres!$A$1:$I$89,5,0)</f>
        <v>4.5224624045658861E-14</v>
      </c>
      <c r="EL119" s="13">
        <f t="shared" si="99"/>
        <v>7.4514601661523691E-13</v>
      </c>
      <c r="EM119" s="20">
        <f t="shared" si="73"/>
        <v>1.3765621991510601E-12</v>
      </c>
      <c r="EN119" s="59">
        <f t="shared" si="74"/>
        <v>281.29424389472285</v>
      </c>
      <c r="EO119" s="59">
        <f ca="1">AVERAGE(OFFSET($EN$3,0,0,'Données projet'!$E$15+1,1))-AVERAGE(OFFSET($H$3,0,0,'Données projet'!$E$15+1,1))</f>
        <v>333.52903437536651</v>
      </c>
      <c r="EP119" s="59">
        <f t="shared" si="100"/>
        <v>359.47288701414777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0.3485440531397036</v>
      </c>
      <c r="EX119" s="21">
        <f>EXP(-LN(2)/2)*EX118+(1-EXP(-LN(2)/2))/(LN(2)/2)*ER119*EU119*VLOOKUP('Données projet'!$B$15,Paramètres!$A$1:$I$89,3,0)*0.475*44/12</f>
        <v>2.8669342962023969E-14</v>
      </c>
      <c r="EY119" s="22">
        <f t="shared" si="75"/>
        <v>0.34854405313973225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-2.8421709430404007E-13</v>
      </c>
      <c r="FF119" s="17">
        <f>FE119*VLOOKUP('Données projet'!$B$16,Paramètres!$A$1:$I$89,3,0)*VLOOKUP('Données projet'!$B$16,Paramètres!$A$1:$I$89,5,0)</f>
        <v>-1.69961822393816E-13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313.26988717307376</v>
      </c>
      <c r="FK119" s="59">
        <f t="shared" si="102"/>
        <v>248.17359813993201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0.42447371738457668</v>
      </c>
      <c r="FR119" s="21">
        <f>EXP(-LN(2)/25)*FR118+(1-EXP(-LN(2)/25))/(LN(2)/25)*Calculateur!FM119*Calculateur!FO119*VLOOKUP('Données projet'!$B$16,Paramètres!$A$1:$I$89,3,0)*0.475*44/12</f>
        <v>0.69467868695695767</v>
      </c>
      <c r="FS119" s="21">
        <f>EXP(-LN(2)/2)*FS118+(1-EXP(-LN(2)/2))/(LN(2)/2)*FM119*FP119*VLOOKUP('Données projet'!$B$16,Paramètres!$A$1:$I$89,3,0)*0.475*44/12</f>
        <v>4.7865518147277063E-13</v>
      </c>
      <c r="FT119" s="22">
        <f t="shared" si="78"/>
        <v>1.1191524043420131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3</v>
      </c>
      <c r="FZ119" s="12">
        <f>IF('Données projet'!$A$244&gt;35,FZ118+FY119-GH118,IF(A119&lt;'Données projet'!$A$244,$FW$205^A119,IF(A119='Données projet'!$A$244,'Données projet'!$B$244,FZ118+FY119-GH118)))</f>
        <v>189.00000000000009</v>
      </c>
      <c r="GA119" s="17">
        <f>FZ119*VLOOKUP('Données projet'!$B$17,Paramètres!$A$1:$I$89,3,0)*VLOOKUP('Données projet'!$B$17,Paramètres!$A$1:$I$89,5,0)</f>
        <v>203.4396000000001</v>
      </c>
      <c r="GB119" s="13">
        <f t="shared" si="103"/>
        <v>50.499335879627502</v>
      </c>
      <c r="GC119" s="20">
        <f t="shared" si="79"/>
        <v>442.27697999035132</v>
      </c>
      <c r="GD119" s="59">
        <f t="shared" si="80"/>
        <v>723.57122388507287</v>
      </c>
      <c r="GE119" s="59">
        <f ca="1">AVERAGE(OFFSET($GD$3,0,0,'Données projet'!$E$17+1,1))-AVERAGE(OFFSET($H$3,0,0,'Données projet'!$E$17+1,1))</f>
        <v>313.51355235711543</v>
      </c>
      <c r="GF119" s="59">
        <f t="shared" si="104"/>
        <v>186.0840067781198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0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0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4.0999999999999996</v>
      </c>
      <c r="N120" s="13">
        <f>IF('Données projet'!$A$36&gt;35,N119+M120-V119,IF(A120&lt;'Données projet'!$A$36,$K$205^A120,IF(A120='Données projet'!$A$36,'Données projet'!$B$36,N119+M120-V119)))</f>
        <v>293.7000000000005</v>
      </c>
      <c r="O120" s="13">
        <f>N120*VLOOKUP('Données projet'!$B$9,Paramètres!$A$1:$I$89,3,0)*VLOOKUP('Données projet'!$B$9,Paramètres!$A$1:$I$89,5,0)</f>
        <v>297.81180000000052</v>
      </c>
      <c r="P120" s="13">
        <f t="shared" si="87"/>
        <v>70.717537439203682</v>
      </c>
      <c r="Q120" s="20">
        <f t="shared" si="107"/>
        <v>641.85526270661398</v>
      </c>
      <c r="R120" s="59">
        <f t="shared" si="55"/>
        <v>923.35835788772363</v>
      </c>
      <c r="S120" s="59">
        <f ca="1">AVERAGE(OFFSET($R$3,0,0,'Données projet'!$E$9+1,1))-AVERAGE(OFFSET($H$3,0,0,'Données projet'!$E$9+1,1))</f>
        <v>452.67426184967104</v>
      </c>
      <c r="T120" s="59">
        <f t="shared" si="88"/>
        <v>310.47823616327639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2.8846153846153868</v>
      </c>
      <c r="AI120" s="13">
        <f>IF('Données projet'!$A$62&gt;35,AI119+AH120-AQ119,IF(A120&lt;'Données projet'!$A$62,$AF$205^A120,IF(A120='Données projet'!$A$62,'Données projet'!$B$62,AI119+AH120-AQ119)))</f>
        <v>322.11538461538419</v>
      </c>
      <c r="AJ120" s="13">
        <f>AI120*VLOOKUP('Données projet'!$B$10,Paramètres!$A$1:$I$89,3,0)*VLOOKUP('Données projet'!$B$10,Paramètres!$A$1:$I$89,5,0)</f>
        <v>336.67499999999961</v>
      </c>
      <c r="AK120" s="13">
        <f t="shared" si="89"/>
        <v>78.812587944919471</v>
      </c>
      <c r="AL120" s="20">
        <f t="shared" si="58"/>
        <v>723.64088233740074</v>
      </c>
      <c r="AM120" s="59">
        <f t="shared" si="59"/>
        <v>1005.1439775185104</v>
      </c>
      <c r="AN120" s="59">
        <f ca="1">AVERAGE(OFFSET($AM$3,0,0,'Données projet'!$E$10+1,1))-AVERAGE(OFFSET($H$3,0,0,'Données projet'!$E$10+1,1))</f>
        <v>528.45201982036087</v>
      </c>
      <c r="AO120" s="59">
        <f t="shared" si="90"/>
        <v>321.23004033257985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7.9404352834828061E-15</v>
      </c>
      <c r="AX120" s="21">
        <f t="shared" si="60"/>
        <v>7.9404352834828061E-15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3</v>
      </c>
      <c r="BD120" s="12">
        <f>IF('Données projet'!$A$88&gt;35,BD119+BC120-BL119,IF(A120&lt;'Données projet'!$A$88,$BA$205^A120,IF(A120='Données projet'!$A$88,'Données projet'!$B$88,BD119+BC120-BL119)))</f>
        <v>192.00000000000009</v>
      </c>
      <c r="BE120" s="13">
        <f>BD120*VLOOKUP('Données projet'!$B$11,Paramètres!$A$1:$I$89,3,0)*VLOOKUP('Données projet'!$B$11,Paramètres!$A$1:$I$89,5,0)</f>
        <v>185.7024000000001</v>
      </c>
      <c r="BF120" s="13">
        <f t="shared" si="91"/>
        <v>46.588553069776829</v>
      </c>
      <c r="BG120" s="20">
        <f t="shared" si="61"/>
        <v>404.57340992986138</v>
      </c>
      <c r="BH120" s="59">
        <f t="shared" si="62"/>
        <v>686.07650511097108</v>
      </c>
      <c r="BI120" s="59">
        <f ca="1">AVERAGE(OFFSET($BH$3,0,0,'Données projet'!$E$11+1,1))-AVERAGE(OFFSET($H$3,0,0,'Données projet'!$E$11+1,1))</f>
        <v>289.06522051625166</v>
      </c>
      <c r="BJ120" s="59">
        <f t="shared" si="92"/>
        <v>173.19148969173838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234.00000000000045</v>
      </c>
      <c r="BZ120" s="13">
        <f>BY120*VLOOKUP('Données projet'!$B$12,Paramètres!$A$1:$I$89,3,0)*VLOOKUP('Données projet'!$B$12,Paramètres!$A$1:$I$89,5,0)</f>
        <v>189.82080000000036</v>
      </c>
      <c r="CA120" s="13">
        <f t="shared" si="93"/>
        <v>47.500332100049881</v>
      </c>
      <c r="CB120" s="20">
        <f t="shared" si="64"/>
        <v>413.33430507425419</v>
      </c>
      <c r="CC120" s="59">
        <f t="shared" si="65"/>
        <v>694.83740025536383</v>
      </c>
      <c r="CD120" s="59">
        <f ca="1">AVERAGE(OFFSET($CC$3,0,0,'Données projet'!$E$12+1,1))-AVERAGE(OFFSET($H$3,0,0,'Données projet'!$E$12+1,1))</f>
        <v>306.06916761900357</v>
      </c>
      <c r="CE120" s="59">
        <f t="shared" si="94"/>
        <v>258.90832875500337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1.4420778586480422E-14</v>
      </c>
      <c r="CN120" s="22">
        <f t="shared" si="66"/>
        <v>1.4420778586480422E-14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4.0999999999999996</v>
      </c>
      <c r="CT120" s="12">
        <f>IF('Données projet'!$A$140&gt;35,CT119+CS120-DB119,IF(A120&lt;'Données projet'!$A$140,$CQ$205^A120,IF(A120='Données projet'!$A$140,'Données projet'!$B$140,CT119+CS120-DB119)))</f>
        <v>293.7000000000005</v>
      </c>
      <c r="CU120" s="17">
        <f>CT120*VLOOKUP('Données projet'!$B$13,Paramètres!$A$1:$I$89,3,0)*VLOOKUP('Données projet'!$B$13,Paramètres!$A$1:$I$89,5,0)</f>
        <v>197.01396000000034</v>
      </c>
      <c r="CV120" s="13">
        <f t="shared" si="95"/>
        <v>49.087353085642384</v>
      </c>
      <c r="CW120" s="20">
        <f t="shared" si="67"/>
        <v>428.62645362416106</v>
      </c>
      <c r="CX120" s="59">
        <f t="shared" si="68"/>
        <v>710.1295488052707</v>
      </c>
      <c r="CY120" s="59">
        <f ca="1">AVERAGE(OFFSET($CX$3,0,0,'Données projet'!$E$13+1,1))-AVERAGE(OFFSET($H$3,0,0,'Données projet'!$E$13+1,1))</f>
        <v>324.58754156328285</v>
      </c>
      <c r="CZ120" s="59">
        <f t="shared" si="96"/>
        <v>226.01037731977604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8.7449080402631237E-15</v>
      </c>
      <c r="DI120" s="22">
        <f t="shared" si="69"/>
        <v>8.7449080402631237E-15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3.4106051316484809E-13</v>
      </c>
      <c r="DP120" s="17">
        <f>DO120*VLOOKUP('Données projet'!$B$14,Paramètres!$A$1:$I$89,3,0)*VLOOKUP('Données projet'!$B$14,Paramètres!$A$1:$I$89,5,0)</f>
        <v>1.5961632016114892E-13</v>
      </c>
      <c r="DQ120" s="13">
        <f t="shared" si="97"/>
        <v>2.2708641912150958E-12</v>
      </c>
      <c r="DR120" s="20">
        <f t="shared" si="70"/>
        <v>4.2330868906469593E-12</v>
      </c>
      <c r="DS120" s="59">
        <f t="shared" si="71"/>
        <v>281.50309518111385</v>
      </c>
      <c r="DT120" s="59">
        <f ca="1">AVERAGE(OFFSET($DS$3,0,0,'Données projet'!$E$14+1,1))-AVERAGE(OFFSET($H$3,0,0,'Données projet'!$E$14+1,1))</f>
        <v>325.93182817189722</v>
      </c>
      <c r="DU120" s="59">
        <f t="shared" si="98"/>
        <v>280.04509991782709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5.6843418860808015E-14</v>
      </c>
      <c r="EK120" s="17">
        <f>EJ120*VLOOKUP('Données projet'!$B$15,Paramètres!$A$1:$I$89,3,0)*VLOOKUP('Données projet'!$B$15,Paramètres!$A$1:$I$89,5,0)</f>
        <v>4.5224624045658861E-14</v>
      </c>
      <c r="EL120" s="13">
        <f t="shared" si="99"/>
        <v>7.4514601661523691E-13</v>
      </c>
      <c r="EM120" s="20">
        <f t="shared" si="73"/>
        <v>1.3765621991510601E-12</v>
      </c>
      <c r="EN120" s="59">
        <f t="shared" si="74"/>
        <v>281.50309518111101</v>
      </c>
      <c r="EO120" s="59">
        <f ca="1">AVERAGE(OFFSET($EN$3,0,0,'Données projet'!$E$15+1,1))-AVERAGE(OFFSET($H$3,0,0,'Données projet'!$E$15+1,1))</f>
        <v>333.52903437536651</v>
      </c>
      <c r="EP120" s="59">
        <f t="shared" si="100"/>
        <v>359.47288701414777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0.33901309767746324</v>
      </c>
      <c r="EX120" s="21">
        <f>EXP(-LN(2)/2)*EX119+(1-EXP(-LN(2)/2))/(LN(2)/2)*ER120*EU120*VLOOKUP('Données projet'!$B$15,Paramètres!$A$1:$I$89,3,0)*0.475*44/12</f>
        <v>2.0272286820609969E-14</v>
      </c>
      <c r="EY120" s="22">
        <f t="shared" si="75"/>
        <v>0.3390130976774835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-2.8421709430404007E-13</v>
      </c>
      <c r="FF120" s="17">
        <f>FE120*VLOOKUP('Données projet'!$B$16,Paramètres!$A$1:$I$89,3,0)*VLOOKUP('Données projet'!$B$16,Paramètres!$A$1:$I$89,5,0)</f>
        <v>-1.69961822393816E-13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313.26988717307376</v>
      </c>
      <c r="FK120" s="59">
        <f t="shared" si="102"/>
        <v>248.17359813993201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0.41615004669006816</v>
      </c>
      <c r="FR120" s="21">
        <f>EXP(-LN(2)/25)*FR119+(1-EXP(-LN(2)/25))/(LN(2)/25)*Calculateur!FM120*Calculateur!FO120*VLOOKUP('Données projet'!$B$16,Paramètres!$A$1:$I$89,3,0)*0.475*44/12</f>
        <v>0.67568266173055525</v>
      </c>
      <c r="FS120" s="21">
        <f>EXP(-LN(2)/2)*FS119+(1-EXP(-LN(2)/2))/(LN(2)/2)*FM120*FP120*VLOOKUP('Données projet'!$B$16,Paramètres!$A$1:$I$89,3,0)*0.475*44/12</f>
        <v>3.3846032466947363E-13</v>
      </c>
      <c r="FT120" s="22">
        <f t="shared" si="78"/>
        <v>1.0918327084209618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3</v>
      </c>
      <c r="FZ120" s="12">
        <f>IF('Données projet'!$A$244&gt;35,FZ119+FY120-GH119,IF(A120&lt;'Données projet'!$A$244,$FW$205^A120,IF(A120='Données projet'!$A$244,'Données projet'!$B$244,FZ119+FY120-GH119)))</f>
        <v>192.00000000000009</v>
      </c>
      <c r="GA120" s="17">
        <f>FZ120*VLOOKUP('Données projet'!$B$17,Paramètres!$A$1:$I$89,3,0)*VLOOKUP('Données projet'!$B$17,Paramètres!$A$1:$I$89,5,0)</f>
        <v>206.66880000000009</v>
      </c>
      <c r="GB120" s="13">
        <f t="shared" si="103"/>
        <v>51.206958627992755</v>
      </c>
      <c r="GC120" s="20">
        <f t="shared" si="79"/>
        <v>449.13361294375426</v>
      </c>
      <c r="GD120" s="59">
        <f t="shared" si="80"/>
        <v>730.63670812486384</v>
      </c>
      <c r="GE120" s="59">
        <f ca="1">AVERAGE(OFFSET($GD$3,0,0,'Données projet'!$E$17+1,1))-AVERAGE(OFFSET($H$3,0,0,'Données projet'!$E$17+1,1))</f>
        <v>313.51355235711543</v>
      </c>
      <c r="GF120" s="59">
        <f t="shared" si="104"/>
        <v>186.0840067781198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0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0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4.0999999999999996</v>
      </c>
      <c r="N121" s="13">
        <f>IF('Données projet'!$A$36&gt;35,N120+M121-V120,IF(A121&lt;'Données projet'!$A$36,$K$205^A121,IF(A121='Données projet'!$A$36,'Données projet'!$B$36,N120+M121-V120)))</f>
        <v>297.80000000000052</v>
      </c>
      <c r="O121" s="13">
        <f>N121*VLOOKUP('Données projet'!$B$9,Paramètres!$A$1:$I$89,3,0)*VLOOKUP('Données projet'!$B$9,Paramètres!$A$1:$I$89,5,0)</f>
        <v>301.96920000000051</v>
      </c>
      <c r="P121" s="13">
        <f t="shared" si="87"/>
        <v>71.589126109929921</v>
      </c>
      <c r="Q121" s="20">
        <f t="shared" si="107"/>
        <v>650.61408464146211</v>
      </c>
      <c r="R121" s="59">
        <f t="shared" si="55"/>
        <v>932.32240800606246</v>
      </c>
      <c r="S121" s="59">
        <f ca="1">AVERAGE(OFFSET($R$3,0,0,'Données projet'!$E$9+1,1))-AVERAGE(OFFSET($H$3,0,0,'Données projet'!$E$9+1,1))</f>
        <v>452.67426184967104</v>
      </c>
      <c r="T121" s="59">
        <f t="shared" si="88"/>
        <v>310.47823616327639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2.8846153846153868</v>
      </c>
      <c r="AI121" s="13">
        <f>IF('Données projet'!$A$62&gt;35,AI120+AH121-AQ120,IF(A121&lt;'Données projet'!$A$62,$AF$205^A121,IF(A121='Données projet'!$A$62,'Données projet'!$B$62,AI120+AH121-AQ120)))</f>
        <v>324.99999999999955</v>
      </c>
      <c r="AJ121" s="13">
        <f>AI121*VLOOKUP('Données projet'!$B$10,Paramètres!$A$1:$I$89,3,0)*VLOOKUP('Données projet'!$B$10,Paramètres!$A$1:$I$89,5,0)</f>
        <v>339.68999999999954</v>
      </c>
      <c r="AK121" s="13">
        <f t="shared" si="89"/>
        <v>79.435895059237467</v>
      </c>
      <c r="AL121" s="20">
        <f t="shared" si="58"/>
        <v>729.97760056150446</v>
      </c>
      <c r="AM121" s="59">
        <f t="shared" si="59"/>
        <v>1011.6859239261048</v>
      </c>
      <c r="AN121" s="59">
        <f ca="1">AVERAGE(OFFSET($AM$3,0,0,'Données projet'!$E$10+1,1))-AVERAGE(OFFSET($H$3,0,0,'Données projet'!$E$10+1,1))</f>
        <v>528.45201982036087</v>
      </c>
      <c r="AO121" s="59">
        <f t="shared" si="90"/>
        <v>321.23004033257985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5.6147356345236181E-15</v>
      </c>
      <c r="AX121" s="21">
        <f t="shared" si="60"/>
        <v>5.6147356345236181E-15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3</v>
      </c>
      <c r="BD121" s="12">
        <f>IF('Données projet'!$A$88&gt;35,BD120+BC121-BL120,IF(A121&lt;'Données projet'!$A$88,$BA$205^A121,IF(A121='Données projet'!$A$88,'Données projet'!$B$88,BD120+BC121-BL120)))</f>
        <v>195.00000000000009</v>
      </c>
      <c r="BE121" s="13">
        <f>BD121*VLOOKUP('Données projet'!$B$11,Paramètres!$A$1:$I$89,3,0)*VLOOKUP('Données projet'!$B$11,Paramètres!$A$1:$I$89,5,0)</f>
        <v>188.60400000000007</v>
      </c>
      <c r="BF121" s="13">
        <f t="shared" si="91"/>
        <v>47.231184731814224</v>
      </c>
      <c r="BG121" s="20">
        <f t="shared" si="61"/>
        <v>410.74628007457659</v>
      </c>
      <c r="BH121" s="59">
        <f t="shared" si="62"/>
        <v>692.45460343917694</v>
      </c>
      <c r="BI121" s="59">
        <f ca="1">AVERAGE(OFFSET($BH$3,0,0,'Données projet'!$E$11+1,1))-AVERAGE(OFFSET($H$3,0,0,'Données projet'!$E$11+1,1))</f>
        <v>289.06522051625166</v>
      </c>
      <c r="BJ121" s="59">
        <f t="shared" si="92"/>
        <v>173.19148969173838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234.00000000000045</v>
      </c>
      <c r="BZ121" s="13">
        <f>BY121*VLOOKUP('Données projet'!$B$12,Paramètres!$A$1:$I$89,3,0)*VLOOKUP('Données projet'!$B$12,Paramètres!$A$1:$I$89,5,0)</f>
        <v>189.82080000000036</v>
      </c>
      <c r="CA121" s="13">
        <f t="shared" si="93"/>
        <v>47.500332100049881</v>
      </c>
      <c r="CB121" s="20">
        <f t="shared" si="64"/>
        <v>413.33430507425419</v>
      </c>
      <c r="CC121" s="59">
        <f t="shared" si="65"/>
        <v>695.04262843885454</v>
      </c>
      <c r="CD121" s="59">
        <f ca="1">AVERAGE(OFFSET($CC$3,0,0,'Données projet'!$E$12+1,1))-AVERAGE(OFFSET($H$3,0,0,'Données projet'!$E$12+1,1))</f>
        <v>306.06916761900357</v>
      </c>
      <c r="CE121" s="59">
        <f t="shared" si="94"/>
        <v>258.90832875500337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1.0197030328490062E-14</v>
      </c>
      <c r="CN121" s="22">
        <f t="shared" si="66"/>
        <v>1.0197030328490062E-14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4.0999999999999996</v>
      </c>
      <c r="CT121" s="12">
        <f>IF('Données projet'!$A$140&gt;35,CT120+CS121-DB120,IF(A121&lt;'Données projet'!$A$140,$CQ$205^A121,IF(A121='Données projet'!$A$140,'Données projet'!$B$140,CT120+CS121-DB120)))</f>
        <v>297.80000000000052</v>
      </c>
      <c r="CU121" s="17">
        <f>CT121*VLOOKUP('Données projet'!$B$13,Paramètres!$A$1:$I$89,3,0)*VLOOKUP('Données projet'!$B$13,Paramètres!$A$1:$I$89,5,0)</f>
        <v>199.76424000000037</v>
      </c>
      <c r="CV121" s="13">
        <f t="shared" si="95"/>
        <v>49.69235125688337</v>
      </c>
      <c r="CW121" s="20">
        <f t="shared" si="67"/>
        <v>434.47022977240584</v>
      </c>
      <c r="CX121" s="59">
        <f t="shared" si="68"/>
        <v>716.17855313700625</v>
      </c>
      <c r="CY121" s="59">
        <f ca="1">AVERAGE(OFFSET($CX$3,0,0,'Données projet'!$E$13+1,1))-AVERAGE(OFFSET($H$3,0,0,'Données projet'!$E$13+1,1))</f>
        <v>324.58754156328285</v>
      </c>
      <c r="CZ121" s="59">
        <f t="shared" si="96"/>
        <v>226.01037731977604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6.1835837761228168E-15</v>
      </c>
      <c r="DI121" s="22">
        <f t="shared" si="69"/>
        <v>6.1835837761228168E-15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3.4106051316484809E-13</v>
      </c>
      <c r="DP121" s="17">
        <f>DO121*VLOOKUP('Données projet'!$B$14,Paramètres!$A$1:$I$89,3,0)*VLOOKUP('Données projet'!$B$14,Paramètres!$A$1:$I$89,5,0)</f>
        <v>1.5961632016114892E-13</v>
      </c>
      <c r="DQ121" s="13">
        <f t="shared" si="97"/>
        <v>2.2708641912150958E-12</v>
      </c>
      <c r="DR121" s="20">
        <f t="shared" si="70"/>
        <v>4.2330868906469593E-12</v>
      </c>
      <c r="DS121" s="59">
        <f t="shared" si="71"/>
        <v>281.70832336460461</v>
      </c>
      <c r="DT121" s="59">
        <f ca="1">AVERAGE(OFFSET($DS$3,0,0,'Données projet'!$E$14+1,1))-AVERAGE(OFFSET($H$3,0,0,'Données projet'!$E$14+1,1))</f>
        <v>325.93182817189722</v>
      </c>
      <c r="DU121" s="59">
        <f t="shared" si="98"/>
        <v>280.04509991782709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5.6843418860808015E-14</v>
      </c>
      <c r="EK121" s="17">
        <f>EJ121*VLOOKUP('Données projet'!$B$15,Paramètres!$A$1:$I$89,3,0)*VLOOKUP('Données projet'!$B$15,Paramètres!$A$1:$I$89,5,0)</f>
        <v>4.5224624045658861E-14</v>
      </c>
      <c r="EL121" s="13">
        <f t="shared" si="99"/>
        <v>7.4514601661523691E-13</v>
      </c>
      <c r="EM121" s="20">
        <f t="shared" si="73"/>
        <v>1.3765621991510601E-12</v>
      </c>
      <c r="EN121" s="59">
        <f t="shared" si="74"/>
        <v>281.70832336460177</v>
      </c>
      <c r="EO121" s="59">
        <f ca="1">AVERAGE(OFFSET($EN$3,0,0,'Données projet'!$E$15+1,1))-AVERAGE(OFFSET($H$3,0,0,'Données projet'!$E$15+1,1))</f>
        <v>333.52903437536651</v>
      </c>
      <c r="EP121" s="59">
        <f t="shared" si="100"/>
        <v>359.47288701414777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0.32974276669354902</v>
      </c>
      <c r="EX121" s="21">
        <f>EXP(-LN(2)/2)*EX120+(1-EXP(-LN(2)/2))/(LN(2)/2)*ER121*EU121*VLOOKUP('Données projet'!$B$15,Paramètres!$A$1:$I$89,3,0)*0.475*44/12</f>
        <v>1.4334671481011984E-14</v>
      </c>
      <c r="EY121" s="22">
        <f t="shared" si="75"/>
        <v>0.32974276669356334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-2.8421709430404007E-13</v>
      </c>
      <c r="FF121" s="17">
        <f>FE121*VLOOKUP('Données projet'!$B$16,Paramètres!$A$1:$I$89,3,0)*VLOOKUP('Données projet'!$B$16,Paramètres!$A$1:$I$89,5,0)</f>
        <v>-1.69961822393816E-13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313.26988717307376</v>
      </c>
      <c r="FK121" s="59">
        <f t="shared" si="102"/>
        <v>248.17359813993201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0.40798959810094115</v>
      </c>
      <c r="FR121" s="21">
        <f>EXP(-LN(2)/25)*FR120+(1-EXP(-LN(2)/25))/(LN(2)/25)*Calculateur!FM121*Calculateur!FO121*VLOOKUP('Données projet'!$B$16,Paramètres!$A$1:$I$89,3,0)*0.475*44/12</f>
        <v>0.65720608381292633</v>
      </c>
      <c r="FS121" s="21">
        <f>EXP(-LN(2)/2)*FS120+(1-EXP(-LN(2)/2))/(LN(2)/2)*FM121*FP121*VLOOKUP('Données projet'!$B$16,Paramètres!$A$1:$I$89,3,0)*0.475*44/12</f>
        <v>2.3932759073638532E-13</v>
      </c>
      <c r="FT121" s="22">
        <f t="shared" si="78"/>
        <v>1.0651956819141069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3</v>
      </c>
      <c r="FZ121" s="12">
        <f>IF('Données projet'!$A$244&gt;35,FZ120+FY121-GH120,IF(A121&lt;'Données projet'!$A$244,$FW$205^A121,IF(A121='Données projet'!$A$244,'Données projet'!$B$244,FZ120+FY121-GH120)))</f>
        <v>195.00000000000009</v>
      </c>
      <c r="GA121" s="17">
        <f>FZ121*VLOOKUP('Données projet'!$B$17,Paramètres!$A$1:$I$89,3,0)*VLOOKUP('Données projet'!$B$17,Paramètres!$A$1:$I$89,5,0)</f>
        <v>209.89800000000008</v>
      </c>
      <c r="GB121" s="13">
        <f t="shared" si="103"/>
        <v>51.913295501810218</v>
      </c>
      <c r="GC121" s="20">
        <f t="shared" si="79"/>
        <v>455.98800633231963</v>
      </c>
      <c r="GD121" s="59">
        <f t="shared" si="80"/>
        <v>737.69632969691997</v>
      </c>
      <c r="GE121" s="59">
        <f ca="1">AVERAGE(OFFSET($GD$3,0,0,'Données projet'!$E$17+1,1))-AVERAGE(OFFSET($H$3,0,0,'Données projet'!$E$17+1,1))</f>
        <v>313.51355235711543</v>
      </c>
      <c r="GF121" s="59">
        <f t="shared" si="104"/>
        <v>186.0840067781198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0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0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4.0999999999999996</v>
      </c>
      <c r="N122" s="13">
        <f>IF('Données projet'!$A$36&gt;35,N121+M122-V121,IF(A122&lt;'Données projet'!$A$36,$K$205^A122,IF(A122='Données projet'!$A$36,'Données projet'!$B$36,N121+M122-V121)))</f>
        <v>301.90000000000055</v>
      </c>
      <c r="O122" s="13">
        <f>N122*VLOOKUP('Données projet'!$B$9,Paramètres!$A$1:$I$89,3,0)*VLOOKUP('Données projet'!$B$9,Paramètres!$A$1:$I$89,5,0)</f>
        <v>306.12660000000056</v>
      </c>
      <c r="P122" s="13">
        <f t="shared" si="87"/>
        <v>72.459319086421559</v>
      </c>
      <c r="Q122" s="20">
        <f t="shared" si="107"/>
        <v>659.37047574218514</v>
      </c>
      <c r="R122" s="59">
        <f t="shared" si="55"/>
        <v>941.28046704011422</v>
      </c>
      <c r="S122" s="59">
        <f ca="1">AVERAGE(OFFSET($R$3,0,0,'Données projet'!$E$9+1,1))-AVERAGE(OFFSET($H$3,0,0,'Données projet'!$E$9+1,1))</f>
        <v>452.67426184967104</v>
      </c>
      <c r="T122" s="59">
        <f t="shared" si="88"/>
        <v>310.47823616327639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2.8846153846153868</v>
      </c>
      <c r="AI122" s="13">
        <f>IF('Données projet'!$A$62&gt;35,AI121+AH122-AQ121,IF(A122&lt;'Données projet'!$A$62,$AF$205^A122,IF(A122='Données projet'!$A$62,'Données projet'!$B$62,AI121+AH122-AQ121)))</f>
        <v>327.8846153846149</v>
      </c>
      <c r="AJ122" s="13">
        <f>AI122*VLOOKUP('Données projet'!$B$10,Paramètres!$A$1:$I$89,3,0)*VLOOKUP('Données projet'!$B$10,Paramètres!$A$1:$I$89,5,0)</f>
        <v>342.70499999999953</v>
      </c>
      <c r="AK122" s="13">
        <f t="shared" si="89"/>
        <v>80.058558536074614</v>
      </c>
      <c r="AL122" s="20">
        <f t="shared" si="58"/>
        <v>736.31319778366242</v>
      </c>
      <c r="AM122" s="59">
        <f t="shared" si="59"/>
        <v>1018.2231890815915</v>
      </c>
      <c r="AN122" s="59">
        <f ca="1">AVERAGE(OFFSET($AM$3,0,0,'Données projet'!$E$10+1,1))-AVERAGE(OFFSET($H$3,0,0,'Données projet'!$E$10+1,1))</f>
        <v>528.45201982036087</v>
      </c>
      <c r="AO122" s="59">
        <f t="shared" si="90"/>
        <v>321.23004033257985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3.970217641741403E-15</v>
      </c>
      <c r="AX122" s="21">
        <f t="shared" si="60"/>
        <v>3.970217641741403E-15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3</v>
      </c>
      <c r="BD122" s="12">
        <f>IF('Données projet'!$A$88&gt;35,BD121+BC122-BL121,IF(A122&lt;'Données projet'!$A$88,$BA$205^A122,IF(A122='Données projet'!$A$88,'Données projet'!$B$88,BD121+BC122-BL121)))</f>
        <v>198.00000000000009</v>
      </c>
      <c r="BE122" s="13">
        <f>BD122*VLOOKUP('Données projet'!$B$11,Paramètres!$A$1:$I$89,3,0)*VLOOKUP('Données projet'!$B$11,Paramètres!$A$1:$I$89,5,0)</f>
        <v>191.50560000000007</v>
      </c>
      <c r="BF122" s="13">
        <f t="shared" si="91"/>
        <v>47.872666570685276</v>
      </c>
      <c r="BG122" s="20">
        <f t="shared" si="61"/>
        <v>416.9171476106103</v>
      </c>
      <c r="BH122" s="59">
        <f t="shared" si="62"/>
        <v>698.82713890853938</v>
      </c>
      <c r="BI122" s="59">
        <f ca="1">AVERAGE(OFFSET($BH$3,0,0,'Données projet'!$E$11+1,1))-AVERAGE(OFFSET($H$3,0,0,'Données projet'!$E$11+1,1))</f>
        <v>289.06522051625166</v>
      </c>
      <c r="BJ122" s="59">
        <f t="shared" si="92"/>
        <v>173.19148969173838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234.00000000000045</v>
      </c>
      <c r="BZ122" s="13">
        <f>BY122*VLOOKUP('Données projet'!$B$12,Paramètres!$A$1:$I$89,3,0)*VLOOKUP('Données projet'!$B$12,Paramètres!$A$1:$I$89,5,0)</f>
        <v>189.82080000000036</v>
      </c>
      <c r="CA122" s="13">
        <f t="shared" si="93"/>
        <v>47.500332100049881</v>
      </c>
      <c r="CB122" s="20">
        <f t="shared" si="64"/>
        <v>413.33430507425419</v>
      </c>
      <c r="CC122" s="59">
        <f t="shared" si="65"/>
        <v>695.24429637218327</v>
      </c>
      <c r="CD122" s="59">
        <f ca="1">AVERAGE(OFFSET($CC$3,0,0,'Données projet'!$E$12+1,1))-AVERAGE(OFFSET($H$3,0,0,'Données projet'!$E$12+1,1))</f>
        <v>306.06916761900357</v>
      </c>
      <c r="CE122" s="59">
        <f t="shared" si="94"/>
        <v>258.90832875500337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7.2103892932402108E-15</v>
      </c>
      <c r="CN122" s="22">
        <f t="shared" si="66"/>
        <v>7.2103892932402108E-15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4.0999999999999996</v>
      </c>
      <c r="CT122" s="12">
        <f>IF('Données projet'!$A$140&gt;35,CT121+CS122-DB121,IF(A122&lt;'Données projet'!$A$140,$CQ$205^A122,IF(A122='Données projet'!$A$140,'Données projet'!$B$140,CT121+CS122-DB121)))</f>
        <v>301.90000000000055</v>
      </c>
      <c r="CU122" s="17">
        <f>CT122*VLOOKUP('Données projet'!$B$13,Paramètres!$A$1:$I$89,3,0)*VLOOKUP('Données projet'!$B$13,Paramètres!$A$1:$I$89,5,0)</f>
        <v>202.51452000000037</v>
      </c>
      <c r="CV122" s="13">
        <f t="shared" si="95"/>
        <v>50.296380631158662</v>
      </c>
      <c r="CW122" s="20">
        <f t="shared" si="67"/>
        <v>440.31231859926862</v>
      </c>
      <c r="CX122" s="59">
        <f t="shared" si="68"/>
        <v>722.22230989719776</v>
      </c>
      <c r="CY122" s="59">
        <f ca="1">AVERAGE(OFFSET($CX$3,0,0,'Données projet'!$E$13+1,1))-AVERAGE(OFFSET($H$3,0,0,'Données projet'!$E$13+1,1))</f>
        <v>324.58754156328285</v>
      </c>
      <c r="CZ122" s="59">
        <f t="shared" si="96"/>
        <v>226.01037731977604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4.3724540201315618E-15</v>
      </c>
      <c r="DI122" s="22">
        <f t="shared" si="69"/>
        <v>4.3724540201315618E-15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3.4106051316484809E-13</v>
      </c>
      <c r="DP122" s="17">
        <f>DO122*VLOOKUP('Données projet'!$B$14,Paramètres!$A$1:$I$89,3,0)*VLOOKUP('Données projet'!$B$14,Paramètres!$A$1:$I$89,5,0)</f>
        <v>1.5961632016114892E-13</v>
      </c>
      <c r="DQ122" s="13">
        <f t="shared" si="97"/>
        <v>2.2708641912150958E-12</v>
      </c>
      <c r="DR122" s="20">
        <f t="shared" si="70"/>
        <v>4.2330868906469593E-12</v>
      </c>
      <c r="DS122" s="59">
        <f t="shared" si="71"/>
        <v>281.90999129793335</v>
      </c>
      <c r="DT122" s="59">
        <f ca="1">AVERAGE(OFFSET($DS$3,0,0,'Données projet'!$E$14+1,1))-AVERAGE(OFFSET($H$3,0,0,'Données projet'!$E$14+1,1))</f>
        <v>325.93182817189722</v>
      </c>
      <c r="DU122" s="59">
        <f t="shared" si="98"/>
        <v>280.04509991782709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5.6843418860808015E-14</v>
      </c>
      <c r="EK122" s="17">
        <f>EJ122*VLOOKUP('Données projet'!$B$15,Paramètres!$A$1:$I$89,3,0)*VLOOKUP('Données projet'!$B$15,Paramètres!$A$1:$I$89,5,0)</f>
        <v>4.5224624045658861E-14</v>
      </c>
      <c r="EL122" s="13">
        <f t="shared" si="99"/>
        <v>7.4514601661523691E-13</v>
      </c>
      <c r="EM122" s="20">
        <f t="shared" si="73"/>
        <v>1.3765621991510601E-12</v>
      </c>
      <c r="EN122" s="59">
        <f t="shared" si="74"/>
        <v>281.9099912979305</v>
      </c>
      <c r="EO122" s="59">
        <f ca="1">AVERAGE(OFFSET($EN$3,0,0,'Données projet'!$E$15+1,1))-AVERAGE(OFFSET($H$3,0,0,'Données projet'!$E$15+1,1))</f>
        <v>333.52903437536651</v>
      </c>
      <c r="EP122" s="59">
        <f t="shared" si="100"/>
        <v>359.47288701414777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0.32072593339789546</v>
      </c>
      <c r="EX122" s="21">
        <f>EXP(-LN(2)/2)*EX121+(1-EXP(-LN(2)/2))/(LN(2)/2)*ER122*EU122*VLOOKUP('Données projet'!$B$15,Paramètres!$A$1:$I$89,3,0)*0.475*44/12</f>
        <v>1.0136143410304985E-14</v>
      </c>
      <c r="EY122" s="22">
        <f t="shared" si="75"/>
        <v>0.32072593339790562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-2.8421709430404007E-13</v>
      </c>
      <c r="FF122" s="17">
        <f>FE122*VLOOKUP('Données projet'!$B$16,Paramètres!$A$1:$I$89,3,0)*VLOOKUP('Données projet'!$B$16,Paramètres!$A$1:$I$89,5,0)</f>
        <v>-1.69961822393816E-13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313.26988717307376</v>
      </c>
      <c r="FK122" s="59">
        <f t="shared" si="102"/>
        <v>248.17359813993201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0.39998917093126474</v>
      </c>
      <c r="FR122" s="21">
        <f>EXP(-LN(2)/25)*FR121+(1-EXP(-LN(2)/25))/(LN(2)/25)*Calculateur!FM122*Calculateur!FO122*VLOOKUP('Données projet'!$B$16,Paramètres!$A$1:$I$89,3,0)*0.475*44/12</f>
        <v>0.63923474889009602</v>
      </c>
      <c r="FS122" s="21">
        <f>EXP(-LN(2)/2)*FS121+(1-EXP(-LN(2)/2))/(LN(2)/2)*FM122*FP122*VLOOKUP('Données projet'!$B$16,Paramètres!$A$1:$I$89,3,0)*0.475*44/12</f>
        <v>1.6923016233473682E-13</v>
      </c>
      <c r="FT122" s="22">
        <f t="shared" si="78"/>
        <v>1.0392239198215298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3</v>
      </c>
      <c r="FZ122" s="12">
        <f>IF('Données projet'!$A$244&gt;35,FZ121+FY122-GH121,IF(A122&lt;'Données projet'!$A$244,$FW$205^A122,IF(A122='Données projet'!$A$244,'Données projet'!$B$244,FZ121+FY122-GH121)))</f>
        <v>198.00000000000009</v>
      </c>
      <c r="GA122" s="17">
        <f>FZ122*VLOOKUP('Données projet'!$B$17,Paramètres!$A$1:$I$89,3,0)*VLOOKUP('Données projet'!$B$17,Paramètres!$A$1:$I$89,5,0)</f>
        <v>213.1272000000001</v>
      </c>
      <c r="GB122" s="13">
        <f t="shared" si="103"/>
        <v>52.618368568459893</v>
      </c>
      <c r="GC122" s="20">
        <f t="shared" si="79"/>
        <v>462.84019859006776</v>
      </c>
      <c r="GD122" s="59">
        <f t="shared" si="80"/>
        <v>744.75018988799684</v>
      </c>
      <c r="GE122" s="59">
        <f ca="1">AVERAGE(OFFSET($GD$3,0,0,'Données projet'!$E$17+1,1))-AVERAGE(OFFSET($H$3,0,0,'Données projet'!$E$17+1,1))</f>
        <v>313.51355235711543</v>
      </c>
      <c r="GF122" s="59">
        <f t="shared" si="104"/>
        <v>186.0840067781198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0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0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306</v>
      </c>
      <c r="L123" s="12">
        <f>VLOOKUP(A123,'Données projet'!$A$35:$I$55,9,0)</f>
        <v>4.0999999999999996</v>
      </c>
      <c r="M123" s="12">
        <f t="array" ref="M123">INDEX(L:L,MIN(IF(ISNUMBER(L123:L319),ROW(L123:L319),"")))</f>
        <v>4.0999999999999996</v>
      </c>
      <c r="N123" s="13">
        <f>IF('Données projet'!$A$36&gt;35,N122+M123-V122,IF(A123&lt;'Données projet'!$A$36,$K$205^A123,IF(A123='Données projet'!$A$36,'Données projet'!$B$36,N122+M123-V122)))</f>
        <v>306.00000000000057</v>
      </c>
      <c r="O123" s="13">
        <f>N123*VLOOKUP('Données projet'!$B$9,Paramètres!$A$1:$I$89,3,0)*VLOOKUP('Données projet'!$B$9,Paramètres!$A$1:$I$89,5,0)</f>
        <v>310.28400000000062</v>
      </c>
      <c r="P123" s="13">
        <f t="shared" si="87"/>
        <v>73.32813751401028</v>
      </c>
      <c r="Q123" s="20">
        <f t="shared" si="107"/>
        <v>668.12447283690233</v>
      </c>
      <c r="R123" s="59">
        <f t="shared" si="55"/>
        <v>950.23263358037889</v>
      </c>
      <c r="S123" s="59">
        <f ca="1">AVERAGE(OFFSET($R$3,0,0,'Données projet'!$E$9+1,1))-AVERAGE(OFFSET($H$3,0,0,'Données projet'!$E$9+1,1))</f>
        <v>452.67426184967104</v>
      </c>
      <c r="T123" s="59">
        <f t="shared" si="88"/>
        <v>310.47823616327639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31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330.76923076923077</v>
      </c>
      <c r="AG123" s="12">
        <f>VLOOKUP(A123,'Données projet'!$A$61:$I$81,9,0)</f>
        <v>2.8846153846153868</v>
      </c>
      <c r="AH123" s="12">
        <f t="array" ref="AH123">INDEX(AG:AG,MIN(IF(ISNUMBER(AG123:AG319),ROW(AG123:AG319),"")))</f>
        <v>2.8846153846153868</v>
      </c>
      <c r="AI123" s="13">
        <f>IF('Données projet'!$A$62&gt;35,AI122+AH123-AQ122,IF(A123&lt;'Données projet'!$A$62,$AF$205^A123,IF(A123='Données projet'!$A$62,'Données projet'!$B$62,AI122+AH123-AQ122)))</f>
        <v>330.76923076923026</v>
      </c>
      <c r="AJ123" s="13">
        <f>AI123*VLOOKUP('Données projet'!$B$10,Paramètres!$A$1:$I$89,3,0)*VLOOKUP('Données projet'!$B$10,Paramètres!$A$1:$I$89,5,0)</f>
        <v>345.71999999999952</v>
      </c>
      <c r="AK123" s="13">
        <f t="shared" si="89"/>
        <v>80.6805846939736</v>
      </c>
      <c r="AL123" s="20">
        <f t="shared" si="58"/>
        <v>742.64768500866978</v>
      </c>
      <c r="AM123" s="59">
        <f t="shared" si="59"/>
        <v>1024.7558457521463</v>
      </c>
      <c r="AN123" s="59">
        <f ca="1">AVERAGE(OFFSET($AM$3,0,0,'Données projet'!$E$10+1,1))-AVERAGE(OFFSET($H$3,0,0,'Données projet'!$E$10+1,1))</f>
        <v>528.45201982036087</v>
      </c>
      <c r="AO123" s="59">
        <f t="shared" si="90"/>
        <v>321.23004033257985</v>
      </c>
      <c r="AP123" s="15">
        <f>IF(ISNA(VLOOKUP(A123,'Données projet'!$A$61:$I$81,3,0)),0,VLOOKUP(A123,'Données projet'!$A$61:$I$81,3,0))</f>
        <v>12</v>
      </c>
      <c r="AQ123" s="15">
        <f>IF(ISNA(VLOOKUP(A123,'Données projet'!$A$61:$I$81,4,0)),0,VLOOKUP(A123,'Données projet'!$A$61:$I$81,4,0))</f>
        <v>17.948717948717949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2.8073678172618091E-15</v>
      </c>
      <c r="AX123" s="21">
        <f t="shared" si="60"/>
        <v>2.8073678172618091E-15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201</v>
      </c>
      <c r="BB123" s="12">
        <f>VLOOKUP(A123,'Données projet'!$A$87:$I$107,9,0)</f>
        <v>3</v>
      </c>
      <c r="BC123" s="12">
        <f t="array" ref="BC123">INDEX(BB:BB,MIN(IF(ISNUMBER(BB123:BB319),ROW(BB123:BB319),"")))</f>
        <v>3</v>
      </c>
      <c r="BD123" s="12">
        <f>IF('Données projet'!$A$88&gt;35,BD122+BC123-BL122,IF(A123&lt;'Données projet'!$A$88,$BA$205^A123,IF(A123='Données projet'!$A$88,'Données projet'!$B$88,BD122+BC123-BL122)))</f>
        <v>201.00000000000009</v>
      </c>
      <c r="BE123" s="13">
        <f>BD123*VLOOKUP('Données projet'!$B$11,Paramètres!$A$1:$I$89,3,0)*VLOOKUP('Données projet'!$B$11,Paramètres!$A$1:$I$89,5,0)</f>
        <v>194.40720000000007</v>
      </c>
      <c r="BF123" s="13">
        <f t="shared" si="91"/>
        <v>48.513018020179601</v>
      </c>
      <c r="BG123" s="20">
        <f t="shared" si="61"/>
        <v>423.08604638514629</v>
      </c>
      <c r="BH123" s="59">
        <f t="shared" si="62"/>
        <v>705.19420712862291</v>
      </c>
      <c r="BI123" s="59">
        <f ca="1">AVERAGE(OFFSET($BH$3,0,0,'Données projet'!$E$11+1,1))-AVERAGE(OFFSET($H$3,0,0,'Données projet'!$E$11+1,1))</f>
        <v>289.06522051625166</v>
      </c>
      <c r="BJ123" s="59">
        <f t="shared" si="92"/>
        <v>173.19148969173838</v>
      </c>
      <c r="BK123" s="15">
        <f>IF(ISNA(VLOOKUP(A123,'Données projet'!$A$87:$I$107,3,0)),0,VLOOKUP(A123,'Données projet'!$A$87:$I$107,3,0))</f>
        <v>10</v>
      </c>
      <c r="BL123" s="15">
        <f>IF(ISNA(VLOOKUP(A123,'Données projet'!$A$87:$I$107,4,0)),0,VLOOKUP(A123,'Données projet'!$A$87:$I$107,4,0))</f>
        <v>20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234.00000000000045</v>
      </c>
      <c r="BZ123" s="13">
        <f>BY123*VLOOKUP('Données projet'!$B$12,Paramètres!$A$1:$I$89,3,0)*VLOOKUP('Données projet'!$B$12,Paramètres!$A$1:$I$89,5,0)</f>
        <v>189.82080000000036</v>
      </c>
      <c r="CA123" s="13">
        <f t="shared" si="93"/>
        <v>47.500332100049881</v>
      </c>
      <c r="CB123" s="20">
        <f t="shared" si="64"/>
        <v>413.33430507425419</v>
      </c>
      <c r="CC123" s="59">
        <f t="shared" si="65"/>
        <v>695.44246581773086</v>
      </c>
      <c r="CD123" s="59">
        <f ca="1">AVERAGE(OFFSET($CC$3,0,0,'Données projet'!$E$12+1,1))-AVERAGE(OFFSET($H$3,0,0,'Données projet'!$E$12+1,1))</f>
        <v>306.06916761900357</v>
      </c>
      <c r="CE123" s="59">
        <f t="shared" si="94"/>
        <v>258.90832875500337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5.0985151642450309E-15</v>
      </c>
      <c r="CN123" s="22">
        <f t="shared" si="66"/>
        <v>5.0985151642450309E-15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306</v>
      </c>
      <c r="CR123" s="12">
        <f>VLOOKUP(A123,'Données projet'!$A$139:$I$159,9,0)</f>
        <v>4.0999999999999996</v>
      </c>
      <c r="CS123" s="12">
        <f t="array" ref="CS123">INDEX(CR:CR,MIN(IF(ISNUMBER(CR123:CR319),ROW(CR123:CR319),"")))</f>
        <v>4.0999999999999996</v>
      </c>
      <c r="CT123" s="12">
        <f>IF('Données projet'!$A$140&gt;35,CT122+CS123-DB122,IF(A123&lt;'Données projet'!$A$140,$CQ$205^A123,IF(A123='Données projet'!$A$140,'Données projet'!$B$140,CT122+CS123-DB122)))</f>
        <v>306.00000000000057</v>
      </c>
      <c r="CU123" s="17">
        <f>CT123*VLOOKUP('Données projet'!$B$13,Paramètres!$A$1:$I$89,3,0)*VLOOKUP('Données projet'!$B$13,Paramètres!$A$1:$I$89,5,0)</f>
        <v>205.26480000000038</v>
      </c>
      <c r="CV123" s="13">
        <f t="shared" si="95"/>
        <v>50.899455886133779</v>
      </c>
      <c r="CW123" s="20">
        <f t="shared" si="67"/>
        <v>446.15274566835024</v>
      </c>
      <c r="CX123" s="59">
        <f t="shared" si="68"/>
        <v>728.26090641182691</v>
      </c>
      <c r="CY123" s="59">
        <f ca="1">AVERAGE(OFFSET($CX$3,0,0,'Données projet'!$E$13+1,1))-AVERAGE(OFFSET($H$3,0,0,'Données projet'!$E$13+1,1))</f>
        <v>324.58754156328285</v>
      </c>
      <c r="CZ123" s="59">
        <f t="shared" si="96"/>
        <v>226.01037731977604</v>
      </c>
      <c r="DA123" s="15">
        <f>IF(ISNA(VLOOKUP(A123,'Données projet'!$A$139:$I$159,3,0)),0,VLOOKUP(A123,'Données projet'!$A$139:$I$159,3,0))</f>
        <v>11</v>
      </c>
      <c r="DB123" s="15">
        <f>IF(ISNA(VLOOKUP(A123,'Données projet'!$A$139:$I$159,4,0)),0,VLOOKUP(A123,'Données projet'!$A$139:$I$159,4,0))</f>
        <v>31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3.0917918880614084E-15</v>
      </c>
      <c r="DI123" s="22">
        <f t="shared" si="69"/>
        <v>3.0917918880614084E-15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3.4106051316484809E-13</v>
      </c>
      <c r="DP123" s="17">
        <f>DO123*VLOOKUP('Données projet'!$B$14,Paramètres!$A$1:$I$89,3,0)*VLOOKUP('Données projet'!$B$14,Paramètres!$A$1:$I$89,5,0)</f>
        <v>1.5961632016114892E-13</v>
      </c>
      <c r="DQ123" s="13">
        <f t="shared" si="97"/>
        <v>2.2708641912150958E-12</v>
      </c>
      <c r="DR123" s="20">
        <f t="shared" si="70"/>
        <v>4.2330868906469593E-12</v>
      </c>
      <c r="DS123" s="59">
        <f t="shared" si="71"/>
        <v>282.10816074348082</v>
      </c>
      <c r="DT123" s="59">
        <f ca="1">AVERAGE(OFFSET($DS$3,0,0,'Données projet'!$E$14+1,1))-AVERAGE(OFFSET($H$3,0,0,'Données projet'!$E$14+1,1))</f>
        <v>325.93182817189722</v>
      </c>
      <c r="DU123" s="59">
        <f t="shared" si="98"/>
        <v>280.04509991782709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5.6843418860808015E-14</v>
      </c>
      <c r="EK123" s="17">
        <f>EJ123*VLOOKUP('Données projet'!$B$15,Paramètres!$A$1:$I$89,3,0)*VLOOKUP('Données projet'!$B$15,Paramètres!$A$1:$I$89,5,0)</f>
        <v>4.5224624045658861E-14</v>
      </c>
      <c r="EL123" s="13">
        <f t="shared" si="99"/>
        <v>7.4514601661523691E-13</v>
      </c>
      <c r="EM123" s="20">
        <f t="shared" si="73"/>
        <v>1.3765621991510601E-12</v>
      </c>
      <c r="EN123" s="59">
        <f t="shared" si="74"/>
        <v>282.10816074347798</v>
      </c>
      <c r="EO123" s="59">
        <f ca="1">AVERAGE(OFFSET($EN$3,0,0,'Données projet'!$E$15+1,1))-AVERAGE(OFFSET($H$3,0,0,'Données projet'!$E$15+1,1))</f>
        <v>333.52903437536651</v>
      </c>
      <c r="EP123" s="59">
        <f t="shared" si="100"/>
        <v>359.47288701414777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0.3119556658828862</v>
      </c>
      <c r="EX123" s="21">
        <f>EXP(-LN(2)/2)*EX122+(1-EXP(-LN(2)/2))/(LN(2)/2)*ER123*EU123*VLOOKUP('Données projet'!$B$15,Paramètres!$A$1:$I$89,3,0)*0.475*44/12</f>
        <v>7.1673357405059922E-15</v>
      </c>
      <c r="EY123" s="22">
        <f t="shared" si="75"/>
        <v>0.31195566588289336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-2.8421709430404007E-13</v>
      </c>
      <c r="FF123" s="17">
        <f>FE123*VLOOKUP('Données projet'!$B$16,Paramètres!$A$1:$I$89,3,0)*VLOOKUP('Données projet'!$B$16,Paramètres!$A$1:$I$89,5,0)</f>
        <v>-1.69961822393816E-13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313.26988717307376</v>
      </c>
      <c r="FK123" s="59">
        <f t="shared" si="102"/>
        <v>248.17359813993201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0.39214562725860691</v>
      </c>
      <c r="FR123" s="21">
        <f>EXP(-LN(2)/25)*FR122+(1-EXP(-LN(2)/25))/(LN(2)/25)*Calculateur!FM123*Calculateur!FO123*VLOOKUP('Données projet'!$B$16,Paramètres!$A$1:$I$89,3,0)*0.475*44/12</f>
        <v>0.62175484106580192</v>
      </c>
      <c r="FS123" s="21">
        <f>EXP(-LN(2)/2)*FS122+(1-EXP(-LN(2)/2))/(LN(2)/2)*FM123*FP123*VLOOKUP('Données projet'!$B$16,Paramètres!$A$1:$I$89,3,0)*0.475*44/12</f>
        <v>1.1966379536819266E-13</v>
      </c>
      <c r="FT123" s="22">
        <f t="shared" si="78"/>
        <v>1.0139004683245285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>
        <f>VLOOKUP(A123,'Données projet'!$A$243:$I$263,2,0)</f>
        <v>201</v>
      </c>
      <c r="FX123" s="12">
        <f>VLOOKUP(A123,'Données projet'!$A$243:$I$263,9,0)</f>
        <v>3</v>
      </c>
      <c r="FY123" s="12">
        <f t="array" ref="FY123">INDEX(FX:FX,MIN(IF(ISNUMBER(FX123:FX319),ROW(FX123:FX319),"")))</f>
        <v>3</v>
      </c>
      <c r="FZ123" s="12">
        <f>IF('Données projet'!$A$244&gt;35,FZ122+FY123-GH122,IF(A123&lt;'Données projet'!$A$244,$FW$205^A123,IF(A123='Données projet'!$A$244,'Données projet'!$B$244,FZ122+FY123-GH122)))</f>
        <v>201.00000000000009</v>
      </c>
      <c r="GA123" s="17">
        <f>FZ123*VLOOKUP('Données projet'!$B$17,Paramètres!$A$1:$I$89,3,0)*VLOOKUP('Données projet'!$B$17,Paramètres!$A$1:$I$89,5,0)</f>
        <v>216.35640000000009</v>
      </c>
      <c r="GB123" s="13">
        <f t="shared" si="103"/>
        <v>53.322199188237285</v>
      </c>
      <c r="GC123" s="20">
        <f t="shared" si="79"/>
        <v>469.69022691951341</v>
      </c>
      <c r="GD123" s="59">
        <f t="shared" si="80"/>
        <v>751.79838766299008</v>
      </c>
      <c r="GE123" s="59">
        <f ca="1">AVERAGE(OFFSET($GD$3,0,0,'Données projet'!$E$17+1,1))-AVERAGE(OFFSET($H$3,0,0,'Données projet'!$E$17+1,1))</f>
        <v>313.51355235711543</v>
      </c>
      <c r="GF123" s="59">
        <f t="shared" si="104"/>
        <v>186.0840067781198</v>
      </c>
      <c r="GG123" s="15">
        <f>IF(ISNA(VLOOKUP(A123,'Données projet'!$A$243:$I$263,3,0)),0,VLOOKUP(A123,'Données projet'!$A$243:$I$263,3,0))</f>
        <v>10</v>
      </c>
      <c r="GH123" s="15">
        <f>IF(ISNA(VLOOKUP(A123,'Données projet'!$A$243:$I$263,4,0)),0,VLOOKUP(A123,'Données projet'!$A$243:$I$263,4,0))</f>
        <v>20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0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0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275.00000000000057</v>
      </c>
      <c r="O124" s="13">
        <f>N124*VLOOKUP('Données projet'!$B$9,Paramètres!$A$1:$I$89,3,0)*VLOOKUP('Données projet'!$B$9,Paramètres!$A$1:$I$89,5,0)</f>
        <v>278.85000000000059</v>
      </c>
      <c r="P124" s="13">
        <f t="shared" si="87"/>
        <v>66.723922641153095</v>
      </c>
      <c r="Q124" s="20">
        <f t="shared" si="107"/>
        <v>601.8745819333426</v>
      </c>
      <c r="R124" s="59">
        <f t="shared" si="55"/>
        <v>884.17747432552699</v>
      </c>
      <c r="S124" s="59">
        <f ca="1">AVERAGE(OFFSET($R$3,0,0,'Données projet'!$E$9+1,1))-AVERAGE(OFFSET($H$3,0,0,'Données projet'!$E$9+1,1))</f>
        <v>452.67426184967104</v>
      </c>
      <c r="T124" s="59">
        <f t="shared" si="88"/>
        <v>310.47823616327639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2.6282051282051269</v>
      </c>
      <c r="AI124" s="13">
        <f>IF('Données projet'!$A$62&gt;35,AI123+AH124-AQ123,IF(A124&lt;'Données projet'!$A$62,$AF$205^A124,IF(A124='Données projet'!$A$62,'Données projet'!$B$62,AI123+AH124-AQ123)))</f>
        <v>315.44871794871744</v>
      </c>
      <c r="AJ124" s="13">
        <f>AI124*VLOOKUP('Données projet'!$B$10,Paramètres!$A$1:$I$89,3,0)*VLOOKUP('Données projet'!$B$10,Paramètres!$A$1:$I$89,5,0)</f>
        <v>329.70699999999948</v>
      </c>
      <c r="AK124" s="13">
        <f t="shared" si="89"/>
        <v>77.369557656320978</v>
      </c>
      <c r="AL124" s="20">
        <f t="shared" si="58"/>
        <v>708.99167125142469</v>
      </c>
      <c r="AM124" s="59">
        <f t="shared" si="59"/>
        <v>991.29456364360908</v>
      </c>
      <c r="AN124" s="59">
        <f ca="1">AVERAGE(OFFSET($AM$3,0,0,'Données projet'!$E$10+1,1))-AVERAGE(OFFSET($H$3,0,0,'Données projet'!$E$10+1,1))</f>
        <v>528.45201982036087</v>
      </c>
      <c r="AO124" s="59">
        <f t="shared" si="90"/>
        <v>321.23004033257985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1.9851088208707015E-15</v>
      </c>
      <c r="AX124" s="21">
        <f t="shared" si="60"/>
        <v>1.9851088208707015E-15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181.00000000000009</v>
      </c>
      <c r="BE124" s="13">
        <f>BD124*VLOOKUP('Données projet'!$B$11,Paramètres!$A$1:$I$89,3,0)*VLOOKUP('Données projet'!$B$11,Paramètres!$A$1:$I$89,5,0)</f>
        <v>175.06320000000008</v>
      </c>
      <c r="BF124" s="13">
        <f t="shared" si="91"/>
        <v>44.222067746824763</v>
      </c>
      <c r="BG124" s="20">
        <f t="shared" si="61"/>
        <v>381.92184132571992</v>
      </c>
      <c r="BH124" s="59">
        <f t="shared" si="62"/>
        <v>664.22473371790431</v>
      </c>
      <c r="BI124" s="59">
        <f ca="1">AVERAGE(OFFSET($BH$3,0,0,'Données projet'!$E$11+1,1))-AVERAGE(OFFSET($H$3,0,0,'Données projet'!$E$11+1,1))</f>
        <v>289.06522051625166</v>
      </c>
      <c r="BJ124" s="59">
        <f t="shared" si="92"/>
        <v>173.19148969173838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234.00000000000045</v>
      </c>
      <c r="BZ124" s="13">
        <f>BY124*VLOOKUP('Données projet'!$B$12,Paramètres!$A$1:$I$89,3,0)*VLOOKUP('Données projet'!$B$12,Paramètres!$A$1:$I$89,5,0)</f>
        <v>189.82080000000036</v>
      </c>
      <c r="CA124" s="13">
        <f t="shared" si="93"/>
        <v>47.500332100049881</v>
      </c>
      <c r="CB124" s="20">
        <f t="shared" si="64"/>
        <v>413.33430507425419</v>
      </c>
      <c r="CC124" s="59">
        <f t="shared" si="65"/>
        <v>695.63719746643858</v>
      </c>
      <c r="CD124" s="59">
        <f ca="1">AVERAGE(OFFSET($CC$3,0,0,'Données projet'!$E$12+1,1))-AVERAGE(OFFSET($H$3,0,0,'Données projet'!$E$12+1,1))</f>
        <v>306.06916761900357</v>
      </c>
      <c r="CE124" s="59">
        <f t="shared" si="94"/>
        <v>258.90832875500337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3.6051946466201054E-15</v>
      </c>
      <c r="CN124" s="22">
        <f t="shared" si="66"/>
        <v>3.6051946466201054E-15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275.00000000000057</v>
      </c>
      <c r="CU124" s="17">
        <f>CT124*VLOOKUP('Données projet'!$B$13,Paramètres!$A$1:$I$89,3,0)*VLOOKUP('Données projet'!$B$13,Paramètres!$A$1:$I$89,5,0)</f>
        <v>184.4700000000004</v>
      </c>
      <c r="CV124" s="13">
        <f t="shared" si="95"/>
        <v>46.31525458251663</v>
      </c>
      <c r="CW124" s="20">
        <f t="shared" si="67"/>
        <v>401.95098506455048</v>
      </c>
      <c r="CX124" s="59">
        <f t="shared" si="68"/>
        <v>684.25387745673493</v>
      </c>
      <c r="CY124" s="59">
        <f ca="1">AVERAGE(OFFSET($CX$3,0,0,'Données projet'!$E$13+1,1))-AVERAGE(OFFSET($H$3,0,0,'Données projet'!$E$13+1,1))</f>
        <v>324.58754156328285</v>
      </c>
      <c r="CZ124" s="59">
        <f t="shared" si="96"/>
        <v>226.01037731977604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2.1862270100657809E-15</v>
      </c>
      <c r="DI124" s="22">
        <f t="shared" si="69"/>
        <v>2.1862270100657809E-15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3.4106051316484809E-13</v>
      </c>
      <c r="DP124" s="17">
        <f>DO124*VLOOKUP('Données projet'!$B$14,Paramètres!$A$1:$I$89,3,0)*VLOOKUP('Données projet'!$B$14,Paramètres!$A$1:$I$89,5,0)</f>
        <v>1.5961632016114892E-13</v>
      </c>
      <c r="DQ124" s="13">
        <f t="shared" si="97"/>
        <v>2.2708641912150958E-12</v>
      </c>
      <c r="DR124" s="20">
        <f t="shared" si="70"/>
        <v>4.2330868906469593E-12</v>
      </c>
      <c r="DS124" s="59">
        <f t="shared" si="71"/>
        <v>282.3028923921886</v>
      </c>
      <c r="DT124" s="59">
        <f ca="1">AVERAGE(OFFSET($DS$3,0,0,'Données projet'!$E$14+1,1))-AVERAGE(OFFSET($H$3,0,0,'Données projet'!$E$14+1,1))</f>
        <v>325.93182817189722</v>
      </c>
      <c r="DU124" s="59">
        <f t="shared" si="98"/>
        <v>280.04509991782709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5.6843418860808015E-14</v>
      </c>
      <c r="EK124" s="17">
        <f>EJ124*VLOOKUP('Données projet'!$B$15,Paramètres!$A$1:$I$89,3,0)*VLOOKUP('Données projet'!$B$15,Paramètres!$A$1:$I$89,5,0)</f>
        <v>4.5224624045658861E-14</v>
      </c>
      <c r="EL124" s="13">
        <f t="shared" si="99"/>
        <v>7.4514601661523691E-13</v>
      </c>
      <c r="EM124" s="20">
        <f t="shared" si="73"/>
        <v>1.3765621991510601E-12</v>
      </c>
      <c r="EN124" s="59">
        <f t="shared" si="74"/>
        <v>282.30289239218575</v>
      </c>
      <c r="EO124" s="59">
        <f ca="1">AVERAGE(OFFSET($EN$3,0,0,'Données projet'!$E$15+1,1))-AVERAGE(OFFSET($H$3,0,0,'Données projet'!$E$15+1,1))</f>
        <v>333.52903437536651</v>
      </c>
      <c r="EP124" s="59">
        <f t="shared" si="100"/>
        <v>359.47288701414777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0.30342522179428322</v>
      </c>
      <c r="EX124" s="21">
        <f>EXP(-LN(2)/2)*EX123+(1-EXP(-LN(2)/2))/(LN(2)/2)*ER124*EU124*VLOOKUP('Données projet'!$B$15,Paramètres!$A$1:$I$89,3,0)*0.475*44/12</f>
        <v>5.0680717051524924E-15</v>
      </c>
      <c r="EY124" s="22">
        <f t="shared" si="75"/>
        <v>0.30342522179428827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-2.8421709430404007E-13</v>
      </c>
      <c r="FF124" s="17">
        <f>FE124*VLOOKUP('Données projet'!$B$16,Paramètres!$A$1:$I$89,3,0)*VLOOKUP('Données projet'!$B$16,Paramètres!$A$1:$I$89,5,0)</f>
        <v>-1.69961822393816E-13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313.26988717307376</v>
      </c>
      <c r="FK124" s="59">
        <f t="shared" si="102"/>
        <v>248.17359813993201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0.38445589069328068</v>
      </c>
      <c r="FR124" s="21">
        <f>EXP(-LN(2)/25)*FR123+(1-EXP(-LN(2)/25))/(LN(2)/25)*Calculateur!FM124*Calculateur!FO124*VLOOKUP('Données projet'!$B$16,Paramètres!$A$1:$I$89,3,0)*0.475*44/12</f>
        <v>0.6047529222401915</v>
      </c>
      <c r="FS124" s="21">
        <f>EXP(-LN(2)/2)*FS123+(1-EXP(-LN(2)/2))/(LN(2)/2)*FM124*FP124*VLOOKUP('Données projet'!$B$16,Paramètres!$A$1:$I$89,3,0)*0.475*44/12</f>
        <v>8.4615081167368408E-14</v>
      </c>
      <c r="FT124" s="22">
        <f t="shared" si="78"/>
        <v>0.98920881293355678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181.00000000000009</v>
      </c>
      <c r="GA124" s="17">
        <f>FZ124*VLOOKUP('Données projet'!$B$17,Paramètres!$A$1:$I$89,3,0)*VLOOKUP('Données projet'!$B$17,Paramètres!$A$1:$I$89,5,0)</f>
        <v>194.82840000000007</v>
      </c>
      <c r="GB124" s="13">
        <f t="shared" si="103"/>
        <v>48.605879434898576</v>
      </c>
      <c r="GC124" s="20">
        <f t="shared" si="79"/>
        <v>423.98137001578181</v>
      </c>
      <c r="GD124" s="59">
        <f t="shared" si="80"/>
        <v>706.28426240796625</v>
      </c>
      <c r="GE124" s="59">
        <f ca="1">AVERAGE(OFFSET($GD$3,0,0,'Données projet'!$E$17+1,1))-AVERAGE(OFFSET($H$3,0,0,'Données projet'!$E$17+1,1))</f>
        <v>313.51355235711543</v>
      </c>
      <c r="GF124" s="59">
        <f t="shared" si="104"/>
        <v>186.0840067781198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0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0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275.00000000000057</v>
      </c>
      <c r="O125" s="13">
        <f>N125*VLOOKUP('Données projet'!$B$9,Paramètres!$A$1:$I$89,3,0)*VLOOKUP('Données projet'!$B$9,Paramètres!$A$1:$I$89,5,0)</f>
        <v>278.85000000000059</v>
      </c>
      <c r="P125" s="13">
        <f t="shared" si="87"/>
        <v>66.723922641153095</v>
      </c>
      <c r="Q125" s="20">
        <f t="shared" si="107"/>
        <v>601.8745819333426</v>
      </c>
      <c r="R125" s="59">
        <f t="shared" si="55"/>
        <v>884.36882781548434</v>
      </c>
      <c r="S125" s="59">
        <f ca="1">AVERAGE(OFFSET($R$3,0,0,'Données projet'!$E$9+1,1))-AVERAGE(OFFSET($H$3,0,0,'Données projet'!$E$9+1,1))</f>
        <v>452.67426184967104</v>
      </c>
      <c r="T125" s="59">
        <f t="shared" si="88"/>
        <v>310.47823616327639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2.6282051282051269</v>
      </c>
      <c r="AI125" s="13">
        <f>IF('Données projet'!$A$62&gt;35,AI124+AH125-AQ124,IF(A125&lt;'Données projet'!$A$62,$AF$205^A125,IF(A125='Données projet'!$A$62,'Données projet'!$B$62,AI124+AH125-AQ124)))</f>
        <v>318.07692307692258</v>
      </c>
      <c r="AJ125" s="13">
        <f>AI125*VLOOKUP('Données projet'!$B$10,Paramètres!$A$1:$I$89,3,0)*VLOOKUP('Données projet'!$B$10,Paramètres!$A$1:$I$89,5,0)</f>
        <v>332.4539999999995</v>
      </c>
      <c r="AK125" s="13">
        <f t="shared" si="89"/>
        <v>77.938864391883257</v>
      </c>
      <c r="AL125" s="20">
        <f t="shared" si="58"/>
        <v>714.76757214919564</v>
      </c>
      <c r="AM125" s="59">
        <f t="shared" si="59"/>
        <v>997.2618180313375</v>
      </c>
      <c r="AN125" s="59">
        <f ca="1">AVERAGE(OFFSET($AM$3,0,0,'Données projet'!$E$10+1,1))-AVERAGE(OFFSET($H$3,0,0,'Données projet'!$E$10+1,1))</f>
        <v>528.45201982036087</v>
      </c>
      <c r="AO125" s="59">
        <f t="shared" si="90"/>
        <v>321.23004033257985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1.4036839086309045E-15</v>
      </c>
      <c r="AX125" s="21">
        <f t="shared" si="60"/>
        <v>1.4036839086309045E-15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181.00000000000009</v>
      </c>
      <c r="BE125" s="13">
        <f>BD125*VLOOKUP('Données projet'!$B$11,Paramètres!$A$1:$I$89,3,0)*VLOOKUP('Données projet'!$B$11,Paramètres!$A$1:$I$89,5,0)</f>
        <v>175.06320000000008</v>
      </c>
      <c r="BF125" s="13">
        <f t="shared" si="91"/>
        <v>44.222067746824763</v>
      </c>
      <c r="BG125" s="20">
        <f t="shared" si="61"/>
        <v>381.92184132571992</v>
      </c>
      <c r="BH125" s="59">
        <f t="shared" si="62"/>
        <v>664.41608720786166</v>
      </c>
      <c r="BI125" s="59">
        <f ca="1">AVERAGE(OFFSET($BH$3,0,0,'Données projet'!$E$11+1,1))-AVERAGE(OFFSET($H$3,0,0,'Données projet'!$E$11+1,1))</f>
        <v>289.06522051625166</v>
      </c>
      <c r="BJ125" s="59">
        <f t="shared" si="92"/>
        <v>173.19148969173838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234.00000000000045</v>
      </c>
      <c r="BZ125" s="13">
        <f>BY125*VLOOKUP('Données projet'!$B$12,Paramètres!$A$1:$I$89,3,0)*VLOOKUP('Données projet'!$B$12,Paramètres!$A$1:$I$89,5,0)</f>
        <v>189.82080000000036</v>
      </c>
      <c r="CA125" s="13">
        <f t="shared" si="93"/>
        <v>47.500332100049881</v>
      </c>
      <c r="CB125" s="20">
        <f t="shared" si="64"/>
        <v>413.33430507425419</v>
      </c>
      <c r="CC125" s="59">
        <f t="shared" si="65"/>
        <v>695.82855095639593</v>
      </c>
      <c r="CD125" s="59">
        <f ca="1">AVERAGE(OFFSET($CC$3,0,0,'Données projet'!$E$12+1,1))-AVERAGE(OFFSET($H$3,0,0,'Données projet'!$E$12+1,1))</f>
        <v>306.06916761900357</v>
      </c>
      <c r="CE125" s="59">
        <f t="shared" si="94"/>
        <v>258.90832875500337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2.5492575821225154E-15</v>
      </c>
      <c r="CN125" s="22">
        <f t="shared" si="66"/>
        <v>2.5492575821225154E-15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275.00000000000057</v>
      </c>
      <c r="CU125" s="17">
        <f>CT125*VLOOKUP('Données projet'!$B$13,Paramètres!$A$1:$I$89,3,0)*VLOOKUP('Données projet'!$B$13,Paramètres!$A$1:$I$89,5,0)</f>
        <v>184.4700000000004</v>
      </c>
      <c r="CV125" s="13">
        <f t="shared" si="95"/>
        <v>46.31525458251663</v>
      </c>
      <c r="CW125" s="20">
        <f t="shared" si="67"/>
        <v>401.95098506455048</v>
      </c>
      <c r="CX125" s="59">
        <f t="shared" si="68"/>
        <v>684.44523094669228</v>
      </c>
      <c r="CY125" s="59">
        <f ca="1">AVERAGE(OFFSET($CX$3,0,0,'Données projet'!$E$13+1,1))-AVERAGE(OFFSET($H$3,0,0,'Données projet'!$E$13+1,1))</f>
        <v>324.58754156328285</v>
      </c>
      <c r="CZ125" s="59">
        <f t="shared" si="96"/>
        <v>226.01037731977604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1.5458959440307042E-15</v>
      </c>
      <c r="DI125" s="22">
        <f t="shared" si="69"/>
        <v>1.5458959440307042E-15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3.4106051316484809E-13</v>
      </c>
      <c r="DP125" s="17">
        <f>DO125*VLOOKUP('Données projet'!$B$14,Paramètres!$A$1:$I$89,3,0)*VLOOKUP('Données projet'!$B$14,Paramètres!$A$1:$I$89,5,0)</f>
        <v>1.5961632016114892E-13</v>
      </c>
      <c r="DQ125" s="13">
        <f t="shared" si="97"/>
        <v>2.2708641912150958E-12</v>
      </c>
      <c r="DR125" s="20">
        <f t="shared" si="70"/>
        <v>4.2330868906469593E-12</v>
      </c>
      <c r="DS125" s="59">
        <f t="shared" si="71"/>
        <v>282.494245882146</v>
      </c>
      <c r="DT125" s="59">
        <f ca="1">AVERAGE(OFFSET($DS$3,0,0,'Données projet'!$E$14+1,1))-AVERAGE(OFFSET($H$3,0,0,'Données projet'!$E$14+1,1))</f>
        <v>325.93182817189722</v>
      </c>
      <c r="DU125" s="59">
        <f t="shared" si="98"/>
        <v>280.04509991782709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5.6843418860808015E-14</v>
      </c>
      <c r="EK125" s="17">
        <f>EJ125*VLOOKUP('Données projet'!$B$15,Paramètres!$A$1:$I$89,3,0)*VLOOKUP('Données projet'!$B$15,Paramètres!$A$1:$I$89,5,0)</f>
        <v>4.5224624045658861E-14</v>
      </c>
      <c r="EL125" s="13">
        <f t="shared" si="99"/>
        <v>7.4514601661523691E-13</v>
      </c>
      <c r="EM125" s="20">
        <f t="shared" si="73"/>
        <v>1.3765621991510601E-12</v>
      </c>
      <c r="EN125" s="59">
        <f t="shared" si="74"/>
        <v>282.49424588214316</v>
      </c>
      <c r="EO125" s="59">
        <f ca="1">AVERAGE(OFFSET($EN$3,0,0,'Données projet'!$E$15+1,1))-AVERAGE(OFFSET($H$3,0,0,'Données projet'!$E$15+1,1))</f>
        <v>333.52903437536651</v>
      </c>
      <c r="EP125" s="59">
        <f t="shared" si="100"/>
        <v>359.47288701414777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0.2951280431478796</v>
      </c>
      <c r="EX125" s="21">
        <f>EXP(-LN(2)/2)*EX124+(1-EXP(-LN(2)/2))/(LN(2)/2)*ER125*EU125*VLOOKUP('Données projet'!$B$15,Paramètres!$A$1:$I$89,3,0)*0.475*44/12</f>
        <v>3.5836678702529961E-15</v>
      </c>
      <c r="EY125" s="22">
        <f t="shared" si="75"/>
        <v>0.29512804314788321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-2.8421709430404007E-13</v>
      </c>
      <c r="FF125" s="17">
        <f>FE125*VLOOKUP('Données projet'!$B$16,Paramètres!$A$1:$I$89,3,0)*VLOOKUP('Données projet'!$B$16,Paramètres!$A$1:$I$89,5,0)</f>
        <v>-1.69961822393816E-13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313.26988717307376</v>
      </c>
      <c r="FK125" s="59">
        <f t="shared" si="102"/>
        <v>248.17359813993201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0.3769169451717243</v>
      </c>
      <c r="FR125" s="21">
        <f>EXP(-LN(2)/25)*FR124+(1-EXP(-LN(2)/25))/(LN(2)/25)*Calculateur!FM125*Calculateur!FO125*VLOOKUP('Données projet'!$B$16,Paramètres!$A$1:$I$89,3,0)*0.475*44/12</f>
        <v>0.58821592177895943</v>
      </c>
      <c r="FS125" s="21">
        <f>EXP(-LN(2)/2)*FS124+(1-EXP(-LN(2)/2))/(LN(2)/2)*FM125*FP125*VLOOKUP('Données projet'!$B$16,Paramètres!$A$1:$I$89,3,0)*0.475*44/12</f>
        <v>5.9831897684096329E-14</v>
      </c>
      <c r="FT125" s="22">
        <f t="shared" si="78"/>
        <v>0.96513286695074363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181.00000000000009</v>
      </c>
      <c r="GA125" s="17">
        <f>FZ125*VLOOKUP('Données projet'!$B$17,Paramètres!$A$1:$I$89,3,0)*VLOOKUP('Données projet'!$B$17,Paramètres!$A$1:$I$89,5,0)</f>
        <v>194.82840000000007</v>
      </c>
      <c r="GB125" s="13">
        <f t="shared" si="103"/>
        <v>48.605879434898576</v>
      </c>
      <c r="GC125" s="20">
        <f t="shared" si="79"/>
        <v>423.98137001578181</v>
      </c>
      <c r="GD125" s="59">
        <f t="shared" si="80"/>
        <v>706.4756158979236</v>
      </c>
      <c r="GE125" s="59">
        <f ca="1">AVERAGE(OFFSET($GD$3,0,0,'Données projet'!$E$17+1,1))-AVERAGE(OFFSET($H$3,0,0,'Données projet'!$E$17+1,1))</f>
        <v>313.51355235711543</v>
      </c>
      <c r="GF125" s="59">
        <f t="shared" si="104"/>
        <v>186.0840067781198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0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0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275.00000000000057</v>
      </c>
      <c r="O126" s="13">
        <f>N126*VLOOKUP('Données projet'!$B$9,Paramètres!$A$1:$I$89,3,0)*VLOOKUP('Données projet'!$B$9,Paramètres!$A$1:$I$89,5,0)</f>
        <v>278.85000000000059</v>
      </c>
      <c r="P126" s="13">
        <f t="shared" si="87"/>
        <v>66.723922641153095</v>
      </c>
      <c r="Q126" s="20">
        <f t="shared" si="107"/>
        <v>601.8745819333426</v>
      </c>
      <c r="R126" s="59">
        <f t="shared" si="55"/>
        <v>884.55686175019332</v>
      </c>
      <c r="S126" s="59">
        <f ca="1">AVERAGE(OFFSET($R$3,0,0,'Données projet'!$E$9+1,1))-AVERAGE(OFFSET($H$3,0,0,'Données projet'!$E$9+1,1))</f>
        <v>452.67426184967104</v>
      </c>
      <c r="T126" s="59">
        <f t="shared" si="88"/>
        <v>310.47823616327639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2.6282051282051269</v>
      </c>
      <c r="AI126" s="13">
        <f>IF('Données projet'!$A$62&gt;35,AI125+AH126-AQ125,IF(A126&lt;'Données projet'!$A$62,$AF$205^A126,IF(A126='Données projet'!$A$62,'Données projet'!$B$62,AI125+AH126-AQ125)))</f>
        <v>320.70512820512772</v>
      </c>
      <c r="AJ126" s="13">
        <f>AI126*VLOOKUP('Données projet'!$B$10,Paramètres!$A$1:$I$89,3,0)*VLOOKUP('Données projet'!$B$10,Paramètres!$A$1:$I$89,5,0)</f>
        <v>335.20099999999951</v>
      </c>
      <c r="AK126" s="13">
        <f t="shared" si="89"/>
        <v>78.507623830791573</v>
      </c>
      <c r="AL126" s="20">
        <f t="shared" si="58"/>
        <v>720.54251983862787</v>
      </c>
      <c r="AM126" s="59">
        <f t="shared" si="59"/>
        <v>1003.2247996554786</v>
      </c>
      <c r="AN126" s="59">
        <f ca="1">AVERAGE(OFFSET($AM$3,0,0,'Données projet'!$E$10+1,1))-AVERAGE(OFFSET($H$3,0,0,'Données projet'!$E$10+1,1))</f>
        <v>528.45201982036087</v>
      </c>
      <c r="AO126" s="59">
        <f t="shared" si="90"/>
        <v>321.23004033257985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9.9255441043535076E-16</v>
      </c>
      <c r="AX126" s="21">
        <f t="shared" si="60"/>
        <v>9.9255441043535076E-16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181.00000000000009</v>
      </c>
      <c r="BE126" s="13">
        <f>BD126*VLOOKUP('Données projet'!$B$11,Paramètres!$A$1:$I$89,3,0)*VLOOKUP('Données projet'!$B$11,Paramètres!$A$1:$I$89,5,0)</f>
        <v>175.06320000000008</v>
      </c>
      <c r="BF126" s="13">
        <f t="shared" si="91"/>
        <v>44.222067746824763</v>
      </c>
      <c r="BG126" s="20">
        <f t="shared" si="61"/>
        <v>381.92184132571992</v>
      </c>
      <c r="BH126" s="59">
        <f t="shared" si="62"/>
        <v>664.60412114257065</v>
      </c>
      <c r="BI126" s="59">
        <f ca="1">AVERAGE(OFFSET($BH$3,0,0,'Données projet'!$E$11+1,1))-AVERAGE(OFFSET($H$3,0,0,'Données projet'!$E$11+1,1))</f>
        <v>289.06522051625166</v>
      </c>
      <c r="BJ126" s="59">
        <f t="shared" si="92"/>
        <v>173.19148969173838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234.00000000000045</v>
      </c>
      <c r="BZ126" s="13">
        <f>BY126*VLOOKUP('Données projet'!$B$12,Paramètres!$A$1:$I$89,3,0)*VLOOKUP('Données projet'!$B$12,Paramètres!$A$1:$I$89,5,0)</f>
        <v>189.82080000000036</v>
      </c>
      <c r="CA126" s="13">
        <f t="shared" si="93"/>
        <v>47.500332100049881</v>
      </c>
      <c r="CB126" s="20">
        <f t="shared" si="64"/>
        <v>413.33430507425419</v>
      </c>
      <c r="CC126" s="59">
        <f t="shared" si="65"/>
        <v>696.01658489110491</v>
      </c>
      <c r="CD126" s="59">
        <f ca="1">AVERAGE(OFFSET($CC$3,0,0,'Données projet'!$E$12+1,1))-AVERAGE(OFFSET($H$3,0,0,'Données projet'!$E$12+1,1))</f>
        <v>306.06916761900357</v>
      </c>
      <c r="CE126" s="59">
        <f t="shared" si="94"/>
        <v>258.90832875500337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1.8025973233100527E-15</v>
      </c>
      <c r="CN126" s="22">
        <f t="shared" si="66"/>
        <v>1.8025973233100527E-15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275.00000000000057</v>
      </c>
      <c r="CU126" s="17">
        <f>CT126*VLOOKUP('Données projet'!$B$13,Paramètres!$A$1:$I$89,3,0)*VLOOKUP('Données projet'!$B$13,Paramètres!$A$1:$I$89,5,0)</f>
        <v>184.4700000000004</v>
      </c>
      <c r="CV126" s="13">
        <f t="shared" si="95"/>
        <v>46.31525458251663</v>
      </c>
      <c r="CW126" s="20">
        <f t="shared" si="67"/>
        <v>401.95098506455048</v>
      </c>
      <c r="CX126" s="59">
        <f t="shared" si="68"/>
        <v>684.63326488140115</v>
      </c>
      <c r="CY126" s="59">
        <f ca="1">AVERAGE(OFFSET($CX$3,0,0,'Données projet'!$E$13+1,1))-AVERAGE(OFFSET($H$3,0,0,'Données projet'!$E$13+1,1))</f>
        <v>324.58754156328285</v>
      </c>
      <c r="CZ126" s="59">
        <f t="shared" si="96"/>
        <v>226.01037731977604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1.0931135050328905E-15</v>
      </c>
      <c r="DI126" s="22">
        <f t="shared" si="69"/>
        <v>1.0931135050328905E-15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3.4106051316484809E-13</v>
      </c>
      <c r="DP126" s="17">
        <f>DO126*VLOOKUP('Données projet'!$B$14,Paramètres!$A$1:$I$89,3,0)*VLOOKUP('Données projet'!$B$14,Paramètres!$A$1:$I$89,5,0)</f>
        <v>1.5961632016114892E-13</v>
      </c>
      <c r="DQ126" s="13">
        <f t="shared" si="97"/>
        <v>2.2708641912150958E-12</v>
      </c>
      <c r="DR126" s="20">
        <f t="shared" si="70"/>
        <v>4.2330868906469593E-12</v>
      </c>
      <c r="DS126" s="59">
        <f t="shared" si="71"/>
        <v>282.68227981685487</v>
      </c>
      <c r="DT126" s="59">
        <f ca="1">AVERAGE(OFFSET($DS$3,0,0,'Données projet'!$E$14+1,1))-AVERAGE(OFFSET($H$3,0,0,'Données projet'!$E$14+1,1))</f>
        <v>325.93182817189722</v>
      </c>
      <c r="DU126" s="59">
        <f t="shared" si="98"/>
        <v>280.04509991782709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5.6843418860808015E-14</v>
      </c>
      <c r="EK126" s="17">
        <f>EJ126*VLOOKUP('Données projet'!$B$15,Paramètres!$A$1:$I$89,3,0)*VLOOKUP('Données projet'!$B$15,Paramètres!$A$1:$I$89,5,0)</f>
        <v>4.5224624045658861E-14</v>
      </c>
      <c r="EL126" s="13">
        <f t="shared" si="99"/>
        <v>7.4514601661523691E-13</v>
      </c>
      <c r="EM126" s="20">
        <f t="shared" si="73"/>
        <v>1.3765621991510601E-12</v>
      </c>
      <c r="EN126" s="59">
        <f t="shared" si="74"/>
        <v>282.68227981685203</v>
      </c>
      <c r="EO126" s="59">
        <f ca="1">AVERAGE(OFFSET($EN$3,0,0,'Données projet'!$E$15+1,1))-AVERAGE(OFFSET($H$3,0,0,'Données projet'!$E$15+1,1))</f>
        <v>333.52903437536651</v>
      </c>
      <c r="EP126" s="59">
        <f t="shared" si="100"/>
        <v>359.47288701414777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0.28705775128789157</v>
      </c>
      <c r="EX126" s="21">
        <f>EXP(-LN(2)/2)*EX125+(1-EXP(-LN(2)/2))/(LN(2)/2)*ER126*EU126*VLOOKUP('Données projet'!$B$15,Paramètres!$A$1:$I$89,3,0)*0.475*44/12</f>
        <v>2.5340358525762462E-15</v>
      </c>
      <c r="EY126" s="22">
        <f t="shared" si="75"/>
        <v>0.28705775128789413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-2.8421709430404007E-13</v>
      </c>
      <c r="FF126" s="17">
        <f>FE126*VLOOKUP('Données projet'!$B$16,Paramètres!$A$1:$I$89,3,0)*VLOOKUP('Données projet'!$B$16,Paramètres!$A$1:$I$89,5,0)</f>
        <v>-1.69961822393816E-13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313.26988717307376</v>
      </c>
      <c r="FK126" s="59">
        <f t="shared" si="102"/>
        <v>248.17359813993201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0.36952583377354292</v>
      </c>
      <c r="FR126" s="21">
        <f>EXP(-LN(2)/25)*FR125+(1-EXP(-LN(2)/25))/(LN(2)/25)*Calculateur!FM126*Calculateur!FO126*VLOOKUP('Données projet'!$B$16,Paramètres!$A$1:$I$89,3,0)*0.475*44/12</f>
        <v>0.57213112646498288</v>
      </c>
      <c r="FS126" s="21">
        <f>EXP(-LN(2)/2)*FS125+(1-EXP(-LN(2)/2))/(LN(2)/2)*FM126*FP126*VLOOKUP('Données projet'!$B$16,Paramètres!$A$1:$I$89,3,0)*0.475*44/12</f>
        <v>4.2307540583684204E-14</v>
      </c>
      <c r="FT126" s="22">
        <f t="shared" si="78"/>
        <v>0.94165696023856815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181.00000000000009</v>
      </c>
      <c r="GA126" s="17">
        <f>FZ126*VLOOKUP('Données projet'!$B$17,Paramètres!$A$1:$I$89,3,0)*VLOOKUP('Données projet'!$B$17,Paramètres!$A$1:$I$89,5,0)</f>
        <v>194.82840000000007</v>
      </c>
      <c r="GB126" s="13">
        <f t="shared" si="103"/>
        <v>48.605879434898576</v>
      </c>
      <c r="GC126" s="20">
        <f t="shared" si="79"/>
        <v>423.98137001578181</v>
      </c>
      <c r="GD126" s="59">
        <f t="shared" si="80"/>
        <v>706.66364983263247</v>
      </c>
      <c r="GE126" s="59">
        <f ca="1">AVERAGE(OFFSET($GD$3,0,0,'Données projet'!$E$17+1,1))-AVERAGE(OFFSET($H$3,0,0,'Données projet'!$E$17+1,1))</f>
        <v>313.51355235711543</v>
      </c>
      <c r="GF126" s="59">
        <f t="shared" si="104"/>
        <v>186.0840067781198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0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0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275.00000000000057</v>
      </c>
      <c r="O127" s="13">
        <f>N127*VLOOKUP('Données projet'!$B$9,Paramètres!$A$1:$I$89,3,0)*VLOOKUP('Données projet'!$B$9,Paramètres!$A$1:$I$89,5,0)</f>
        <v>278.85000000000059</v>
      </c>
      <c r="P127" s="13">
        <f t="shared" si="87"/>
        <v>66.723922641153095</v>
      </c>
      <c r="Q127" s="20">
        <f t="shared" si="107"/>
        <v>601.8745819333426</v>
      </c>
      <c r="R127" s="59">
        <f t="shared" si="55"/>
        <v>884.74163371651593</v>
      </c>
      <c r="S127" s="59">
        <f ca="1">AVERAGE(OFFSET($R$3,0,0,'Données projet'!$E$9+1,1))-AVERAGE(OFFSET($H$3,0,0,'Données projet'!$E$9+1,1))</f>
        <v>452.67426184967104</v>
      </c>
      <c r="T127" s="59">
        <f t="shared" si="88"/>
        <v>310.47823616327639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2.6282051282051269</v>
      </c>
      <c r="AI127" s="13">
        <f>IF('Données projet'!$A$62&gt;35,AI126+AH127-AQ126,IF(A127&lt;'Données projet'!$A$62,$AF$205^A127,IF(A127='Données projet'!$A$62,'Données projet'!$B$62,AI126+AH127-AQ126)))</f>
        <v>323.33333333333286</v>
      </c>
      <c r="AJ127" s="13">
        <f>AI127*VLOOKUP('Données projet'!$B$10,Paramètres!$A$1:$I$89,3,0)*VLOOKUP('Données projet'!$B$10,Paramètres!$A$1:$I$89,5,0)</f>
        <v>337.94799999999958</v>
      </c>
      <c r="AK127" s="13">
        <f t="shared" si="89"/>
        <v>79.075840977982921</v>
      </c>
      <c r="AL127" s="20">
        <f t="shared" si="58"/>
        <v>726.31652303665294</v>
      </c>
      <c r="AM127" s="59">
        <f t="shared" si="59"/>
        <v>1009.1835748198263</v>
      </c>
      <c r="AN127" s="59">
        <f ca="1">AVERAGE(OFFSET($AM$3,0,0,'Données projet'!$E$10+1,1))-AVERAGE(OFFSET($H$3,0,0,'Données projet'!$E$10+1,1))</f>
        <v>528.45201982036087</v>
      </c>
      <c r="AO127" s="59">
        <f t="shared" si="90"/>
        <v>321.23004033257985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7.0184195431545227E-16</v>
      </c>
      <c r="AX127" s="21">
        <f t="shared" si="60"/>
        <v>7.0184195431545227E-16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181.00000000000009</v>
      </c>
      <c r="BE127" s="13">
        <f>BD127*VLOOKUP('Données projet'!$B$11,Paramètres!$A$1:$I$89,3,0)*VLOOKUP('Données projet'!$B$11,Paramètres!$A$1:$I$89,5,0)</f>
        <v>175.06320000000008</v>
      </c>
      <c r="BF127" s="13">
        <f t="shared" si="91"/>
        <v>44.222067746824763</v>
      </c>
      <c r="BG127" s="20">
        <f t="shared" si="61"/>
        <v>381.92184132571992</v>
      </c>
      <c r="BH127" s="59">
        <f t="shared" si="62"/>
        <v>664.78889310889326</v>
      </c>
      <c r="BI127" s="59">
        <f ca="1">AVERAGE(OFFSET($BH$3,0,0,'Données projet'!$E$11+1,1))-AVERAGE(OFFSET($H$3,0,0,'Données projet'!$E$11+1,1))</f>
        <v>289.06522051625166</v>
      </c>
      <c r="BJ127" s="59">
        <f t="shared" si="92"/>
        <v>173.19148969173838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234.00000000000045</v>
      </c>
      <c r="BZ127" s="13">
        <f>BY127*VLOOKUP('Données projet'!$B$12,Paramètres!$A$1:$I$89,3,0)*VLOOKUP('Données projet'!$B$12,Paramètres!$A$1:$I$89,5,0)</f>
        <v>189.82080000000036</v>
      </c>
      <c r="CA127" s="13">
        <f t="shared" si="93"/>
        <v>47.500332100049881</v>
      </c>
      <c r="CB127" s="20">
        <f t="shared" si="64"/>
        <v>413.33430507425419</v>
      </c>
      <c r="CC127" s="59">
        <f t="shared" si="65"/>
        <v>696.20135685742753</v>
      </c>
      <c r="CD127" s="59">
        <f ca="1">AVERAGE(OFFSET($CC$3,0,0,'Données projet'!$E$12+1,1))-AVERAGE(OFFSET($H$3,0,0,'Données projet'!$E$12+1,1))</f>
        <v>306.06916761900357</v>
      </c>
      <c r="CE127" s="59">
        <f t="shared" si="94"/>
        <v>258.90832875500337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1.2746287910612577E-15</v>
      </c>
      <c r="CN127" s="22">
        <f t="shared" si="66"/>
        <v>1.2746287910612577E-15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275.00000000000057</v>
      </c>
      <c r="CU127" s="17">
        <f>CT127*VLOOKUP('Données projet'!$B$13,Paramètres!$A$1:$I$89,3,0)*VLOOKUP('Données projet'!$B$13,Paramètres!$A$1:$I$89,5,0)</f>
        <v>184.4700000000004</v>
      </c>
      <c r="CV127" s="13">
        <f t="shared" si="95"/>
        <v>46.31525458251663</v>
      </c>
      <c r="CW127" s="20">
        <f t="shared" si="67"/>
        <v>401.95098506455048</v>
      </c>
      <c r="CX127" s="59">
        <f t="shared" si="68"/>
        <v>684.81803684772376</v>
      </c>
      <c r="CY127" s="59">
        <f ca="1">AVERAGE(OFFSET($CX$3,0,0,'Données projet'!$E$13+1,1))-AVERAGE(OFFSET($H$3,0,0,'Données projet'!$E$13+1,1))</f>
        <v>324.58754156328285</v>
      </c>
      <c r="CZ127" s="59">
        <f t="shared" si="96"/>
        <v>226.01037731977604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7.729479720153521E-16</v>
      </c>
      <c r="DI127" s="22">
        <f t="shared" si="69"/>
        <v>7.729479720153521E-16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3.4106051316484809E-13</v>
      </c>
      <c r="DP127" s="17">
        <f>DO127*VLOOKUP('Données projet'!$B$14,Paramètres!$A$1:$I$89,3,0)*VLOOKUP('Données projet'!$B$14,Paramètres!$A$1:$I$89,5,0)</f>
        <v>1.5961632016114892E-13</v>
      </c>
      <c r="DQ127" s="13">
        <f t="shared" si="97"/>
        <v>2.2708641912150958E-12</v>
      </c>
      <c r="DR127" s="20">
        <f t="shared" si="70"/>
        <v>4.2330868906469593E-12</v>
      </c>
      <c r="DS127" s="59">
        <f t="shared" si="71"/>
        <v>282.86705178317754</v>
      </c>
      <c r="DT127" s="59">
        <f ca="1">AVERAGE(OFFSET($DS$3,0,0,'Données projet'!$E$14+1,1))-AVERAGE(OFFSET($H$3,0,0,'Données projet'!$E$14+1,1))</f>
        <v>325.93182817189722</v>
      </c>
      <c r="DU127" s="59">
        <f t="shared" si="98"/>
        <v>280.04509991782709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5.6843418860808015E-14</v>
      </c>
      <c r="EK127" s="17">
        <f>EJ127*VLOOKUP('Données projet'!$B$15,Paramètres!$A$1:$I$89,3,0)*VLOOKUP('Données projet'!$B$15,Paramètres!$A$1:$I$89,5,0)</f>
        <v>4.5224624045658861E-14</v>
      </c>
      <c r="EL127" s="13">
        <f t="shared" si="99"/>
        <v>7.4514601661523691E-13</v>
      </c>
      <c r="EM127" s="20">
        <f t="shared" si="73"/>
        <v>1.3765621991510601E-12</v>
      </c>
      <c r="EN127" s="59">
        <f t="shared" si="74"/>
        <v>282.8670517831747</v>
      </c>
      <c r="EO127" s="59">
        <f ca="1">AVERAGE(OFFSET($EN$3,0,0,'Données projet'!$E$15+1,1))-AVERAGE(OFFSET($H$3,0,0,'Données projet'!$E$15+1,1))</f>
        <v>333.52903437536651</v>
      </c>
      <c r="EP127" s="59">
        <f t="shared" si="100"/>
        <v>359.47288701414777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0.27920814198321314</v>
      </c>
      <c r="EX127" s="21">
        <f>EXP(-LN(2)/2)*EX126+(1-EXP(-LN(2)/2))/(LN(2)/2)*ER127*EU127*VLOOKUP('Données projet'!$B$15,Paramètres!$A$1:$I$89,3,0)*0.475*44/12</f>
        <v>1.791833935126498E-15</v>
      </c>
      <c r="EY127" s="22">
        <f t="shared" si="75"/>
        <v>0.27920814198321492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-2.8421709430404007E-13</v>
      </c>
      <c r="FF127" s="17">
        <f>FE127*VLOOKUP('Données projet'!$B$16,Paramètres!$A$1:$I$89,3,0)*VLOOKUP('Données projet'!$B$16,Paramètres!$A$1:$I$89,5,0)</f>
        <v>-1.69961822393816E-13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313.26988717307376</v>
      </c>
      <c r="FK127" s="59">
        <f t="shared" si="102"/>
        <v>248.17359813993201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0.36227965756174707</v>
      </c>
      <c r="FR127" s="21">
        <f>EXP(-LN(2)/25)*FR126+(1-EXP(-LN(2)/25))/(LN(2)/25)*Calculateur!FM127*Calculateur!FO127*VLOOKUP('Données projet'!$B$16,Paramètres!$A$1:$I$89,3,0)*0.475*44/12</f>
        <v>0.55648617072472961</v>
      </c>
      <c r="FS127" s="21">
        <f>EXP(-LN(2)/2)*FS126+(1-EXP(-LN(2)/2))/(LN(2)/2)*FM127*FP127*VLOOKUP('Données projet'!$B$16,Paramètres!$A$1:$I$89,3,0)*0.475*44/12</f>
        <v>2.9915948842048164E-14</v>
      </c>
      <c r="FT127" s="22">
        <f t="shared" si="78"/>
        <v>0.91876582828650655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181.00000000000009</v>
      </c>
      <c r="GA127" s="17">
        <f>FZ127*VLOOKUP('Données projet'!$B$17,Paramètres!$A$1:$I$89,3,0)*VLOOKUP('Données projet'!$B$17,Paramètres!$A$1:$I$89,5,0)</f>
        <v>194.82840000000007</v>
      </c>
      <c r="GB127" s="13">
        <f t="shared" si="103"/>
        <v>48.605879434898576</v>
      </c>
      <c r="GC127" s="20">
        <f t="shared" si="79"/>
        <v>423.98137001578181</v>
      </c>
      <c r="GD127" s="59">
        <f t="shared" si="80"/>
        <v>706.84842179895509</v>
      </c>
      <c r="GE127" s="59">
        <f ca="1">AVERAGE(OFFSET($GD$3,0,0,'Données projet'!$E$17+1,1))-AVERAGE(OFFSET($H$3,0,0,'Données projet'!$E$17+1,1))</f>
        <v>313.51355235711543</v>
      </c>
      <c r="GF127" s="59">
        <f t="shared" si="104"/>
        <v>186.0840067781198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0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0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275.00000000000057</v>
      </c>
      <c r="O128" s="13">
        <f>N128*VLOOKUP('Données projet'!$B$9,Paramètres!$A$1:$I$89,3,0)*VLOOKUP('Données projet'!$B$9,Paramètres!$A$1:$I$89,5,0)</f>
        <v>278.85000000000059</v>
      </c>
      <c r="P128" s="13">
        <f t="shared" si="87"/>
        <v>66.723922641153095</v>
      </c>
      <c r="Q128" s="20">
        <f t="shared" si="107"/>
        <v>601.8745819333426</v>
      </c>
      <c r="R128" s="59">
        <f t="shared" si="55"/>
        <v>884.9232003023111</v>
      </c>
      <c r="S128" s="59">
        <f ca="1">AVERAGE(OFFSET($R$3,0,0,'Données projet'!$E$9+1,1))-AVERAGE(OFFSET($H$3,0,0,'Données projet'!$E$9+1,1))</f>
        <v>452.67426184967104</v>
      </c>
      <c r="T128" s="59">
        <f t="shared" si="88"/>
        <v>310.47823616327639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2.6282051282051269</v>
      </c>
      <c r="AI128" s="13">
        <f>IF('Données projet'!$A$62&gt;35,AI127+AH128-AQ127,IF(A128&lt;'Données projet'!$A$62,$AF$205^A128,IF(A128='Données projet'!$A$62,'Données projet'!$B$62,AI127+AH128-AQ127)))</f>
        <v>325.961538461538</v>
      </c>
      <c r="AJ128" s="13">
        <f>AI128*VLOOKUP('Données projet'!$B$10,Paramètres!$A$1:$I$89,3,0)*VLOOKUP('Données projet'!$B$10,Paramètres!$A$1:$I$89,5,0)</f>
        <v>340.69499999999954</v>
      </c>
      <c r="AK128" s="13">
        <f t="shared" si="89"/>
        <v>79.643520752331625</v>
      </c>
      <c r="AL128" s="20">
        <f t="shared" si="58"/>
        <v>732.08959031031009</v>
      </c>
      <c r="AM128" s="59">
        <f t="shared" si="59"/>
        <v>1015.1382086792786</v>
      </c>
      <c r="AN128" s="59">
        <f ca="1">AVERAGE(OFFSET($AM$3,0,0,'Données projet'!$E$10+1,1))-AVERAGE(OFFSET($H$3,0,0,'Données projet'!$E$10+1,1))</f>
        <v>528.45201982036087</v>
      </c>
      <c r="AO128" s="59">
        <f t="shared" si="90"/>
        <v>321.23004033257985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4.9627720521767538E-16</v>
      </c>
      <c r="AX128" s="21">
        <f t="shared" si="60"/>
        <v>4.9627720521767538E-16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181.00000000000009</v>
      </c>
      <c r="BE128" s="13">
        <f>BD128*VLOOKUP('Données projet'!$B$11,Paramètres!$A$1:$I$89,3,0)*VLOOKUP('Données projet'!$B$11,Paramètres!$A$1:$I$89,5,0)</f>
        <v>175.06320000000008</v>
      </c>
      <c r="BF128" s="13">
        <f t="shared" si="91"/>
        <v>44.222067746824763</v>
      </c>
      <c r="BG128" s="20">
        <f t="shared" si="61"/>
        <v>381.92184132571992</v>
      </c>
      <c r="BH128" s="59">
        <f t="shared" si="62"/>
        <v>664.97045969468843</v>
      </c>
      <c r="BI128" s="59">
        <f ca="1">AVERAGE(OFFSET($BH$3,0,0,'Données projet'!$E$11+1,1))-AVERAGE(OFFSET($H$3,0,0,'Données projet'!$E$11+1,1))</f>
        <v>289.06522051625166</v>
      </c>
      <c r="BJ128" s="59">
        <f t="shared" si="92"/>
        <v>173.19148969173838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234.00000000000045</v>
      </c>
      <c r="BZ128" s="13">
        <f>BY128*VLOOKUP('Données projet'!$B$12,Paramètres!$A$1:$I$89,3,0)*VLOOKUP('Données projet'!$B$12,Paramètres!$A$1:$I$89,5,0)</f>
        <v>189.82080000000036</v>
      </c>
      <c r="CA128" s="13">
        <f t="shared" si="93"/>
        <v>47.500332100049881</v>
      </c>
      <c r="CB128" s="20">
        <f t="shared" si="64"/>
        <v>413.33430507425419</v>
      </c>
      <c r="CC128" s="59">
        <f t="shared" si="65"/>
        <v>696.38292344322269</v>
      </c>
      <c r="CD128" s="59">
        <f ca="1">AVERAGE(OFFSET($CC$3,0,0,'Données projet'!$E$12+1,1))-AVERAGE(OFFSET($H$3,0,0,'Données projet'!$E$12+1,1))</f>
        <v>306.06916761900357</v>
      </c>
      <c r="CE128" s="59">
        <f t="shared" si="94"/>
        <v>258.90832875500337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9.0129866165502635E-16</v>
      </c>
      <c r="CN128" s="22">
        <f t="shared" si="66"/>
        <v>9.0129866165502635E-16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275.00000000000057</v>
      </c>
      <c r="CU128" s="17">
        <f>CT128*VLOOKUP('Données projet'!$B$13,Paramètres!$A$1:$I$89,3,0)*VLOOKUP('Données projet'!$B$13,Paramètres!$A$1:$I$89,5,0)</f>
        <v>184.4700000000004</v>
      </c>
      <c r="CV128" s="13">
        <f t="shared" si="95"/>
        <v>46.31525458251663</v>
      </c>
      <c r="CW128" s="20">
        <f t="shared" si="67"/>
        <v>401.95098506455048</v>
      </c>
      <c r="CX128" s="59">
        <f t="shared" si="68"/>
        <v>684.99960343351904</v>
      </c>
      <c r="CY128" s="59">
        <f ca="1">AVERAGE(OFFSET($CX$3,0,0,'Données projet'!$E$13+1,1))-AVERAGE(OFFSET($H$3,0,0,'Données projet'!$E$13+1,1))</f>
        <v>324.58754156328285</v>
      </c>
      <c r="CZ128" s="59">
        <f t="shared" si="96"/>
        <v>226.01037731977604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5.4655675251644523E-16</v>
      </c>
      <c r="DI128" s="22">
        <f t="shared" si="69"/>
        <v>5.4655675251644523E-16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3.4106051316484809E-13</v>
      </c>
      <c r="DP128" s="17">
        <f>DO128*VLOOKUP('Données projet'!$B$14,Paramètres!$A$1:$I$89,3,0)*VLOOKUP('Données projet'!$B$14,Paramètres!$A$1:$I$89,5,0)</f>
        <v>1.5961632016114892E-13</v>
      </c>
      <c r="DQ128" s="13">
        <f t="shared" si="97"/>
        <v>2.2708641912150958E-12</v>
      </c>
      <c r="DR128" s="20">
        <f t="shared" si="70"/>
        <v>4.2330868906469593E-12</v>
      </c>
      <c r="DS128" s="59">
        <f t="shared" si="71"/>
        <v>283.04861836897271</v>
      </c>
      <c r="DT128" s="59">
        <f ca="1">AVERAGE(OFFSET($DS$3,0,0,'Données projet'!$E$14+1,1))-AVERAGE(OFFSET($H$3,0,0,'Données projet'!$E$14+1,1))</f>
        <v>325.93182817189722</v>
      </c>
      <c r="DU128" s="59">
        <f t="shared" si="98"/>
        <v>280.04509991782709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5.6843418860808015E-14</v>
      </c>
      <c r="EK128" s="17">
        <f>EJ128*VLOOKUP('Données projet'!$B$15,Paramètres!$A$1:$I$89,3,0)*VLOOKUP('Données projet'!$B$15,Paramètres!$A$1:$I$89,5,0)</f>
        <v>4.5224624045658861E-14</v>
      </c>
      <c r="EL128" s="13">
        <f t="shared" si="99"/>
        <v>7.4514601661523691E-13</v>
      </c>
      <c r="EM128" s="20">
        <f t="shared" si="73"/>
        <v>1.3765621991510601E-12</v>
      </c>
      <c r="EN128" s="59">
        <f t="shared" si="74"/>
        <v>283.04861836896987</v>
      </c>
      <c r="EO128" s="59">
        <f ca="1">AVERAGE(OFFSET($EN$3,0,0,'Données projet'!$E$15+1,1))-AVERAGE(OFFSET($H$3,0,0,'Données projet'!$E$15+1,1))</f>
        <v>333.52903437536651</v>
      </c>
      <c r="EP128" s="59">
        <f t="shared" si="100"/>
        <v>359.47288701414777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0.27157318065776415</v>
      </c>
      <c r="EX128" s="21">
        <f>EXP(-LN(2)/2)*EX127+(1-EXP(-LN(2)/2))/(LN(2)/2)*ER128*EU128*VLOOKUP('Données projet'!$B$15,Paramètres!$A$1:$I$89,3,0)*0.475*44/12</f>
        <v>1.2670179262881231E-15</v>
      </c>
      <c r="EY128" s="22">
        <f t="shared" si="75"/>
        <v>0.27157318065776542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-2.8421709430404007E-13</v>
      </c>
      <c r="FF128" s="17">
        <f>FE128*VLOOKUP('Données projet'!$B$16,Paramètres!$A$1:$I$89,3,0)*VLOOKUP('Données projet'!$B$16,Paramètres!$A$1:$I$89,5,0)</f>
        <v>-1.69961822393816E-13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313.26988717307376</v>
      </c>
      <c r="FK128" s="59">
        <f t="shared" si="102"/>
        <v>248.17359813993201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0.35517557444573344</v>
      </c>
      <c r="FR128" s="21">
        <f>EXP(-LN(2)/25)*FR127+(1-EXP(-LN(2)/25))/(LN(2)/25)*Calculateur!FM128*Calculateur!FO128*VLOOKUP('Données projet'!$B$16,Paramètres!$A$1:$I$89,3,0)*0.475*44/12</f>
        <v>0.54126902712192604</v>
      </c>
      <c r="FS128" s="21">
        <f>EXP(-LN(2)/2)*FS127+(1-EXP(-LN(2)/2))/(LN(2)/2)*FM128*FP128*VLOOKUP('Données projet'!$B$16,Paramètres!$A$1:$I$89,3,0)*0.475*44/12</f>
        <v>2.1153770291842102E-14</v>
      </c>
      <c r="FT128" s="22">
        <f t="shared" si="78"/>
        <v>0.89644460156768069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181.00000000000009</v>
      </c>
      <c r="GA128" s="17">
        <f>FZ128*VLOOKUP('Données projet'!$B$17,Paramètres!$A$1:$I$89,3,0)*VLOOKUP('Données projet'!$B$17,Paramètres!$A$1:$I$89,5,0)</f>
        <v>194.82840000000007</v>
      </c>
      <c r="GB128" s="13">
        <f t="shared" si="103"/>
        <v>48.605879434898576</v>
      </c>
      <c r="GC128" s="20">
        <f t="shared" si="79"/>
        <v>423.98137001578181</v>
      </c>
      <c r="GD128" s="59">
        <f t="shared" si="80"/>
        <v>707.02998838475037</v>
      </c>
      <c r="GE128" s="59">
        <f ca="1">AVERAGE(OFFSET($GD$3,0,0,'Données projet'!$E$17+1,1))-AVERAGE(OFFSET($H$3,0,0,'Données projet'!$E$17+1,1))</f>
        <v>313.51355235711543</v>
      </c>
      <c r="GF128" s="59">
        <f t="shared" si="104"/>
        <v>186.0840067781198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0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0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275.00000000000057</v>
      </c>
      <c r="O129" s="13">
        <f>N129*VLOOKUP('Données projet'!$B$9,Paramètres!$A$1:$I$89,3,0)*VLOOKUP('Données projet'!$B$9,Paramètres!$A$1:$I$89,5,0)</f>
        <v>278.85000000000059</v>
      </c>
      <c r="P129" s="13">
        <f t="shared" si="87"/>
        <v>66.723922641153095</v>
      </c>
      <c r="Q129" s="20">
        <f t="shared" si="107"/>
        <v>601.8745819333426</v>
      </c>
      <c r="R129" s="59">
        <f t="shared" si="55"/>
        <v>885.10161711376486</v>
      </c>
      <c r="S129" s="59">
        <f ca="1">AVERAGE(OFFSET($R$3,0,0,'Données projet'!$E$9+1,1))-AVERAGE(OFFSET($H$3,0,0,'Données projet'!$E$9+1,1))</f>
        <v>452.67426184967104</v>
      </c>
      <c r="T129" s="59">
        <f t="shared" si="88"/>
        <v>310.47823616327639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2.6282051282051269</v>
      </c>
      <c r="AI129" s="13">
        <f>IF('Données projet'!$A$62&gt;35,AI128+AH129-AQ128,IF(A129&lt;'Données projet'!$A$62,$AF$205^A129,IF(A129='Données projet'!$A$62,'Données projet'!$B$62,AI128+AH129-AQ128)))</f>
        <v>328.58974358974314</v>
      </c>
      <c r="AJ129" s="13">
        <f>AI129*VLOOKUP('Données projet'!$B$10,Paramètres!$A$1:$I$89,3,0)*VLOOKUP('Données projet'!$B$10,Paramètres!$A$1:$I$89,5,0)</f>
        <v>343.44199999999955</v>
      </c>
      <c r="AK129" s="13">
        <f t="shared" si="89"/>
        <v>80.210667988811508</v>
      </c>
      <c r="AL129" s="20">
        <f t="shared" si="58"/>
        <v>737.86173008051253</v>
      </c>
      <c r="AM129" s="59">
        <f t="shared" si="59"/>
        <v>1021.0887652609347</v>
      </c>
      <c r="AN129" s="59">
        <f ca="1">AVERAGE(OFFSET($AM$3,0,0,'Données projet'!$E$10+1,1))-AVERAGE(OFFSET($H$3,0,0,'Données projet'!$E$10+1,1))</f>
        <v>528.45201982036087</v>
      </c>
      <c r="AO129" s="59">
        <f t="shared" si="90"/>
        <v>321.23004033257985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3.5092097715772613E-16</v>
      </c>
      <c r="AX129" s="21">
        <f t="shared" si="60"/>
        <v>3.5092097715772613E-16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181.00000000000009</v>
      </c>
      <c r="BE129" s="13">
        <f>BD129*VLOOKUP('Données projet'!$B$11,Paramètres!$A$1:$I$89,3,0)*VLOOKUP('Données projet'!$B$11,Paramètres!$A$1:$I$89,5,0)</f>
        <v>175.06320000000008</v>
      </c>
      <c r="BF129" s="13">
        <f t="shared" si="91"/>
        <v>44.222067746824763</v>
      </c>
      <c r="BG129" s="20">
        <f t="shared" si="61"/>
        <v>381.92184132571992</v>
      </c>
      <c r="BH129" s="59">
        <f t="shared" si="62"/>
        <v>665.14887650614219</v>
      </c>
      <c r="BI129" s="59">
        <f ca="1">AVERAGE(OFFSET($BH$3,0,0,'Données projet'!$E$11+1,1))-AVERAGE(OFFSET($H$3,0,0,'Données projet'!$E$11+1,1))</f>
        <v>289.06522051625166</v>
      </c>
      <c r="BJ129" s="59">
        <f t="shared" si="92"/>
        <v>173.19148969173838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234.00000000000045</v>
      </c>
      <c r="BZ129" s="13">
        <f>BY129*VLOOKUP('Données projet'!$B$12,Paramètres!$A$1:$I$89,3,0)*VLOOKUP('Données projet'!$B$12,Paramètres!$A$1:$I$89,5,0)</f>
        <v>189.82080000000036</v>
      </c>
      <c r="CA129" s="13">
        <f t="shared" si="93"/>
        <v>47.500332100049881</v>
      </c>
      <c r="CB129" s="20">
        <f t="shared" si="64"/>
        <v>413.33430507425419</v>
      </c>
      <c r="CC129" s="59">
        <f t="shared" si="65"/>
        <v>696.56134025467645</v>
      </c>
      <c r="CD129" s="59">
        <f ca="1">AVERAGE(OFFSET($CC$3,0,0,'Données projet'!$E$12+1,1))-AVERAGE(OFFSET($H$3,0,0,'Données projet'!$E$12+1,1))</f>
        <v>306.06916761900357</v>
      </c>
      <c r="CE129" s="59">
        <f t="shared" si="94"/>
        <v>258.90832875500337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6.3731439553062886E-16</v>
      </c>
      <c r="CN129" s="22">
        <f t="shared" si="66"/>
        <v>6.3731439553062886E-16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275.00000000000057</v>
      </c>
      <c r="CU129" s="17">
        <f>CT129*VLOOKUP('Données projet'!$B$13,Paramètres!$A$1:$I$89,3,0)*VLOOKUP('Données projet'!$B$13,Paramètres!$A$1:$I$89,5,0)</f>
        <v>184.4700000000004</v>
      </c>
      <c r="CV129" s="13">
        <f t="shared" si="95"/>
        <v>46.31525458251663</v>
      </c>
      <c r="CW129" s="20">
        <f t="shared" si="67"/>
        <v>401.95098506455048</v>
      </c>
      <c r="CX129" s="59">
        <f t="shared" si="68"/>
        <v>685.17802024497269</v>
      </c>
      <c r="CY129" s="59">
        <f ca="1">AVERAGE(OFFSET($CX$3,0,0,'Données projet'!$E$13+1,1))-AVERAGE(OFFSET($H$3,0,0,'Données projet'!$E$13+1,1))</f>
        <v>324.58754156328285</v>
      </c>
      <c r="CZ129" s="59">
        <f t="shared" si="96"/>
        <v>226.01037731977604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3.8647398600767605E-16</v>
      </c>
      <c r="DI129" s="22">
        <f t="shared" si="69"/>
        <v>3.8647398600767605E-16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3.4106051316484809E-13</v>
      </c>
      <c r="DP129" s="17">
        <f>DO129*VLOOKUP('Données projet'!$B$14,Paramètres!$A$1:$I$89,3,0)*VLOOKUP('Données projet'!$B$14,Paramètres!$A$1:$I$89,5,0)</f>
        <v>1.5961632016114892E-13</v>
      </c>
      <c r="DQ129" s="13">
        <f t="shared" si="97"/>
        <v>2.2708641912150958E-12</v>
      </c>
      <c r="DR129" s="20">
        <f t="shared" si="70"/>
        <v>4.2330868906469593E-12</v>
      </c>
      <c r="DS129" s="59">
        <f t="shared" si="71"/>
        <v>283.22703518042641</v>
      </c>
      <c r="DT129" s="59">
        <f ca="1">AVERAGE(OFFSET($DS$3,0,0,'Données projet'!$E$14+1,1))-AVERAGE(OFFSET($H$3,0,0,'Données projet'!$E$14+1,1))</f>
        <v>325.93182817189722</v>
      </c>
      <c r="DU129" s="59">
        <f t="shared" si="98"/>
        <v>280.04509991782709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5.6843418860808015E-14</v>
      </c>
      <c r="EK129" s="17">
        <f>EJ129*VLOOKUP('Données projet'!$B$15,Paramètres!$A$1:$I$89,3,0)*VLOOKUP('Données projet'!$B$15,Paramètres!$A$1:$I$89,5,0)</f>
        <v>4.5224624045658861E-14</v>
      </c>
      <c r="EL129" s="13">
        <f t="shared" si="99"/>
        <v>7.4514601661523691E-13</v>
      </c>
      <c r="EM129" s="20">
        <f t="shared" si="73"/>
        <v>1.3765621991510601E-12</v>
      </c>
      <c r="EN129" s="59">
        <f t="shared" si="74"/>
        <v>283.22703518042357</v>
      </c>
      <c r="EO129" s="59">
        <f ca="1">AVERAGE(OFFSET($EN$3,0,0,'Données projet'!$E$15+1,1))-AVERAGE(OFFSET($H$3,0,0,'Données projet'!$E$15+1,1))</f>
        <v>333.52903437536651</v>
      </c>
      <c r="EP129" s="59">
        <f t="shared" si="100"/>
        <v>359.47288701414777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0.26414699775126471</v>
      </c>
      <c r="EX129" s="21">
        <f>EXP(-LN(2)/2)*EX128+(1-EXP(-LN(2)/2))/(LN(2)/2)*ER129*EU129*VLOOKUP('Données projet'!$B$15,Paramètres!$A$1:$I$89,3,0)*0.475*44/12</f>
        <v>8.9591696756324902E-16</v>
      </c>
      <c r="EY129" s="22">
        <f t="shared" si="75"/>
        <v>0.2641469977512656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-2.8421709430404007E-13</v>
      </c>
      <c r="FF129" s="17">
        <f>FE129*VLOOKUP('Données projet'!$B$16,Paramètres!$A$1:$I$89,3,0)*VLOOKUP('Données projet'!$B$16,Paramètres!$A$1:$I$89,5,0)</f>
        <v>-1.69961822393816E-13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313.26988717307376</v>
      </c>
      <c r="FK129" s="59">
        <f t="shared" si="102"/>
        <v>248.17359813993201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0.34821079806656202</v>
      </c>
      <c r="FR129" s="21">
        <f>EXP(-LN(2)/25)*FR128+(1-EXP(-LN(2)/25))/(LN(2)/25)*Calculateur!FM129*Calculateur!FO129*VLOOKUP('Données projet'!$B$16,Paramètres!$A$1:$I$89,3,0)*0.475*44/12</f>
        <v>0.52646799711117587</v>
      </c>
      <c r="FS129" s="21">
        <f>EXP(-LN(2)/2)*FS128+(1-EXP(-LN(2)/2))/(LN(2)/2)*FM129*FP129*VLOOKUP('Données projet'!$B$16,Paramètres!$A$1:$I$89,3,0)*0.475*44/12</f>
        <v>1.4957974421024082E-14</v>
      </c>
      <c r="FT129" s="22">
        <f t="shared" si="78"/>
        <v>0.87467879517775293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181.00000000000009</v>
      </c>
      <c r="GA129" s="17">
        <f>FZ129*VLOOKUP('Données projet'!$B$17,Paramètres!$A$1:$I$89,3,0)*VLOOKUP('Données projet'!$B$17,Paramètres!$A$1:$I$89,5,0)</f>
        <v>194.82840000000007</v>
      </c>
      <c r="GB129" s="13">
        <f t="shared" si="103"/>
        <v>48.605879434898576</v>
      </c>
      <c r="GC129" s="20">
        <f t="shared" si="79"/>
        <v>423.98137001578181</v>
      </c>
      <c r="GD129" s="59">
        <f t="shared" si="80"/>
        <v>707.20840519620401</v>
      </c>
      <c r="GE129" s="59">
        <f ca="1">AVERAGE(OFFSET($GD$3,0,0,'Données projet'!$E$17+1,1))-AVERAGE(OFFSET($H$3,0,0,'Données projet'!$E$17+1,1))</f>
        <v>313.51355235711543</v>
      </c>
      <c r="GF129" s="59">
        <f t="shared" si="104"/>
        <v>186.0840067781198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0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0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275.00000000000057</v>
      </c>
      <c r="O130" s="13">
        <f>N130*VLOOKUP('Données projet'!$B$9,Paramètres!$A$1:$I$89,3,0)*VLOOKUP('Données projet'!$B$9,Paramètres!$A$1:$I$89,5,0)</f>
        <v>278.85000000000059</v>
      </c>
      <c r="P130" s="13">
        <f t="shared" si="87"/>
        <v>66.723922641153095</v>
      </c>
      <c r="Q130" s="20">
        <f t="shared" si="107"/>
        <v>601.8745819333426</v>
      </c>
      <c r="R130" s="59">
        <f t="shared" si="55"/>
        <v>885.27693879241997</v>
      </c>
      <c r="S130" s="59">
        <f ca="1">AVERAGE(OFFSET($R$3,0,0,'Données projet'!$E$9+1,1))-AVERAGE(OFFSET($H$3,0,0,'Données projet'!$E$9+1,1))</f>
        <v>452.67426184967104</v>
      </c>
      <c r="T130" s="59">
        <f t="shared" si="88"/>
        <v>310.47823616327639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2.6282051282051269</v>
      </c>
      <c r="AI130" s="13">
        <f>IF('Données projet'!$A$62&gt;35,AI129+AH130-AQ129,IF(A130&lt;'Données projet'!$A$62,$AF$205^A130,IF(A130='Données projet'!$A$62,'Données projet'!$B$62,AI129+AH130-AQ129)))</f>
        <v>331.21794871794827</v>
      </c>
      <c r="AJ130" s="13">
        <f>AI130*VLOOKUP('Données projet'!$B$10,Paramètres!$A$1:$I$89,3,0)*VLOOKUP('Données projet'!$B$10,Paramètres!$A$1:$I$89,5,0)</f>
        <v>346.18899999999957</v>
      </c>
      <c r="AK130" s="13">
        <f t="shared" si="89"/>
        <v>80.77728744058544</v>
      </c>
      <c r="AL130" s="20">
        <f t="shared" si="58"/>
        <v>743.63295062568557</v>
      </c>
      <c r="AM130" s="59">
        <f t="shared" si="59"/>
        <v>1027.0353074847631</v>
      </c>
      <c r="AN130" s="59">
        <f ca="1">AVERAGE(OFFSET($AM$3,0,0,'Données projet'!$E$10+1,1))-AVERAGE(OFFSET($H$3,0,0,'Données projet'!$E$10+1,1))</f>
        <v>528.45201982036087</v>
      </c>
      <c r="AO130" s="59">
        <f t="shared" si="90"/>
        <v>321.23004033257985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2.4813860260883769E-16</v>
      </c>
      <c r="AX130" s="21">
        <f t="shared" si="60"/>
        <v>2.4813860260883769E-16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181.00000000000009</v>
      </c>
      <c r="BE130" s="13">
        <f>BD130*VLOOKUP('Données projet'!$B$11,Paramètres!$A$1:$I$89,3,0)*VLOOKUP('Données projet'!$B$11,Paramètres!$A$1:$I$89,5,0)</f>
        <v>175.06320000000008</v>
      </c>
      <c r="BF130" s="13">
        <f t="shared" si="91"/>
        <v>44.222067746824763</v>
      </c>
      <c r="BG130" s="20">
        <f t="shared" si="61"/>
        <v>381.92184132571992</v>
      </c>
      <c r="BH130" s="59">
        <f t="shared" si="62"/>
        <v>665.3241981847973</v>
      </c>
      <c r="BI130" s="59">
        <f ca="1">AVERAGE(OFFSET($BH$3,0,0,'Données projet'!$E$11+1,1))-AVERAGE(OFFSET($H$3,0,0,'Données projet'!$E$11+1,1))</f>
        <v>289.06522051625166</v>
      </c>
      <c r="BJ130" s="59">
        <f t="shared" si="92"/>
        <v>173.19148969173838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234.00000000000045</v>
      </c>
      <c r="BZ130" s="13">
        <f>BY130*VLOOKUP('Données projet'!$B$12,Paramètres!$A$1:$I$89,3,0)*VLOOKUP('Données projet'!$B$12,Paramètres!$A$1:$I$89,5,0)</f>
        <v>189.82080000000036</v>
      </c>
      <c r="CA130" s="13">
        <f t="shared" si="93"/>
        <v>47.500332100049881</v>
      </c>
      <c r="CB130" s="20">
        <f t="shared" si="64"/>
        <v>413.33430507425419</v>
      </c>
      <c r="CC130" s="59">
        <f t="shared" si="65"/>
        <v>696.73666193333156</v>
      </c>
      <c r="CD130" s="59">
        <f ca="1">AVERAGE(OFFSET($CC$3,0,0,'Données projet'!$E$12+1,1))-AVERAGE(OFFSET($H$3,0,0,'Données projet'!$E$12+1,1))</f>
        <v>306.06916761900357</v>
      </c>
      <c r="CE130" s="59">
        <f t="shared" si="94"/>
        <v>258.90832875500337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4.5064933082751318E-16</v>
      </c>
      <c r="CN130" s="22">
        <f t="shared" si="66"/>
        <v>4.5064933082751318E-16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275.00000000000057</v>
      </c>
      <c r="CU130" s="17">
        <f>CT130*VLOOKUP('Données projet'!$B$13,Paramètres!$A$1:$I$89,3,0)*VLOOKUP('Données projet'!$B$13,Paramètres!$A$1:$I$89,5,0)</f>
        <v>184.4700000000004</v>
      </c>
      <c r="CV130" s="13">
        <f t="shared" si="95"/>
        <v>46.31525458251663</v>
      </c>
      <c r="CW130" s="20">
        <f t="shared" si="67"/>
        <v>401.95098506455048</v>
      </c>
      <c r="CX130" s="59">
        <f t="shared" si="68"/>
        <v>685.35334192362791</v>
      </c>
      <c r="CY130" s="59">
        <f ca="1">AVERAGE(OFFSET($CX$3,0,0,'Données projet'!$E$13+1,1))-AVERAGE(OFFSET($H$3,0,0,'Données projet'!$E$13+1,1))</f>
        <v>324.58754156328285</v>
      </c>
      <c r="CZ130" s="59">
        <f t="shared" si="96"/>
        <v>226.01037731977604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2.7327837625822261E-16</v>
      </c>
      <c r="DI130" s="22">
        <f t="shared" si="69"/>
        <v>2.7327837625822261E-16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3.4106051316484809E-13</v>
      </c>
      <c r="DP130" s="17">
        <f>DO130*VLOOKUP('Données projet'!$B$14,Paramètres!$A$1:$I$89,3,0)*VLOOKUP('Données projet'!$B$14,Paramètres!$A$1:$I$89,5,0)</f>
        <v>1.5961632016114892E-13</v>
      </c>
      <c r="DQ130" s="13">
        <f t="shared" si="97"/>
        <v>2.2708641912150958E-12</v>
      </c>
      <c r="DR130" s="20">
        <f t="shared" si="70"/>
        <v>4.2330868906469593E-12</v>
      </c>
      <c r="DS130" s="59">
        <f t="shared" si="71"/>
        <v>283.40235685908164</v>
      </c>
      <c r="DT130" s="59">
        <f ca="1">AVERAGE(OFFSET($DS$3,0,0,'Données projet'!$E$14+1,1))-AVERAGE(OFFSET($H$3,0,0,'Données projet'!$E$14+1,1))</f>
        <v>325.93182817189722</v>
      </c>
      <c r="DU130" s="59">
        <f t="shared" si="98"/>
        <v>280.04509991782709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5.6843418860808015E-14</v>
      </c>
      <c r="EK130" s="17">
        <f>EJ130*VLOOKUP('Données projet'!$B$15,Paramètres!$A$1:$I$89,3,0)*VLOOKUP('Données projet'!$B$15,Paramètres!$A$1:$I$89,5,0)</f>
        <v>4.5224624045658861E-14</v>
      </c>
      <c r="EL130" s="13">
        <f t="shared" si="99"/>
        <v>7.4514601661523691E-13</v>
      </c>
      <c r="EM130" s="20">
        <f t="shared" si="73"/>
        <v>1.3765621991510601E-12</v>
      </c>
      <c r="EN130" s="59">
        <f t="shared" si="74"/>
        <v>283.40235685907879</v>
      </c>
      <c r="EO130" s="59">
        <f ca="1">AVERAGE(OFFSET($EN$3,0,0,'Données projet'!$E$15+1,1))-AVERAGE(OFFSET($H$3,0,0,'Données projet'!$E$15+1,1))</f>
        <v>333.52903437536651</v>
      </c>
      <c r="EP130" s="59">
        <f t="shared" si="100"/>
        <v>359.47288701414777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0.25692388420686946</v>
      </c>
      <c r="EX130" s="21">
        <f>EXP(-LN(2)/2)*EX129+(1-EXP(-LN(2)/2))/(LN(2)/2)*ER130*EU130*VLOOKUP('Données projet'!$B$15,Paramètres!$A$1:$I$89,3,0)*0.475*44/12</f>
        <v>6.3350896314406154E-16</v>
      </c>
      <c r="EY130" s="22">
        <f t="shared" si="75"/>
        <v>0.25692388420687007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-2.8421709430404007E-13</v>
      </c>
      <c r="FF130" s="17">
        <f>FE130*VLOOKUP('Données projet'!$B$16,Paramètres!$A$1:$I$89,3,0)*VLOOKUP('Données projet'!$B$16,Paramètres!$A$1:$I$89,5,0)</f>
        <v>-1.69961822393816E-13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313.26988717307376</v>
      </c>
      <c r="FK130" s="59">
        <f t="shared" si="102"/>
        <v>248.17359813993201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0.34138259670409205</v>
      </c>
      <c r="FR130" s="21">
        <f>EXP(-LN(2)/25)*FR129+(1-EXP(-LN(2)/25))/(LN(2)/25)*Calculateur!FM130*Calculateur!FO130*VLOOKUP('Données projet'!$B$16,Paramètres!$A$1:$I$89,3,0)*0.475*44/12</f>
        <v>0.51207170204442209</v>
      </c>
      <c r="FS130" s="21">
        <f>EXP(-LN(2)/2)*FS129+(1-EXP(-LN(2)/2))/(LN(2)/2)*FM130*FP130*VLOOKUP('Données projet'!$B$16,Paramètres!$A$1:$I$89,3,0)*0.475*44/12</f>
        <v>1.0576885145921051E-14</v>
      </c>
      <c r="FT130" s="22">
        <f t="shared" si="78"/>
        <v>0.85345429874852463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181.00000000000009</v>
      </c>
      <c r="GA130" s="17">
        <f>FZ130*VLOOKUP('Données projet'!$B$17,Paramètres!$A$1:$I$89,3,0)*VLOOKUP('Données projet'!$B$17,Paramètres!$A$1:$I$89,5,0)</f>
        <v>194.82840000000007</v>
      </c>
      <c r="GB130" s="13">
        <f t="shared" si="103"/>
        <v>48.605879434898576</v>
      </c>
      <c r="GC130" s="20">
        <f t="shared" si="79"/>
        <v>423.98137001578181</v>
      </c>
      <c r="GD130" s="59">
        <f t="shared" si="80"/>
        <v>707.38372687485924</v>
      </c>
      <c r="GE130" s="59">
        <f ca="1">AVERAGE(OFFSET($GD$3,0,0,'Données projet'!$E$17+1,1))-AVERAGE(OFFSET($H$3,0,0,'Données projet'!$E$17+1,1))</f>
        <v>313.51355235711543</v>
      </c>
      <c r="GF130" s="59">
        <f t="shared" si="104"/>
        <v>186.0840067781198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0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0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275.00000000000057</v>
      </c>
      <c r="O131" s="13">
        <f>N131*VLOOKUP('Données projet'!$B$9,Paramètres!$A$1:$I$89,3,0)*VLOOKUP('Données projet'!$B$9,Paramètres!$A$1:$I$89,5,0)</f>
        <v>278.85000000000059</v>
      </c>
      <c r="P131" s="13">
        <f t="shared" si="87"/>
        <v>66.723922641153095</v>
      </c>
      <c r="Q131" s="20">
        <f t="shared" ref="Q131:Q153" si="108">(O131+P131)*0.475*44/12</f>
        <v>601.8745819333426</v>
      </c>
      <c r="R131" s="59">
        <f t="shared" ref="R131:R194" si="109">Q131+(I131+J131)*44/12</f>
        <v>885.44921903191107</v>
      </c>
      <c r="S131" s="59">
        <f ca="1">AVERAGE(OFFSET($R$3,0,0,'Données projet'!$E$9+1,1))-AVERAGE(OFFSET($H$3,0,0,'Données projet'!$E$9+1,1))</f>
        <v>452.67426184967104</v>
      </c>
      <c r="T131" s="59">
        <f t="shared" si="88"/>
        <v>310.47823616327639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2.6282051282051269</v>
      </c>
      <c r="AI131" s="13">
        <f>IF('Données projet'!$A$62&gt;35,AI130+AH131-AQ130,IF(A131&lt;'Données projet'!$A$62,$AF$205^A131,IF(A131='Données projet'!$A$62,'Données projet'!$B$62,AI130+AH131-AQ130)))</f>
        <v>333.84615384615341</v>
      </c>
      <c r="AJ131" s="13">
        <f>AI131*VLOOKUP('Données projet'!$B$10,Paramètres!$A$1:$I$89,3,0)*VLOOKUP('Données projet'!$B$10,Paramètres!$A$1:$I$89,5,0)</f>
        <v>348.93599999999958</v>
      </c>
      <c r="AK131" s="13">
        <f t="shared" si="89"/>
        <v>81.343383781028564</v>
      </c>
      <c r="AL131" s="20">
        <f t="shared" si="58"/>
        <v>749.40326008529075</v>
      </c>
      <c r="AM131" s="59">
        <f t="shared" si="59"/>
        <v>1032.9778971838593</v>
      </c>
      <c r="AN131" s="59">
        <f ca="1">AVERAGE(OFFSET($AM$3,0,0,'Données projet'!$E$10+1,1))-AVERAGE(OFFSET($H$3,0,0,'Données projet'!$E$10+1,1))</f>
        <v>528.45201982036087</v>
      </c>
      <c r="AO131" s="59">
        <f t="shared" si="90"/>
        <v>321.23004033257985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1.7546048857886307E-16</v>
      </c>
      <c r="AX131" s="21">
        <f t="shared" si="60"/>
        <v>1.7546048857886307E-16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181.00000000000009</v>
      </c>
      <c r="BE131" s="13">
        <f>BD131*VLOOKUP('Données projet'!$B$11,Paramètres!$A$1:$I$89,3,0)*VLOOKUP('Données projet'!$B$11,Paramètres!$A$1:$I$89,5,0)</f>
        <v>175.06320000000008</v>
      </c>
      <c r="BF131" s="13">
        <f t="shared" si="91"/>
        <v>44.222067746824763</v>
      </c>
      <c r="BG131" s="20">
        <f t="shared" si="61"/>
        <v>381.92184132571992</v>
      </c>
      <c r="BH131" s="59">
        <f t="shared" si="62"/>
        <v>665.4964784242884</v>
      </c>
      <c r="BI131" s="59">
        <f ca="1">AVERAGE(OFFSET($BH$3,0,0,'Données projet'!$E$11+1,1))-AVERAGE(OFFSET($H$3,0,0,'Données projet'!$E$11+1,1))</f>
        <v>289.06522051625166</v>
      </c>
      <c r="BJ131" s="59">
        <f t="shared" si="92"/>
        <v>173.19148969173838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234.00000000000045</v>
      </c>
      <c r="BZ131" s="13">
        <f>BY131*VLOOKUP('Données projet'!$B$12,Paramètres!$A$1:$I$89,3,0)*VLOOKUP('Données projet'!$B$12,Paramètres!$A$1:$I$89,5,0)</f>
        <v>189.82080000000036</v>
      </c>
      <c r="CA131" s="13">
        <f t="shared" si="93"/>
        <v>47.500332100049881</v>
      </c>
      <c r="CB131" s="20">
        <f t="shared" si="64"/>
        <v>413.33430507425419</v>
      </c>
      <c r="CC131" s="59">
        <f t="shared" si="65"/>
        <v>696.90894217282266</v>
      </c>
      <c r="CD131" s="59">
        <f ca="1">AVERAGE(OFFSET($CC$3,0,0,'Données projet'!$E$12+1,1))-AVERAGE(OFFSET($H$3,0,0,'Données projet'!$E$12+1,1))</f>
        <v>306.06916761900357</v>
      </c>
      <c r="CE131" s="59">
        <f t="shared" si="94"/>
        <v>258.90832875500337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3.1865719776531443E-16</v>
      </c>
      <c r="CN131" s="22">
        <f t="shared" si="66"/>
        <v>3.1865719776531443E-16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275.00000000000057</v>
      </c>
      <c r="CU131" s="17">
        <f>CT131*VLOOKUP('Données projet'!$B$13,Paramètres!$A$1:$I$89,3,0)*VLOOKUP('Données projet'!$B$13,Paramètres!$A$1:$I$89,5,0)</f>
        <v>184.4700000000004</v>
      </c>
      <c r="CV131" s="13">
        <f t="shared" si="95"/>
        <v>46.31525458251663</v>
      </c>
      <c r="CW131" s="20">
        <f t="shared" si="67"/>
        <v>401.95098506455048</v>
      </c>
      <c r="CX131" s="59">
        <f t="shared" si="68"/>
        <v>685.52562216311901</v>
      </c>
      <c r="CY131" s="59">
        <f ca="1">AVERAGE(OFFSET($CX$3,0,0,'Données projet'!$E$13+1,1))-AVERAGE(OFFSET($H$3,0,0,'Données projet'!$E$13+1,1))</f>
        <v>324.58754156328285</v>
      </c>
      <c r="CZ131" s="59">
        <f t="shared" si="96"/>
        <v>226.01037731977604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1.9323699300383802E-16</v>
      </c>
      <c r="DI131" s="22">
        <f t="shared" si="69"/>
        <v>1.9323699300383802E-16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3.4106051316484809E-13</v>
      </c>
      <c r="DP131" s="17">
        <f>DO131*VLOOKUP('Données projet'!$B$14,Paramètres!$A$1:$I$89,3,0)*VLOOKUP('Données projet'!$B$14,Paramètres!$A$1:$I$89,5,0)</f>
        <v>1.5961632016114892E-13</v>
      </c>
      <c r="DQ131" s="13">
        <f t="shared" si="97"/>
        <v>2.2708641912150958E-12</v>
      </c>
      <c r="DR131" s="20">
        <f t="shared" si="70"/>
        <v>4.2330868906469593E-12</v>
      </c>
      <c r="DS131" s="59">
        <f t="shared" si="71"/>
        <v>283.57463709857274</v>
      </c>
      <c r="DT131" s="59">
        <f ca="1">AVERAGE(OFFSET($DS$3,0,0,'Données projet'!$E$14+1,1))-AVERAGE(OFFSET($H$3,0,0,'Données projet'!$E$14+1,1))</f>
        <v>325.93182817189722</v>
      </c>
      <c r="DU131" s="59">
        <f t="shared" si="98"/>
        <v>280.04509991782709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5.6843418860808015E-14</v>
      </c>
      <c r="EK131" s="17">
        <f>EJ131*VLOOKUP('Données projet'!$B$15,Paramètres!$A$1:$I$89,3,0)*VLOOKUP('Données projet'!$B$15,Paramètres!$A$1:$I$89,5,0)</f>
        <v>4.5224624045658861E-14</v>
      </c>
      <c r="EL131" s="13">
        <f t="shared" si="99"/>
        <v>7.4514601661523691E-13</v>
      </c>
      <c r="EM131" s="20">
        <f t="shared" si="73"/>
        <v>1.3765621991510601E-12</v>
      </c>
      <c r="EN131" s="59">
        <f t="shared" si="74"/>
        <v>283.57463709856989</v>
      </c>
      <c r="EO131" s="59">
        <f ca="1">AVERAGE(OFFSET($EN$3,0,0,'Données projet'!$E$15+1,1))-AVERAGE(OFFSET($H$3,0,0,'Données projet'!$E$15+1,1))</f>
        <v>333.52903437536651</v>
      </c>
      <c r="EP131" s="59">
        <f t="shared" si="100"/>
        <v>359.47288701414777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0.24989828708219275</v>
      </c>
      <c r="EX131" s="21">
        <f>EXP(-LN(2)/2)*EX130+(1-EXP(-LN(2)/2))/(LN(2)/2)*ER131*EU131*VLOOKUP('Données projet'!$B$15,Paramètres!$A$1:$I$89,3,0)*0.475*44/12</f>
        <v>4.4795848378162451E-16</v>
      </c>
      <c r="EY131" s="22">
        <f t="shared" si="75"/>
        <v>0.24989828708219319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-2.8421709430404007E-13</v>
      </c>
      <c r="FF131" s="17">
        <f>FE131*VLOOKUP('Données projet'!$B$16,Paramètres!$A$1:$I$89,3,0)*VLOOKUP('Données projet'!$B$16,Paramètres!$A$1:$I$89,5,0)</f>
        <v>-1.69961822393816E-13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313.26988717307376</v>
      </c>
      <c r="FK131" s="59">
        <f t="shared" si="102"/>
        <v>248.17359813993201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0.33468829220554852</v>
      </c>
      <c r="FR131" s="21">
        <f>EXP(-LN(2)/25)*FR130+(1-EXP(-LN(2)/25))/(LN(2)/25)*Calculateur!FM131*Calculateur!FO131*VLOOKUP('Données projet'!$B$16,Paramètres!$A$1:$I$89,3,0)*0.475*44/12</f>
        <v>0.49806907442333692</v>
      </c>
      <c r="FS131" s="21">
        <f>EXP(-LN(2)/2)*FS130+(1-EXP(-LN(2)/2))/(LN(2)/2)*FM131*FP131*VLOOKUP('Données projet'!$B$16,Paramètres!$A$1:$I$89,3,0)*0.475*44/12</f>
        <v>7.4789872105120411E-15</v>
      </c>
      <c r="FT131" s="22">
        <f t="shared" si="78"/>
        <v>0.83275736662889288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181.00000000000009</v>
      </c>
      <c r="GA131" s="17">
        <f>FZ131*VLOOKUP('Données projet'!$B$17,Paramètres!$A$1:$I$89,3,0)*VLOOKUP('Données projet'!$B$17,Paramètres!$A$1:$I$89,5,0)</f>
        <v>194.82840000000007</v>
      </c>
      <c r="GB131" s="13">
        <f t="shared" si="103"/>
        <v>48.605879434898576</v>
      </c>
      <c r="GC131" s="20">
        <f t="shared" si="79"/>
        <v>423.98137001578181</v>
      </c>
      <c r="GD131" s="59">
        <f t="shared" si="80"/>
        <v>707.55600711435034</v>
      </c>
      <c r="GE131" s="59">
        <f ca="1">AVERAGE(OFFSET($GD$3,0,0,'Données projet'!$E$17+1,1))-AVERAGE(OFFSET($H$3,0,0,'Données projet'!$E$17+1,1))</f>
        <v>313.51355235711543</v>
      </c>
      <c r="GF131" s="59">
        <f t="shared" si="104"/>
        <v>186.0840067781198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0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0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275.00000000000057</v>
      </c>
      <c r="O132" s="13">
        <f>N132*VLOOKUP('Données projet'!$B$9,Paramètres!$A$1:$I$89,3,0)*VLOOKUP('Données projet'!$B$9,Paramètres!$A$1:$I$89,5,0)</f>
        <v>278.85000000000059</v>
      </c>
      <c r="P132" s="13">
        <f t="shared" si="87"/>
        <v>66.723922641153095</v>
      </c>
      <c r="Q132" s="20">
        <f t="shared" si="108"/>
        <v>601.8745819333426</v>
      </c>
      <c r="R132" s="59">
        <f t="shared" si="109"/>
        <v>885.61851059440801</v>
      </c>
      <c r="S132" s="59">
        <f ca="1">AVERAGE(OFFSET($R$3,0,0,'Données projet'!$E$9+1,1))-AVERAGE(OFFSET($H$3,0,0,'Données projet'!$E$9+1,1))</f>
        <v>452.67426184967104</v>
      </c>
      <c r="T132" s="59">
        <f t="shared" si="88"/>
        <v>310.47823616327639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2.6282051282051269</v>
      </c>
      <c r="AI132" s="13">
        <f>IF('Données projet'!$A$62&gt;35,AI131+AH132-AQ131,IF(A132&lt;'Données projet'!$A$62,$AF$205^A132,IF(A132='Données projet'!$A$62,'Données projet'!$B$62,AI131+AH132-AQ131)))</f>
        <v>336.47435897435855</v>
      </c>
      <c r="AJ132" s="13">
        <f>AI132*VLOOKUP('Données projet'!$B$10,Paramètres!$A$1:$I$89,3,0)*VLOOKUP('Données projet'!$B$10,Paramètres!$A$1:$I$89,5,0)</f>
        <v>351.68299999999959</v>
      </c>
      <c r="AK132" s="13">
        <f t="shared" si="89"/>
        <v>81.908961605684084</v>
      </c>
      <c r="AL132" s="20">
        <f t="shared" ref="AL132:AL153" si="112">(AJ132+AK132)*0.475*44/12</f>
        <v>755.1726664632323</v>
      </c>
      <c r="AM132" s="59">
        <f t="shared" ref="AM132:AM195" si="113">AL132+(AD132+AE132)*44/12</f>
        <v>1038.9165951242976</v>
      </c>
      <c r="AN132" s="59">
        <f ca="1">AVERAGE(OFFSET($AM$3,0,0,'Données projet'!$E$10+1,1))-AVERAGE(OFFSET($H$3,0,0,'Données projet'!$E$10+1,1))</f>
        <v>528.45201982036087</v>
      </c>
      <c r="AO132" s="59">
        <f t="shared" si="90"/>
        <v>321.23004033257985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1.2406930130441884E-16</v>
      </c>
      <c r="AX132" s="21">
        <f t="shared" ref="AX132:AX153" si="114">SUM(AU132:AW132)</f>
        <v>1.2406930130441884E-16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181.00000000000009</v>
      </c>
      <c r="BE132" s="13">
        <f>BD132*VLOOKUP('Données projet'!$B$11,Paramètres!$A$1:$I$89,3,0)*VLOOKUP('Données projet'!$B$11,Paramètres!$A$1:$I$89,5,0)</f>
        <v>175.06320000000008</v>
      </c>
      <c r="BF132" s="13">
        <f t="shared" si="91"/>
        <v>44.222067746824763</v>
      </c>
      <c r="BG132" s="20">
        <f t="shared" ref="BG132:BG153" si="115">(BE132+BF132)*0.475*44/12</f>
        <v>381.92184132571992</v>
      </c>
      <c r="BH132" s="59">
        <f t="shared" ref="BH132:BH195" si="116">BG132+(AY132+AZ132)*44/12</f>
        <v>665.66576998678534</v>
      </c>
      <c r="BI132" s="59">
        <f ca="1">AVERAGE(OFFSET($BH$3,0,0,'Données projet'!$E$11+1,1))-AVERAGE(OFFSET($H$3,0,0,'Données projet'!$E$11+1,1))</f>
        <v>289.06522051625166</v>
      </c>
      <c r="BJ132" s="59">
        <f t="shared" si="92"/>
        <v>173.19148969173838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234.00000000000045</v>
      </c>
      <c r="BZ132" s="13">
        <f>BY132*VLOOKUP('Données projet'!$B$12,Paramètres!$A$1:$I$89,3,0)*VLOOKUP('Données projet'!$B$12,Paramètres!$A$1:$I$89,5,0)</f>
        <v>189.82080000000036</v>
      </c>
      <c r="CA132" s="13">
        <f t="shared" si="93"/>
        <v>47.500332100049881</v>
      </c>
      <c r="CB132" s="20">
        <f t="shared" ref="CB132:CB153" si="118">(BZ132+CA132)*0.475*44/12</f>
        <v>413.33430507425419</v>
      </c>
      <c r="CC132" s="59">
        <f t="shared" ref="CC132:CC195" si="119">CB132+(BT132+BU132)*44/12</f>
        <v>697.0782337353196</v>
      </c>
      <c r="CD132" s="59">
        <f ca="1">AVERAGE(OFFSET($CC$3,0,0,'Données projet'!$E$12+1,1))-AVERAGE(OFFSET($H$3,0,0,'Données projet'!$E$12+1,1))</f>
        <v>306.06916761900357</v>
      </c>
      <c r="CE132" s="59">
        <f t="shared" si="94"/>
        <v>258.90832875500337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2.2532466541375659E-16</v>
      </c>
      <c r="CN132" s="22">
        <f t="shared" ref="CN132:CN153" si="120">SUM(CK132:CM132)</f>
        <v>2.2532466541375659E-16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275.00000000000057</v>
      </c>
      <c r="CU132" s="17">
        <f>CT132*VLOOKUP('Données projet'!$B$13,Paramètres!$A$1:$I$89,3,0)*VLOOKUP('Données projet'!$B$13,Paramètres!$A$1:$I$89,5,0)</f>
        <v>184.4700000000004</v>
      </c>
      <c r="CV132" s="13">
        <f t="shared" si="95"/>
        <v>46.31525458251663</v>
      </c>
      <c r="CW132" s="20">
        <f t="shared" ref="CW132:CW153" si="121">(CU132+CV132)*0.475*44/12</f>
        <v>401.95098506455048</v>
      </c>
      <c r="CX132" s="59">
        <f t="shared" ref="CX132:CX195" si="122">CW132+(CO132+CP132)*44/12</f>
        <v>685.69491372561583</v>
      </c>
      <c r="CY132" s="59">
        <f ca="1">AVERAGE(OFFSET($CX$3,0,0,'Données projet'!$E$13+1,1))-AVERAGE(OFFSET($H$3,0,0,'Données projet'!$E$13+1,1))</f>
        <v>324.58754156328285</v>
      </c>
      <c r="CZ132" s="59">
        <f t="shared" si="96"/>
        <v>226.01037731977604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1.3663918812911131E-16</v>
      </c>
      <c r="DI132" s="22">
        <f t="shared" ref="DI132:DI153" si="123">SUM(DF132:DH132)</f>
        <v>1.3663918812911131E-16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3.4106051316484809E-13</v>
      </c>
      <c r="DP132" s="17">
        <f>DO132*VLOOKUP('Données projet'!$B$14,Paramètres!$A$1:$I$89,3,0)*VLOOKUP('Données projet'!$B$14,Paramètres!$A$1:$I$89,5,0)</f>
        <v>1.5961632016114892E-13</v>
      </c>
      <c r="DQ132" s="13">
        <f t="shared" si="97"/>
        <v>2.2708641912150958E-12</v>
      </c>
      <c r="DR132" s="20">
        <f t="shared" ref="DR132:DR153" si="124">(DP132+DQ132)*0.475*44/12</f>
        <v>4.2330868906469593E-12</v>
      </c>
      <c r="DS132" s="59">
        <f t="shared" ref="DS132:DS195" si="125">DR132+(DJ132+DK132)*44/12</f>
        <v>283.74392866106956</v>
      </c>
      <c r="DT132" s="59">
        <f ca="1">AVERAGE(OFFSET($DS$3,0,0,'Données projet'!$E$14+1,1))-AVERAGE(OFFSET($H$3,0,0,'Données projet'!$E$14+1,1))</f>
        <v>325.93182817189722</v>
      </c>
      <c r="DU132" s="59">
        <f t="shared" si="98"/>
        <v>280.04509991782709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5.6843418860808015E-14</v>
      </c>
      <c r="EK132" s="17">
        <f>EJ132*VLOOKUP('Données projet'!$B$15,Paramètres!$A$1:$I$89,3,0)*VLOOKUP('Données projet'!$B$15,Paramètres!$A$1:$I$89,5,0)</f>
        <v>4.5224624045658861E-14</v>
      </c>
      <c r="EL132" s="13">
        <f t="shared" si="99"/>
        <v>7.4514601661523691E-13</v>
      </c>
      <c r="EM132" s="20">
        <f t="shared" ref="EM132:EM153" si="127">(EK132+EL132)*0.475*44/12</f>
        <v>1.3765621991510601E-12</v>
      </c>
      <c r="EN132" s="59">
        <f t="shared" ref="EN132:EN195" si="128">EM132+(EE132+EF132)*44/12</f>
        <v>283.74392866106672</v>
      </c>
      <c r="EO132" s="59">
        <f ca="1">AVERAGE(OFFSET($EN$3,0,0,'Données projet'!$E$15+1,1))-AVERAGE(OFFSET($H$3,0,0,'Données projet'!$E$15+1,1))</f>
        <v>333.52903437536651</v>
      </c>
      <c r="EP132" s="59">
        <f t="shared" si="100"/>
        <v>359.47288701414777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0.24306480528035043</v>
      </c>
      <c r="EX132" s="21">
        <f>EXP(-LN(2)/2)*EX131+(1-EXP(-LN(2)/2))/(LN(2)/2)*ER132*EU132*VLOOKUP('Données projet'!$B$15,Paramètres!$A$1:$I$89,3,0)*0.475*44/12</f>
        <v>3.1675448157203077E-16</v>
      </c>
      <c r="EY132" s="22">
        <f t="shared" ref="EY132:EY153" si="129">SUM(EV132:EX132)</f>
        <v>0.24306480528035074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-2.8421709430404007E-13</v>
      </c>
      <c r="FF132" s="17">
        <f>FE132*VLOOKUP('Données projet'!$B$16,Paramètres!$A$1:$I$89,3,0)*VLOOKUP('Données projet'!$B$16,Paramètres!$A$1:$I$89,5,0)</f>
        <v>-1.69961822393816E-13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313.26988717307376</v>
      </c>
      <c r="FK132" s="59">
        <f t="shared" si="102"/>
        <v>248.17359813993201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0.32812525893509886</v>
      </c>
      <c r="FR132" s="21">
        <f>EXP(-LN(2)/25)*FR131+(1-EXP(-LN(2)/25))/(LN(2)/25)*Calculateur!FM132*Calculateur!FO132*VLOOKUP('Données projet'!$B$16,Paramètres!$A$1:$I$89,3,0)*0.475*44/12</f>
        <v>0.48444934939091649</v>
      </c>
      <c r="FS132" s="21">
        <f>EXP(-LN(2)/2)*FS131+(1-EXP(-LN(2)/2))/(LN(2)/2)*FM132*FP132*VLOOKUP('Données projet'!$B$16,Paramètres!$A$1:$I$89,3,0)*0.475*44/12</f>
        <v>5.2884425729605255E-15</v>
      </c>
      <c r="FT132" s="22">
        <f t="shared" ref="FT132:FT153" si="132">SUM(FQ132:FS132)</f>
        <v>0.81257460832602069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181.00000000000009</v>
      </c>
      <c r="GA132" s="17">
        <f>FZ132*VLOOKUP('Données projet'!$B$17,Paramètres!$A$1:$I$89,3,0)*VLOOKUP('Données projet'!$B$17,Paramètres!$A$1:$I$89,5,0)</f>
        <v>194.82840000000007</v>
      </c>
      <c r="GB132" s="13">
        <f t="shared" si="103"/>
        <v>48.605879434898576</v>
      </c>
      <c r="GC132" s="20">
        <f t="shared" ref="GC132:GC153" si="133">(GA132+GB132)*0.475*44/12</f>
        <v>423.98137001578181</v>
      </c>
      <c r="GD132" s="59">
        <f t="shared" ref="GD132:GD195" si="134">GC132+(FU132+FV132)*44/12</f>
        <v>707.72529867684716</v>
      </c>
      <c r="GE132" s="59">
        <f ca="1">AVERAGE(OFFSET($GD$3,0,0,'Données projet'!$E$17+1,1))-AVERAGE(OFFSET($H$3,0,0,'Données projet'!$E$17+1,1))</f>
        <v>313.51355235711543</v>
      </c>
      <c r="GF132" s="59">
        <f t="shared" si="104"/>
        <v>186.0840067781198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0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0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275.00000000000057</v>
      </c>
      <c r="O133" s="13">
        <f>N133*VLOOKUP('Données projet'!$B$9,Paramètres!$A$1:$I$89,3,0)*VLOOKUP('Données projet'!$B$9,Paramètres!$A$1:$I$89,5,0)</f>
        <v>278.85000000000059</v>
      </c>
      <c r="P133" s="13">
        <f t="shared" ref="P133:P196" si="141">EXP(-1.0587+0.8836*LN(O133)+0.284)</f>
        <v>66.723922641153095</v>
      </c>
      <c r="Q133" s="20">
        <f t="shared" si="108"/>
        <v>601.8745819333426</v>
      </c>
      <c r="R133" s="59">
        <f t="shared" si="109"/>
        <v>885.78486532677471</v>
      </c>
      <c r="S133" s="59">
        <f ca="1">AVERAGE(OFFSET($R$3,0,0,'Données projet'!$E$9+1,1))-AVERAGE(OFFSET($H$3,0,0,'Données projet'!$E$9+1,1))</f>
        <v>452.67426184967104</v>
      </c>
      <c r="T133" s="59">
        <f t="shared" ref="T133:T196" si="142">$T$3</f>
        <v>310.47823616327639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339.10256410256409</v>
      </c>
      <c r="AG133" s="12">
        <f>VLOOKUP(A133,'Données projet'!$A$61:$I$81,9,0)</f>
        <v>2.6282051282051269</v>
      </c>
      <c r="AH133" s="12">
        <f t="array" ref="AH133">INDEX(AG:AG,MIN(IF(ISNUMBER(AG133:AG329),ROW(AG133:AG329),"")))</f>
        <v>2.6282051282051269</v>
      </c>
      <c r="AI133" s="13">
        <f>IF('Données projet'!$A$62&gt;35,AI132+AH133-AQ132,IF(A133&lt;'Données projet'!$A$62,$AF$205^A133,IF(A133='Données projet'!$A$62,'Données projet'!$B$62,AI132+AH133-AQ132)))</f>
        <v>339.10256410256369</v>
      </c>
      <c r="AJ133" s="13">
        <f>AI133*VLOOKUP('Données projet'!$B$10,Paramètres!$A$1:$I$89,3,0)*VLOOKUP('Données projet'!$B$10,Paramètres!$A$1:$I$89,5,0)</f>
        <v>354.42999999999955</v>
      </c>
      <c r="AK133" s="13">
        <f t="shared" ref="AK133:AK153" si="143">EXP(-1.0587+0.8836*LN(AJ133)+0.284)</f>
        <v>82.474025434157767</v>
      </c>
      <c r="AL133" s="20">
        <f t="shared" si="112"/>
        <v>760.9411776311573</v>
      </c>
      <c r="AM133" s="59">
        <f t="shared" si="113"/>
        <v>1044.8514610245893</v>
      </c>
      <c r="AN133" s="59">
        <f ca="1">AVERAGE(OFFSET($AM$3,0,0,'Données projet'!$E$10+1,1))-AVERAGE(OFFSET($H$3,0,0,'Données projet'!$E$10+1,1))</f>
        <v>528.45201982036087</v>
      </c>
      <c r="AO133" s="59">
        <f t="shared" ref="AO133:AO196" si="144">$AO$3</f>
        <v>321.23004033257985</v>
      </c>
      <c r="AP133" s="15">
        <f>IF(ISNA(VLOOKUP(A133,'Données projet'!$A$61:$I$81,3,0)),0,VLOOKUP(A133,'Données projet'!$A$61:$I$81,3,0))</f>
        <v>13</v>
      </c>
      <c r="AQ133" s="15">
        <f>IF(ISNA(VLOOKUP(A133,'Données projet'!$A$61:$I$81,4,0)),0,VLOOKUP(A133,'Données projet'!$A$61:$I$81,4,0))</f>
        <v>339.10256410256409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8.7730244289431533E-17</v>
      </c>
      <c r="AX133" s="21">
        <f t="shared" si="114"/>
        <v>8.7730244289431533E-17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181.00000000000009</v>
      </c>
      <c r="BE133" s="13">
        <f>BD133*VLOOKUP('Données projet'!$B$11,Paramètres!$A$1:$I$89,3,0)*VLOOKUP('Données projet'!$B$11,Paramètres!$A$1:$I$89,5,0)</f>
        <v>175.06320000000008</v>
      </c>
      <c r="BF133" s="13">
        <f t="shared" ref="BF133:BF153" si="145">EXP(-1.0587+0.8836*LN(BE133)+0.284)</f>
        <v>44.222067746824763</v>
      </c>
      <c r="BG133" s="20">
        <f t="shared" si="115"/>
        <v>381.92184132571992</v>
      </c>
      <c r="BH133" s="59">
        <f t="shared" si="116"/>
        <v>665.83212471915203</v>
      </c>
      <c r="BI133" s="59">
        <f ca="1">AVERAGE(OFFSET($BH$3,0,0,'Données projet'!$E$11+1,1))-AVERAGE(OFFSET($H$3,0,0,'Données projet'!$E$11+1,1))</f>
        <v>289.06522051625166</v>
      </c>
      <c r="BJ133" s="59">
        <f t="shared" ref="BJ133:BJ196" si="146">$BJ$3</f>
        <v>173.19148969173838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234.00000000000045</v>
      </c>
      <c r="BZ133" s="13">
        <f>BY133*VLOOKUP('Données projet'!$B$12,Paramètres!$A$1:$I$89,3,0)*VLOOKUP('Données projet'!$B$12,Paramètres!$A$1:$I$89,5,0)</f>
        <v>189.82080000000036</v>
      </c>
      <c r="CA133" s="13">
        <f t="shared" ref="CA133:CA153" si="147">EXP(-1.0587+0.8836*LN(BZ133)+0.284)</f>
        <v>47.500332100049881</v>
      </c>
      <c r="CB133" s="20">
        <f t="shared" si="118"/>
        <v>413.33430507425419</v>
      </c>
      <c r="CC133" s="59">
        <f t="shared" si="119"/>
        <v>697.2445884676863</v>
      </c>
      <c r="CD133" s="59">
        <f ca="1">AVERAGE(OFFSET($CC$3,0,0,'Données projet'!$E$12+1,1))-AVERAGE(OFFSET($H$3,0,0,'Données projet'!$E$12+1,1))</f>
        <v>306.06916761900357</v>
      </c>
      <c r="CE133" s="59">
        <f t="shared" ref="CE133:CE196" si="148">$CE$3</f>
        <v>258.90832875500337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1.5932859888265721E-16</v>
      </c>
      <c r="CN133" s="22">
        <f t="shared" si="120"/>
        <v>1.5932859888265721E-16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275.00000000000057</v>
      </c>
      <c r="CU133" s="17">
        <f>CT133*VLOOKUP('Données projet'!$B$13,Paramètres!$A$1:$I$89,3,0)*VLOOKUP('Données projet'!$B$13,Paramètres!$A$1:$I$89,5,0)</f>
        <v>184.4700000000004</v>
      </c>
      <c r="CV133" s="13">
        <f t="shared" ref="CV133:CV153" si="149">EXP(-1.0587+0.8836*LN(CU133)+0.284)</f>
        <v>46.31525458251663</v>
      </c>
      <c r="CW133" s="20">
        <f t="shared" si="121"/>
        <v>401.95098506455048</v>
      </c>
      <c r="CX133" s="59">
        <f t="shared" si="122"/>
        <v>685.86126845798253</v>
      </c>
      <c r="CY133" s="59">
        <f ca="1">AVERAGE(OFFSET($CX$3,0,0,'Données projet'!$E$13+1,1))-AVERAGE(OFFSET($H$3,0,0,'Données projet'!$E$13+1,1))</f>
        <v>324.58754156328285</v>
      </c>
      <c r="CZ133" s="59">
        <f t="shared" ref="CZ133:CZ196" si="150">$CZ$3</f>
        <v>226.01037731977604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9.6618496501919012E-17</v>
      </c>
      <c r="DI133" s="22">
        <f t="shared" si="123"/>
        <v>9.6618496501919012E-17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3.4106051316484809E-13</v>
      </c>
      <c r="DP133" s="17">
        <f>DO133*VLOOKUP('Données projet'!$B$14,Paramètres!$A$1:$I$89,3,0)*VLOOKUP('Données projet'!$B$14,Paramètres!$A$1:$I$89,5,0)</f>
        <v>1.5961632016114892E-13</v>
      </c>
      <c r="DQ133" s="13">
        <f t="shared" ref="DQ133:DQ153" si="151">EXP(-1.0587+0.8836*LN(DP133)+0.284)</f>
        <v>2.2708641912150958E-12</v>
      </c>
      <c r="DR133" s="20">
        <f t="shared" si="124"/>
        <v>4.2330868906469593E-12</v>
      </c>
      <c r="DS133" s="59">
        <f t="shared" si="125"/>
        <v>283.91028339343632</v>
      </c>
      <c r="DT133" s="59">
        <f ca="1">AVERAGE(OFFSET($DS$3,0,0,'Données projet'!$E$14+1,1))-AVERAGE(OFFSET($H$3,0,0,'Données projet'!$E$14+1,1))</f>
        <v>325.93182817189722</v>
      </c>
      <c r="DU133" s="59">
        <f t="shared" ref="DU133:DU196" si="152">$DU$3</f>
        <v>280.04509991782709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5.6843418860808015E-14</v>
      </c>
      <c r="EK133" s="17">
        <f>EJ133*VLOOKUP('Données projet'!$B$15,Paramètres!$A$1:$I$89,3,0)*VLOOKUP('Données projet'!$B$15,Paramètres!$A$1:$I$89,5,0)</f>
        <v>4.5224624045658861E-14</v>
      </c>
      <c r="EL133" s="13">
        <f t="shared" ref="EL133:EL153" si="153">EXP(-1.0587+0.8836*LN(EK133)+0.284)</f>
        <v>7.4514601661523691E-13</v>
      </c>
      <c r="EM133" s="20">
        <f t="shared" si="127"/>
        <v>1.3765621991510601E-12</v>
      </c>
      <c r="EN133" s="59">
        <f t="shared" si="128"/>
        <v>283.91028339343347</v>
      </c>
      <c r="EO133" s="59">
        <f ca="1">AVERAGE(OFFSET($EN$3,0,0,'Données projet'!$E$15+1,1))-AVERAGE(OFFSET($H$3,0,0,'Données projet'!$E$15+1,1))</f>
        <v>333.52903437536651</v>
      </c>
      <c r="EP133" s="59">
        <f t="shared" ref="EP133:EP196" si="154">$EP$3</f>
        <v>359.47288701414777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0.23641818539773668</v>
      </c>
      <c r="EX133" s="21">
        <f>EXP(-LN(2)/2)*EX132+(1-EXP(-LN(2)/2))/(LN(2)/2)*ER133*EU133*VLOOKUP('Données projet'!$B$15,Paramètres!$A$1:$I$89,3,0)*0.475*44/12</f>
        <v>2.2397924189081225E-16</v>
      </c>
      <c r="EY133" s="22">
        <f t="shared" si="129"/>
        <v>0.2364181853977369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-2.8421709430404007E-13</v>
      </c>
      <c r="FF133" s="17">
        <f>FE133*VLOOKUP('Données projet'!$B$16,Paramètres!$A$1:$I$89,3,0)*VLOOKUP('Données projet'!$B$16,Paramètres!$A$1:$I$89,5,0)</f>
        <v>-1.69961822393816E-13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313.26988717307376</v>
      </c>
      <c r="FK133" s="59">
        <f t="shared" ref="FK133:FK196" si="156">$FK$3</f>
        <v>248.17359813993201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0.32169092274402766</v>
      </c>
      <c r="FR133" s="21">
        <f>EXP(-LN(2)/25)*FR132+(1-EXP(-LN(2)/25))/(LN(2)/25)*Calculateur!FM133*Calculateur!FO133*VLOOKUP('Données projet'!$B$16,Paramètres!$A$1:$I$89,3,0)*0.475*44/12</f>
        <v>0.47120205645573782</v>
      </c>
      <c r="FS133" s="21">
        <f>EXP(-LN(2)/2)*FS132+(1-EXP(-LN(2)/2))/(LN(2)/2)*FM133*FP133*VLOOKUP('Données projet'!$B$16,Paramètres!$A$1:$I$89,3,0)*0.475*44/12</f>
        <v>3.7394936052560206E-15</v>
      </c>
      <c r="FT133" s="22">
        <f t="shared" si="132"/>
        <v>0.7928929791997692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181.00000000000009</v>
      </c>
      <c r="GA133" s="17">
        <f>FZ133*VLOOKUP('Données projet'!$B$17,Paramètres!$A$1:$I$89,3,0)*VLOOKUP('Données projet'!$B$17,Paramètres!$A$1:$I$89,5,0)</f>
        <v>194.82840000000007</v>
      </c>
      <c r="GB133" s="13">
        <f t="shared" ref="GB133:GB153" si="157">EXP(-1.0587+0.8836*LN(GA133)+0.284)</f>
        <v>48.605879434898576</v>
      </c>
      <c r="GC133" s="20">
        <f t="shared" si="133"/>
        <v>423.98137001578181</v>
      </c>
      <c r="GD133" s="59">
        <f t="shared" si="134"/>
        <v>707.89165340921386</v>
      </c>
      <c r="GE133" s="59">
        <f ca="1">AVERAGE(OFFSET($GD$3,0,0,'Données projet'!$E$17+1,1))-AVERAGE(OFFSET($H$3,0,0,'Données projet'!$E$17+1,1))</f>
        <v>313.51355235711543</v>
      </c>
      <c r="GF133" s="59">
        <f t="shared" ref="GF133:GF196" si="158">$GF$3</f>
        <v>186.0840067781198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0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0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275.00000000000057</v>
      </c>
      <c r="O134" s="13">
        <f>N134*VLOOKUP('Données projet'!$B$9,Paramètres!$A$1:$I$89,3,0)*VLOOKUP('Données projet'!$B$9,Paramètres!$A$1:$I$89,5,0)</f>
        <v>278.85000000000059</v>
      </c>
      <c r="P134" s="13">
        <f t="shared" si="141"/>
        <v>66.723922641153095</v>
      </c>
      <c r="Q134" s="20">
        <f t="shared" si="108"/>
        <v>601.8745819333426</v>
      </c>
      <c r="R134" s="59">
        <f t="shared" si="109"/>
        <v>885.94833417644827</v>
      </c>
      <c r="S134" s="59">
        <f ca="1">AVERAGE(OFFSET($R$3,0,0,'Données projet'!$E$9+1,1))-AVERAGE(OFFSET($H$3,0,0,'Données projet'!$E$9+1,1))</f>
        <v>452.67426184967104</v>
      </c>
      <c r="T134" s="59">
        <f t="shared" si="142"/>
        <v>310.47823616327639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-3.979039320256561E-13</v>
      </c>
      <c r="AJ134" s="13">
        <f>AI134*VLOOKUP('Données projet'!$B$10,Paramètres!$A$1:$I$89,3,0)*VLOOKUP('Données projet'!$B$10,Paramètres!$A$1:$I$89,5,0)</f>
        <v>-4.158891897532158E-13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528.45201982036087</v>
      </c>
      <c r="AO134" s="59">
        <f t="shared" si="144"/>
        <v>321.23004033257985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6.2034650652209422E-17</v>
      </c>
      <c r="AX134" s="21">
        <f t="shared" si="114"/>
        <v>6.2034650652209422E-17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181.00000000000009</v>
      </c>
      <c r="BE134" s="13">
        <f>BD134*VLOOKUP('Données projet'!$B$11,Paramètres!$A$1:$I$89,3,0)*VLOOKUP('Données projet'!$B$11,Paramètres!$A$1:$I$89,5,0)</f>
        <v>175.06320000000008</v>
      </c>
      <c r="BF134" s="13">
        <f t="shared" si="145"/>
        <v>44.222067746824763</v>
      </c>
      <c r="BG134" s="20">
        <f t="shared" si="115"/>
        <v>381.92184132571992</v>
      </c>
      <c r="BH134" s="59">
        <f t="shared" si="116"/>
        <v>665.9955935688256</v>
      </c>
      <c r="BI134" s="59">
        <f ca="1">AVERAGE(OFFSET($BH$3,0,0,'Données projet'!$E$11+1,1))-AVERAGE(OFFSET($H$3,0,0,'Données projet'!$E$11+1,1))</f>
        <v>289.06522051625166</v>
      </c>
      <c r="BJ134" s="59">
        <f t="shared" si="146"/>
        <v>173.19148969173838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234.00000000000045</v>
      </c>
      <c r="BZ134" s="13">
        <f>BY134*VLOOKUP('Données projet'!$B$12,Paramètres!$A$1:$I$89,3,0)*VLOOKUP('Données projet'!$B$12,Paramètres!$A$1:$I$89,5,0)</f>
        <v>189.82080000000036</v>
      </c>
      <c r="CA134" s="13">
        <f t="shared" si="147"/>
        <v>47.500332100049881</v>
      </c>
      <c r="CB134" s="20">
        <f t="shared" si="118"/>
        <v>413.33430507425419</v>
      </c>
      <c r="CC134" s="59">
        <f t="shared" si="119"/>
        <v>697.40805731735986</v>
      </c>
      <c r="CD134" s="59">
        <f ca="1">AVERAGE(OFFSET($CC$3,0,0,'Données projet'!$E$12+1,1))-AVERAGE(OFFSET($H$3,0,0,'Données projet'!$E$12+1,1))</f>
        <v>306.06916761900357</v>
      </c>
      <c r="CE134" s="59">
        <f t="shared" si="148"/>
        <v>258.90832875500337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1.1266233270687829E-16</v>
      </c>
      <c r="CN134" s="22">
        <f t="shared" si="120"/>
        <v>1.1266233270687829E-16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275.00000000000057</v>
      </c>
      <c r="CU134" s="17">
        <f>CT134*VLOOKUP('Données projet'!$B$13,Paramètres!$A$1:$I$89,3,0)*VLOOKUP('Données projet'!$B$13,Paramètres!$A$1:$I$89,5,0)</f>
        <v>184.4700000000004</v>
      </c>
      <c r="CV134" s="13">
        <f t="shared" si="149"/>
        <v>46.31525458251663</v>
      </c>
      <c r="CW134" s="20">
        <f t="shared" si="121"/>
        <v>401.95098506455048</v>
      </c>
      <c r="CX134" s="59">
        <f t="shared" si="122"/>
        <v>686.02473730765621</v>
      </c>
      <c r="CY134" s="59">
        <f ca="1">AVERAGE(OFFSET($CX$3,0,0,'Données projet'!$E$13+1,1))-AVERAGE(OFFSET($H$3,0,0,'Données projet'!$E$13+1,1))</f>
        <v>324.58754156328285</v>
      </c>
      <c r="CZ134" s="59">
        <f t="shared" si="150"/>
        <v>226.01037731977604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6.8319594064555654E-17</v>
      </c>
      <c r="DI134" s="22">
        <f t="shared" si="123"/>
        <v>6.8319594064555654E-17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3.4106051316484809E-13</v>
      </c>
      <c r="DP134" s="17">
        <f>DO134*VLOOKUP('Données projet'!$B$14,Paramètres!$A$1:$I$89,3,0)*VLOOKUP('Données projet'!$B$14,Paramètres!$A$1:$I$89,5,0)</f>
        <v>1.5961632016114892E-13</v>
      </c>
      <c r="DQ134" s="13">
        <f t="shared" si="151"/>
        <v>2.2708641912150958E-12</v>
      </c>
      <c r="DR134" s="20">
        <f t="shared" si="124"/>
        <v>4.2330868906469593E-12</v>
      </c>
      <c r="DS134" s="59">
        <f t="shared" si="125"/>
        <v>284.07375224310994</v>
      </c>
      <c r="DT134" s="59">
        <f ca="1">AVERAGE(OFFSET($DS$3,0,0,'Données projet'!$E$14+1,1))-AVERAGE(OFFSET($H$3,0,0,'Données projet'!$E$14+1,1))</f>
        <v>325.93182817189722</v>
      </c>
      <c r="DU134" s="59">
        <f t="shared" si="152"/>
        <v>280.04509991782709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5.6843418860808015E-14</v>
      </c>
      <c r="EK134" s="17">
        <f>EJ134*VLOOKUP('Données projet'!$B$15,Paramètres!$A$1:$I$89,3,0)*VLOOKUP('Données projet'!$B$15,Paramètres!$A$1:$I$89,5,0)</f>
        <v>4.5224624045658861E-14</v>
      </c>
      <c r="EL134" s="13">
        <f t="shared" si="153"/>
        <v>7.4514601661523691E-13</v>
      </c>
      <c r="EM134" s="20">
        <f t="shared" si="127"/>
        <v>1.3765621991510601E-12</v>
      </c>
      <c r="EN134" s="59">
        <f t="shared" si="128"/>
        <v>284.07375224310709</v>
      </c>
      <c r="EO134" s="59">
        <f ca="1">AVERAGE(OFFSET($EN$3,0,0,'Données projet'!$E$15+1,1))-AVERAGE(OFFSET($H$3,0,0,'Données projet'!$E$15+1,1))</f>
        <v>333.52903437536651</v>
      </c>
      <c r="EP134" s="59">
        <f t="shared" si="154"/>
        <v>359.47288701414777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0.22995331768534355</v>
      </c>
      <c r="EX134" s="21">
        <f>EXP(-LN(2)/2)*EX133+(1-EXP(-LN(2)/2))/(LN(2)/2)*ER134*EU134*VLOOKUP('Données projet'!$B$15,Paramètres!$A$1:$I$89,3,0)*0.475*44/12</f>
        <v>1.5837724078601539E-16</v>
      </c>
      <c r="EY134" s="22">
        <f t="shared" si="129"/>
        <v>0.22995331768534372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-2.8421709430404007E-13</v>
      </c>
      <c r="FF134" s="17">
        <f>FE134*VLOOKUP('Données projet'!$B$16,Paramètres!$A$1:$I$89,3,0)*VLOOKUP('Données projet'!$B$16,Paramètres!$A$1:$I$89,5,0)</f>
        <v>-1.69961822393816E-13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313.26988717307376</v>
      </c>
      <c r="FK134" s="59">
        <f t="shared" si="156"/>
        <v>248.17359813993201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0.31538275996110582</v>
      </c>
      <c r="FR134" s="21">
        <f>EXP(-LN(2)/25)*FR133+(1-EXP(-LN(2)/25))/(LN(2)/25)*Calculateur!FM134*Calculateur!FO134*VLOOKUP('Données projet'!$B$16,Paramètres!$A$1:$I$89,3,0)*0.475*44/12</f>
        <v>0.45831701144251646</v>
      </c>
      <c r="FS134" s="21">
        <f>EXP(-LN(2)/2)*FS133+(1-EXP(-LN(2)/2))/(LN(2)/2)*FM134*FP134*VLOOKUP('Données projet'!$B$16,Paramètres!$A$1:$I$89,3,0)*0.475*44/12</f>
        <v>2.6442212864802627E-15</v>
      </c>
      <c r="FT134" s="22">
        <f t="shared" si="132"/>
        <v>0.77369977140362489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181.00000000000009</v>
      </c>
      <c r="GA134" s="17">
        <f>FZ134*VLOOKUP('Données projet'!$B$17,Paramètres!$A$1:$I$89,3,0)*VLOOKUP('Données projet'!$B$17,Paramètres!$A$1:$I$89,5,0)</f>
        <v>194.82840000000007</v>
      </c>
      <c r="GB134" s="13">
        <f t="shared" si="157"/>
        <v>48.605879434898576</v>
      </c>
      <c r="GC134" s="20">
        <f t="shared" si="133"/>
        <v>423.98137001578181</v>
      </c>
      <c r="GD134" s="59">
        <f t="shared" si="134"/>
        <v>708.05512225888754</v>
      </c>
      <c r="GE134" s="59">
        <f ca="1">AVERAGE(OFFSET($GD$3,0,0,'Données projet'!$E$17+1,1))-AVERAGE(OFFSET($H$3,0,0,'Données projet'!$E$17+1,1))</f>
        <v>313.51355235711543</v>
      </c>
      <c r="GF134" s="59">
        <f t="shared" si="158"/>
        <v>186.0840067781198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0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0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275.00000000000057</v>
      </c>
      <c r="O135" s="13">
        <f>N135*VLOOKUP('Données projet'!$B$9,Paramètres!$A$1:$I$89,3,0)*VLOOKUP('Données projet'!$B$9,Paramètres!$A$1:$I$89,5,0)</f>
        <v>278.85000000000059</v>
      </c>
      <c r="P135" s="13">
        <f t="shared" si="141"/>
        <v>66.723922641153095</v>
      </c>
      <c r="Q135" s="20">
        <f t="shared" si="108"/>
        <v>601.8745819333426</v>
      </c>
      <c r="R135" s="59">
        <f t="shared" si="109"/>
        <v>886.10896720704181</v>
      </c>
      <c r="S135" s="59">
        <f ca="1">AVERAGE(OFFSET($R$3,0,0,'Données projet'!$E$9+1,1))-AVERAGE(OFFSET($H$3,0,0,'Données projet'!$E$9+1,1))</f>
        <v>452.67426184967104</v>
      </c>
      <c r="T135" s="59">
        <f t="shared" si="142"/>
        <v>310.47823616327639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-3.979039320256561E-13</v>
      </c>
      <c r="AJ135" s="13">
        <f>AI135*VLOOKUP('Données projet'!$B$10,Paramètres!$A$1:$I$89,3,0)*VLOOKUP('Données projet'!$B$10,Paramètres!$A$1:$I$89,5,0)</f>
        <v>-4.158891897532158E-13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528.45201982036087</v>
      </c>
      <c r="AO135" s="59">
        <f t="shared" si="144"/>
        <v>321.23004033257985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4.3865122144715767E-17</v>
      </c>
      <c r="AX135" s="21">
        <f t="shared" si="114"/>
        <v>4.3865122144715767E-17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181.00000000000009</v>
      </c>
      <c r="BE135" s="13">
        <f>BD135*VLOOKUP('Données projet'!$B$11,Paramètres!$A$1:$I$89,3,0)*VLOOKUP('Données projet'!$B$11,Paramètres!$A$1:$I$89,5,0)</f>
        <v>175.06320000000008</v>
      </c>
      <c r="BF135" s="13">
        <f t="shared" si="145"/>
        <v>44.222067746824763</v>
      </c>
      <c r="BG135" s="20">
        <f t="shared" si="115"/>
        <v>381.92184132571992</v>
      </c>
      <c r="BH135" s="59">
        <f t="shared" si="116"/>
        <v>666.15622659941914</v>
      </c>
      <c r="BI135" s="59">
        <f ca="1">AVERAGE(OFFSET($BH$3,0,0,'Données projet'!$E$11+1,1))-AVERAGE(OFFSET($H$3,0,0,'Données projet'!$E$11+1,1))</f>
        <v>289.06522051625166</v>
      </c>
      <c r="BJ135" s="59">
        <f t="shared" si="146"/>
        <v>173.19148969173838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234.00000000000045</v>
      </c>
      <c r="BZ135" s="13">
        <f>BY135*VLOOKUP('Données projet'!$B$12,Paramètres!$A$1:$I$89,3,0)*VLOOKUP('Données projet'!$B$12,Paramètres!$A$1:$I$89,5,0)</f>
        <v>189.82080000000036</v>
      </c>
      <c r="CA135" s="13">
        <f t="shared" si="147"/>
        <v>47.500332100049881</v>
      </c>
      <c r="CB135" s="20">
        <f t="shared" si="118"/>
        <v>413.33430507425419</v>
      </c>
      <c r="CC135" s="59">
        <f t="shared" si="119"/>
        <v>697.56869034795341</v>
      </c>
      <c r="CD135" s="59">
        <f ca="1">AVERAGE(OFFSET($CC$3,0,0,'Données projet'!$E$12+1,1))-AVERAGE(OFFSET($H$3,0,0,'Données projet'!$E$12+1,1))</f>
        <v>306.06916761900357</v>
      </c>
      <c r="CE135" s="59">
        <f t="shared" si="148"/>
        <v>258.90832875500337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7.9664299441328607E-17</v>
      </c>
      <c r="CN135" s="22">
        <f t="shared" si="120"/>
        <v>7.9664299441328607E-17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275.00000000000057</v>
      </c>
      <c r="CU135" s="17">
        <f>CT135*VLOOKUP('Données projet'!$B$13,Paramètres!$A$1:$I$89,3,0)*VLOOKUP('Données projet'!$B$13,Paramètres!$A$1:$I$89,5,0)</f>
        <v>184.4700000000004</v>
      </c>
      <c r="CV135" s="13">
        <f t="shared" si="149"/>
        <v>46.31525458251663</v>
      </c>
      <c r="CW135" s="20">
        <f t="shared" si="121"/>
        <v>401.95098506455048</v>
      </c>
      <c r="CX135" s="59">
        <f t="shared" si="122"/>
        <v>686.18537033824964</v>
      </c>
      <c r="CY135" s="59">
        <f ca="1">AVERAGE(OFFSET($CX$3,0,0,'Données projet'!$E$13+1,1))-AVERAGE(OFFSET($H$3,0,0,'Données projet'!$E$13+1,1))</f>
        <v>324.58754156328285</v>
      </c>
      <c r="CZ135" s="59">
        <f t="shared" si="150"/>
        <v>226.01037731977604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4.8309248250959506E-17</v>
      </c>
      <c r="DI135" s="22">
        <f t="shared" si="123"/>
        <v>4.8309248250959506E-17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3.4106051316484809E-13</v>
      </c>
      <c r="DP135" s="17">
        <f>DO135*VLOOKUP('Données projet'!$B$14,Paramètres!$A$1:$I$89,3,0)*VLOOKUP('Données projet'!$B$14,Paramètres!$A$1:$I$89,5,0)</f>
        <v>1.5961632016114892E-13</v>
      </c>
      <c r="DQ135" s="13">
        <f t="shared" si="151"/>
        <v>2.2708641912150958E-12</v>
      </c>
      <c r="DR135" s="20">
        <f t="shared" si="124"/>
        <v>4.2330868906469593E-12</v>
      </c>
      <c r="DS135" s="59">
        <f t="shared" si="125"/>
        <v>284.23438527370337</v>
      </c>
      <c r="DT135" s="59">
        <f ca="1">AVERAGE(OFFSET($DS$3,0,0,'Données projet'!$E$14+1,1))-AVERAGE(OFFSET($H$3,0,0,'Données projet'!$E$14+1,1))</f>
        <v>325.93182817189722</v>
      </c>
      <c r="DU135" s="59">
        <f t="shared" si="152"/>
        <v>280.04509991782709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5.6843418860808015E-14</v>
      </c>
      <c r="EK135" s="17">
        <f>EJ135*VLOOKUP('Données projet'!$B$15,Paramètres!$A$1:$I$89,3,0)*VLOOKUP('Données projet'!$B$15,Paramètres!$A$1:$I$89,5,0)</f>
        <v>4.5224624045658861E-14</v>
      </c>
      <c r="EL135" s="13">
        <f t="shared" si="153"/>
        <v>7.4514601661523691E-13</v>
      </c>
      <c r="EM135" s="20">
        <f t="shared" si="127"/>
        <v>1.3765621991510601E-12</v>
      </c>
      <c r="EN135" s="59">
        <f t="shared" si="128"/>
        <v>284.23438527370052</v>
      </c>
      <c r="EO135" s="59">
        <f ca="1">AVERAGE(OFFSET($EN$3,0,0,'Données projet'!$E$15+1,1))-AVERAGE(OFFSET($H$3,0,0,'Données projet'!$E$15+1,1))</f>
        <v>333.52903437536651</v>
      </c>
      <c r="EP135" s="59">
        <f t="shared" si="154"/>
        <v>359.47288701414777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0.22366523212051842</v>
      </c>
      <c r="EX135" s="21">
        <f>EXP(-LN(2)/2)*EX134+(1-EXP(-LN(2)/2))/(LN(2)/2)*ER135*EU135*VLOOKUP('Données projet'!$B$15,Paramètres!$A$1:$I$89,3,0)*0.475*44/12</f>
        <v>1.1198962094540613E-16</v>
      </c>
      <c r="EY135" s="22">
        <f t="shared" si="129"/>
        <v>0.22366523212051853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-2.8421709430404007E-13</v>
      </c>
      <c r="FF135" s="17">
        <f>FE135*VLOOKUP('Données projet'!$B$16,Paramètres!$A$1:$I$89,3,0)*VLOOKUP('Données projet'!$B$16,Paramètres!$A$1:$I$89,5,0)</f>
        <v>-1.69961822393816E-13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313.26988717307376</v>
      </c>
      <c r="FK135" s="59">
        <f t="shared" si="156"/>
        <v>248.17359813993201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0.3091982964027577</v>
      </c>
      <c r="FR135" s="21">
        <f>EXP(-LN(2)/25)*FR134+(1-EXP(-LN(2)/25))/(LN(2)/25)*Calculateur!FM135*Calculateur!FO135*VLOOKUP('Données projet'!$B$16,Paramètres!$A$1:$I$89,3,0)*0.475*44/12</f>
        <v>0.44578430866277674</v>
      </c>
      <c r="FS135" s="21">
        <f>EXP(-LN(2)/2)*FS134+(1-EXP(-LN(2)/2))/(LN(2)/2)*FM135*FP135*VLOOKUP('Données projet'!$B$16,Paramètres!$A$1:$I$89,3,0)*0.475*44/12</f>
        <v>1.8697468026280103E-15</v>
      </c>
      <c r="FT135" s="22">
        <f t="shared" si="132"/>
        <v>0.75498260506553627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181.00000000000009</v>
      </c>
      <c r="GA135" s="17">
        <f>FZ135*VLOOKUP('Données projet'!$B$17,Paramètres!$A$1:$I$89,3,0)*VLOOKUP('Données projet'!$B$17,Paramètres!$A$1:$I$89,5,0)</f>
        <v>194.82840000000007</v>
      </c>
      <c r="GB135" s="13">
        <f t="shared" si="157"/>
        <v>48.605879434898576</v>
      </c>
      <c r="GC135" s="20">
        <f t="shared" si="133"/>
        <v>423.98137001578181</v>
      </c>
      <c r="GD135" s="59">
        <f t="shared" si="134"/>
        <v>708.21575528948097</v>
      </c>
      <c r="GE135" s="59">
        <f ca="1">AVERAGE(OFFSET($GD$3,0,0,'Données projet'!$E$17+1,1))-AVERAGE(OFFSET($H$3,0,0,'Données projet'!$E$17+1,1))</f>
        <v>313.51355235711543</v>
      </c>
      <c r="GF135" s="59">
        <f t="shared" si="158"/>
        <v>186.0840067781198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0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0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275.00000000000057</v>
      </c>
      <c r="O136" s="13">
        <f>N136*VLOOKUP('Données projet'!$B$9,Paramètres!$A$1:$I$89,3,0)*VLOOKUP('Données projet'!$B$9,Paramètres!$A$1:$I$89,5,0)</f>
        <v>278.85000000000059</v>
      </c>
      <c r="P136" s="13">
        <f t="shared" si="141"/>
        <v>66.723922641153095</v>
      </c>
      <c r="Q136" s="20">
        <f t="shared" si="108"/>
        <v>601.8745819333426</v>
      </c>
      <c r="R136" s="59">
        <f t="shared" si="109"/>
        <v>886.26681361367605</v>
      </c>
      <c r="S136" s="59">
        <f ca="1">AVERAGE(OFFSET($R$3,0,0,'Données projet'!$E$9+1,1))-AVERAGE(OFFSET($H$3,0,0,'Données projet'!$E$9+1,1))</f>
        <v>452.67426184967104</v>
      </c>
      <c r="T136" s="59">
        <f t="shared" si="142"/>
        <v>310.47823616327639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-3.979039320256561E-13</v>
      </c>
      <c r="AJ136" s="13">
        <f>AI136*VLOOKUP('Données projet'!$B$10,Paramètres!$A$1:$I$89,3,0)*VLOOKUP('Données projet'!$B$10,Paramètres!$A$1:$I$89,5,0)</f>
        <v>-4.158891897532158E-13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528.45201982036087</v>
      </c>
      <c r="AO136" s="59">
        <f t="shared" si="144"/>
        <v>321.23004033257985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3.1017325326104711E-17</v>
      </c>
      <c r="AX136" s="21">
        <f t="shared" si="114"/>
        <v>3.1017325326104711E-17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181.00000000000009</v>
      </c>
      <c r="BE136" s="13">
        <f>BD136*VLOOKUP('Données projet'!$B$11,Paramètres!$A$1:$I$89,3,0)*VLOOKUP('Données projet'!$B$11,Paramètres!$A$1:$I$89,5,0)</f>
        <v>175.06320000000008</v>
      </c>
      <c r="BF136" s="13">
        <f t="shared" si="145"/>
        <v>44.222067746824763</v>
      </c>
      <c r="BG136" s="20">
        <f t="shared" si="115"/>
        <v>381.92184132571992</v>
      </c>
      <c r="BH136" s="59">
        <f t="shared" si="116"/>
        <v>666.31407300605338</v>
      </c>
      <c r="BI136" s="59">
        <f ca="1">AVERAGE(OFFSET($BH$3,0,0,'Données projet'!$E$11+1,1))-AVERAGE(OFFSET($H$3,0,0,'Données projet'!$E$11+1,1))</f>
        <v>289.06522051625166</v>
      </c>
      <c r="BJ136" s="59">
        <f t="shared" si="146"/>
        <v>173.19148969173838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234.00000000000045</v>
      </c>
      <c r="BZ136" s="13">
        <f>BY136*VLOOKUP('Données projet'!$B$12,Paramètres!$A$1:$I$89,3,0)*VLOOKUP('Données projet'!$B$12,Paramètres!$A$1:$I$89,5,0)</f>
        <v>189.82080000000036</v>
      </c>
      <c r="CA136" s="13">
        <f t="shared" si="147"/>
        <v>47.500332100049881</v>
      </c>
      <c r="CB136" s="20">
        <f t="shared" si="118"/>
        <v>413.33430507425419</v>
      </c>
      <c r="CC136" s="59">
        <f t="shared" si="119"/>
        <v>697.72653675458764</v>
      </c>
      <c r="CD136" s="59">
        <f ca="1">AVERAGE(OFFSET($CC$3,0,0,'Données projet'!$E$12+1,1))-AVERAGE(OFFSET($H$3,0,0,'Données projet'!$E$12+1,1))</f>
        <v>306.06916761900357</v>
      </c>
      <c r="CE136" s="59">
        <f t="shared" si="148"/>
        <v>258.90832875500337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5.6331166353439147E-17</v>
      </c>
      <c r="CN136" s="22">
        <f t="shared" si="120"/>
        <v>5.6331166353439147E-17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275.00000000000057</v>
      </c>
      <c r="CU136" s="17">
        <f>CT136*VLOOKUP('Données projet'!$B$13,Paramètres!$A$1:$I$89,3,0)*VLOOKUP('Données projet'!$B$13,Paramètres!$A$1:$I$89,5,0)</f>
        <v>184.4700000000004</v>
      </c>
      <c r="CV136" s="13">
        <f t="shared" si="149"/>
        <v>46.31525458251663</v>
      </c>
      <c r="CW136" s="20">
        <f t="shared" si="121"/>
        <v>401.95098506455048</v>
      </c>
      <c r="CX136" s="59">
        <f t="shared" si="122"/>
        <v>686.34321674488388</v>
      </c>
      <c r="CY136" s="59">
        <f ca="1">AVERAGE(OFFSET($CX$3,0,0,'Données projet'!$E$13+1,1))-AVERAGE(OFFSET($H$3,0,0,'Données projet'!$E$13+1,1))</f>
        <v>324.58754156328285</v>
      </c>
      <c r="CZ136" s="59">
        <f t="shared" si="150"/>
        <v>226.01037731977604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3.4159797032277827E-17</v>
      </c>
      <c r="DI136" s="22">
        <f t="shared" si="123"/>
        <v>3.4159797032277827E-17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3.4106051316484809E-13</v>
      </c>
      <c r="DP136" s="17">
        <f>DO136*VLOOKUP('Données projet'!$B$14,Paramètres!$A$1:$I$89,3,0)*VLOOKUP('Données projet'!$B$14,Paramètres!$A$1:$I$89,5,0)</f>
        <v>1.5961632016114892E-13</v>
      </c>
      <c r="DQ136" s="13">
        <f t="shared" si="151"/>
        <v>2.2708641912150958E-12</v>
      </c>
      <c r="DR136" s="20">
        <f t="shared" si="124"/>
        <v>4.2330868906469593E-12</v>
      </c>
      <c r="DS136" s="59">
        <f t="shared" si="125"/>
        <v>284.3922316803376</v>
      </c>
      <c r="DT136" s="59">
        <f ca="1">AVERAGE(OFFSET($DS$3,0,0,'Données projet'!$E$14+1,1))-AVERAGE(OFFSET($H$3,0,0,'Données projet'!$E$14+1,1))</f>
        <v>325.93182817189722</v>
      </c>
      <c r="DU136" s="59">
        <f t="shared" si="152"/>
        <v>280.04509991782709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5.6843418860808015E-14</v>
      </c>
      <c r="EK136" s="17">
        <f>EJ136*VLOOKUP('Données projet'!$B$15,Paramètres!$A$1:$I$89,3,0)*VLOOKUP('Données projet'!$B$15,Paramètres!$A$1:$I$89,5,0)</f>
        <v>4.5224624045658861E-14</v>
      </c>
      <c r="EL136" s="13">
        <f t="shared" si="153"/>
        <v>7.4514601661523691E-13</v>
      </c>
      <c r="EM136" s="20">
        <f t="shared" si="127"/>
        <v>1.3765621991510601E-12</v>
      </c>
      <c r="EN136" s="59">
        <f t="shared" si="128"/>
        <v>284.39223168033476</v>
      </c>
      <c r="EO136" s="59">
        <f ca="1">AVERAGE(OFFSET($EN$3,0,0,'Données projet'!$E$15+1,1))-AVERAGE(OFFSET($H$3,0,0,'Données projet'!$E$15+1,1))</f>
        <v>333.52903437536651</v>
      </c>
      <c r="EP136" s="59">
        <f t="shared" si="154"/>
        <v>359.47288701414777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0.21754909458613947</v>
      </c>
      <c r="EX136" s="21">
        <f>EXP(-LN(2)/2)*EX135+(1-EXP(-LN(2)/2))/(LN(2)/2)*ER136*EU136*VLOOKUP('Données projet'!$B$15,Paramètres!$A$1:$I$89,3,0)*0.475*44/12</f>
        <v>7.9188620393007693E-17</v>
      </c>
      <c r="EY136" s="22">
        <f t="shared" si="129"/>
        <v>0.21754909458613955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-2.8421709430404007E-13</v>
      </c>
      <c r="FF136" s="17">
        <f>FE136*VLOOKUP('Données projet'!$B$16,Paramètres!$A$1:$I$89,3,0)*VLOOKUP('Données projet'!$B$16,Paramètres!$A$1:$I$89,5,0)</f>
        <v>-1.69961822393816E-13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313.26988717307376</v>
      </c>
      <c r="FK136" s="59">
        <f t="shared" si="156"/>
        <v>248.17359813993201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0.30313510640263847</v>
      </c>
      <c r="FR136" s="21">
        <f>EXP(-LN(2)/25)*FR135+(1-EXP(-LN(2)/25))/(LN(2)/25)*Calculateur!FM136*Calculateur!FO136*VLOOKUP('Données projet'!$B$16,Paramètres!$A$1:$I$89,3,0)*0.475*44/12</f>
        <v>0.43359431329961517</v>
      </c>
      <c r="FS136" s="21">
        <f>EXP(-LN(2)/2)*FS135+(1-EXP(-LN(2)/2))/(LN(2)/2)*FM136*FP136*VLOOKUP('Données projet'!$B$16,Paramètres!$A$1:$I$89,3,0)*0.475*44/12</f>
        <v>1.3221106432401314E-15</v>
      </c>
      <c r="FT136" s="22">
        <f t="shared" si="132"/>
        <v>0.73672941970225492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181.00000000000009</v>
      </c>
      <c r="GA136" s="17">
        <f>FZ136*VLOOKUP('Données projet'!$B$17,Paramètres!$A$1:$I$89,3,0)*VLOOKUP('Données projet'!$B$17,Paramètres!$A$1:$I$89,5,0)</f>
        <v>194.82840000000007</v>
      </c>
      <c r="GB136" s="13">
        <f t="shared" si="157"/>
        <v>48.605879434898576</v>
      </c>
      <c r="GC136" s="20">
        <f t="shared" si="133"/>
        <v>423.98137001578181</v>
      </c>
      <c r="GD136" s="59">
        <f t="shared" si="134"/>
        <v>708.3736016961152</v>
      </c>
      <c r="GE136" s="59">
        <f ca="1">AVERAGE(OFFSET($GD$3,0,0,'Données projet'!$E$17+1,1))-AVERAGE(OFFSET($H$3,0,0,'Données projet'!$E$17+1,1))</f>
        <v>313.51355235711543</v>
      </c>
      <c r="GF136" s="59">
        <f t="shared" si="158"/>
        <v>186.0840067781198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0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0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275.00000000000057</v>
      </c>
      <c r="O137" s="13">
        <f>N137*VLOOKUP('Données projet'!$B$9,Paramètres!$A$1:$I$89,3,0)*VLOOKUP('Données projet'!$B$9,Paramètres!$A$1:$I$89,5,0)</f>
        <v>278.85000000000059</v>
      </c>
      <c r="P137" s="13">
        <f t="shared" si="141"/>
        <v>66.723922641153095</v>
      </c>
      <c r="Q137" s="20">
        <f t="shared" si="108"/>
        <v>601.8745819333426</v>
      </c>
      <c r="R137" s="59">
        <f t="shared" si="109"/>
        <v>886.42192173804688</v>
      </c>
      <c r="S137" s="59">
        <f ca="1">AVERAGE(OFFSET($R$3,0,0,'Données projet'!$E$9+1,1))-AVERAGE(OFFSET($H$3,0,0,'Données projet'!$E$9+1,1))</f>
        <v>452.67426184967104</v>
      </c>
      <c r="T137" s="59">
        <f t="shared" si="142"/>
        <v>310.47823616327639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-3.979039320256561E-13</v>
      </c>
      <c r="AJ137" s="13">
        <f>AI137*VLOOKUP('Données projet'!$B$10,Paramètres!$A$1:$I$89,3,0)*VLOOKUP('Données projet'!$B$10,Paramètres!$A$1:$I$89,5,0)</f>
        <v>-4.158891897532158E-13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528.45201982036087</v>
      </c>
      <c r="AO137" s="59">
        <f t="shared" si="144"/>
        <v>321.23004033257985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2.1932561072357883E-17</v>
      </c>
      <c r="AX137" s="21">
        <f t="shared" si="114"/>
        <v>2.1932561072357883E-17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181.00000000000009</v>
      </c>
      <c r="BE137" s="13">
        <f>BD137*VLOOKUP('Données projet'!$B$11,Paramètres!$A$1:$I$89,3,0)*VLOOKUP('Données projet'!$B$11,Paramètres!$A$1:$I$89,5,0)</f>
        <v>175.06320000000008</v>
      </c>
      <c r="BF137" s="13">
        <f t="shared" si="145"/>
        <v>44.222067746824763</v>
      </c>
      <c r="BG137" s="20">
        <f t="shared" si="115"/>
        <v>381.92184132571992</v>
      </c>
      <c r="BH137" s="59">
        <f t="shared" si="116"/>
        <v>666.4691811304242</v>
      </c>
      <c r="BI137" s="59">
        <f ca="1">AVERAGE(OFFSET($BH$3,0,0,'Données projet'!$E$11+1,1))-AVERAGE(OFFSET($H$3,0,0,'Données projet'!$E$11+1,1))</f>
        <v>289.06522051625166</v>
      </c>
      <c r="BJ137" s="59">
        <f t="shared" si="146"/>
        <v>173.19148969173838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234.00000000000045</v>
      </c>
      <c r="BZ137" s="13">
        <f>BY137*VLOOKUP('Données projet'!$B$12,Paramètres!$A$1:$I$89,3,0)*VLOOKUP('Données projet'!$B$12,Paramètres!$A$1:$I$89,5,0)</f>
        <v>189.82080000000036</v>
      </c>
      <c r="CA137" s="13">
        <f t="shared" si="147"/>
        <v>47.500332100049881</v>
      </c>
      <c r="CB137" s="20">
        <f t="shared" si="118"/>
        <v>413.33430507425419</v>
      </c>
      <c r="CC137" s="59">
        <f t="shared" si="119"/>
        <v>697.88164487895847</v>
      </c>
      <c r="CD137" s="59">
        <f ca="1">AVERAGE(OFFSET($CC$3,0,0,'Données projet'!$E$12+1,1))-AVERAGE(OFFSET($H$3,0,0,'Données projet'!$E$12+1,1))</f>
        <v>306.06916761900357</v>
      </c>
      <c r="CE137" s="59">
        <f t="shared" si="148"/>
        <v>258.90832875500337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3.9832149720664304E-17</v>
      </c>
      <c r="CN137" s="22">
        <f t="shared" si="120"/>
        <v>3.9832149720664304E-17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275.00000000000057</v>
      </c>
      <c r="CU137" s="17">
        <f>CT137*VLOOKUP('Données projet'!$B$13,Paramètres!$A$1:$I$89,3,0)*VLOOKUP('Données projet'!$B$13,Paramètres!$A$1:$I$89,5,0)</f>
        <v>184.4700000000004</v>
      </c>
      <c r="CV137" s="13">
        <f t="shared" si="149"/>
        <v>46.31525458251663</v>
      </c>
      <c r="CW137" s="20">
        <f t="shared" si="121"/>
        <v>401.95098506455048</v>
      </c>
      <c r="CX137" s="59">
        <f t="shared" si="122"/>
        <v>686.4983248692547</v>
      </c>
      <c r="CY137" s="59">
        <f ca="1">AVERAGE(OFFSET($CX$3,0,0,'Données projet'!$E$13+1,1))-AVERAGE(OFFSET($H$3,0,0,'Données projet'!$E$13+1,1))</f>
        <v>324.58754156328285</v>
      </c>
      <c r="CZ137" s="59">
        <f t="shared" si="150"/>
        <v>226.01037731977604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2.4154624125479753E-17</v>
      </c>
      <c r="DI137" s="22">
        <f t="shared" si="123"/>
        <v>2.4154624125479753E-17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3.4106051316484809E-13</v>
      </c>
      <c r="DP137" s="17">
        <f>DO137*VLOOKUP('Données projet'!$B$14,Paramètres!$A$1:$I$89,3,0)*VLOOKUP('Données projet'!$B$14,Paramètres!$A$1:$I$89,5,0)</f>
        <v>1.5961632016114892E-13</v>
      </c>
      <c r="DQ137" s="13">
        <f t="shared" si="151"/>
        <v>2.2708641912150958E-12</v>
      </c>
      <c r="DR137" s="20">
        <f t="shared" si="124"/>
        <v>4.2330868906469593E-12</v>
      </c>
      <c r="DS137" s="59">
        <f t="shared" si="125"/>
        <v>284.54733980470849</v>
      </c>
      <c r="DT137" s="59">
        <f ca="1">AVERAGE(OFFSET($DS$3,0,0,'Données projet'!$E$14+1,1))-AVERAGE(OFFSET($H$3,0,0,'Données projet'!$E$14+1,1))</f>
        <v>325.93182817189722</v>
      </c>
      <c r="DU137" s="59">
        <f t="shared" si="152"/>
        <v>280.04509991782709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5.6843418860808015E-14</v>
      </c>
      <c r="EK137" s="17">
        <f>EJ137*VLOOKUP('Données projet'!$B$15,Paramètres!$A$1:$I$89,3,0)*VLOOKUP('Données projet'!$B$15,Paramètres!$A$1:$I$89,5,0)</f>
        <v>4.5224624045658861E-14</v>
      </c>
      <c r="EL137" s="13">
        <f t="shared" si="153"/>
        <v>7.4514601661523691E-13</v>
      </c>
      <c r="EM137" s="20">
        <f t="shared" si="127"/>
        <v>1.3765621991510601E-12</v>
      </c>
      <c r="EN137" s="59">
        <f t="shared" si="128"/>
        <v>284.54733980470564</v>
      </c>
      <c r="EO137" s="59">
        <f ca="1">AVERAGE(OFFSET($EN$3,0,0,'Données projet'!$E$15+1,1))-AVERAGE(OFFSET($H$3,0,0,'Données projet'!$E$15+1,1))</f>
        <v>333.52903437536651</v>
      </c>
      <c r="EP137" s="59">
        <f t="shared" si="154"/>
        <v>359.47288701414777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0.2116002031542718</v>
      </c>
      <c r="EX137" s="21">
        <f>EXP(-LN(2)/2)*EX136+(1-EXP(-LN(2)/2))/(LN(2)/2)*ER137*EU137*VLOOKUP('Données projet'!$B$15,Paramètres!$A$1:$I$89,3,0)*0.475*44/12</f>
        <v>5.5994810472703064E-17</v>
      </c>
      <c r="EY137" s="22">
        <f t="shared" si="129"/>
        <v>0.21160020315427186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-2.8421709430404007E-13</v>
      </c>
      <c r="FF137" s="17">
        <f>FE137*VLOOKUP('Données projet'!$B$16,Paramètres!$A$1:$I$89,3,0)*VLOOKUP('Données projet'!$B$16,Paramètres!$A$1:$I$89,5,0)</f>
        <v>-1.69961822393816E-13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313.26988717307376</v>
      </c>
      <c r="FK137" s="59">
        <f t="shared" si="156"/>
        <v>248.17359813993201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0.29719081186024082</v>
      </c>
      <c r="FR137" s="21">
        <f>EXP(-LN(2)/25)*FR136+(1-EXP(-LN(2)/25))/(LN(2)/25)*Calculateur!FM137*Calculateur!FO137*VLOOKUP('Données projet'!$B$16,Paramètres!$A$1:$I$89,3,0)*0.475*44/12</f>
        <v>0.42173765400070323</v>
      </c>
      <c r="FS137" s="21">
        <f>EXP(-LN(2)/2)*FS136+(1-EXP(-LN(2)/2))/(LN(2)/2)*FM137*FP137*VLOOKUP('Données projet'!$B$16,Paramètres!$A$1:$I$89,3,0)*0.475*44/12</f>
        <v>9.3487340131400514E-16</v>
      </c>
      <c r="FT137" s="22">
        <f t="shared" si="132"/>
        <v>0.71892846586094494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181.00000000000009</v>
      </c>
      <c r="GA137" s="17">
        <f>FZ137*VLOOKUP('Données projet'!$B$17,Paramètres!$A$1:$I$89,3,0)*VLOOKUP('Données projet'!$B$17,Paramètres!$A$1:$I$89,5,0)</f>
        <v>194.82840000000007</v>
      </c>
      <c r="GB137" s="13">
        <f t="shared" si="157"/>
        <v>48.605879434898576</v>
      </c>
      <c r="GC137" s="20">
        <f t="shared" si="133"/>
        <v>423.98137001578181</v>
      </c>
      <c r="GD137" s="59">
        <f t="shared" si="134"/>
        <v>708.52870982048603</v>
      </c>
      <c r="GE137" s="59">
        <f ca="1">AVERAGE(OFFSET($GD$3,0,0,'Données projet'!$E$17+1,1))-AVERAGE(OFFSET($H$3,0,0,'Données projet'!$E$17+1,1))</f>
        <v>313.51355235711543</v>
      </c>
      <c r="GF137" s="59">
        <f t="shared" si="158"/>
        <v>186.0840067781198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0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0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275.00000000000057</v>
      </c>
      <c r="O138" s="13">
        <f>N138*VLOOKUP('Données projet'!$B$9,Paramètres!$A$1:$I$89,3,0)*VLOOKUP('Données projet'!$B$9,Paramètres!$A$1:$I$89,5,0)</f>
        <v>278.85000000000059</v>
      </c>
      <c r="P138" s="13">
        <f t="shared" si="141"/>
        <v>66.723922641153095</v>
      </c>
      <c r="Q138" s="20">
        <f t="shared" si="108"/>
        <v>601.8745819333426</v>
      </c>
      <c r="R138" s="59">
        <f t="shared" si="109"/>
        <v>886.57433908322969</v>
      </c>
      <c r="S138" s="59">
        <f ca="1">AVERAGE(OFFSET($R$3,0,0,'Données projet'!$E$9+1,1))-AVERAGE(OFFSET($H$3,0,0,'Données projet'!$E$9+1,1))</f>
        <v>452.67426184967104</v>
      </c>
      <c r="T138" s="59">
        <f t="shared" si="142"/>
        <v>310.47823616327639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-3.979039320256561E-13</v>
      </c>
      <c r="AJ138" s="13">
        <f>AI138*VLOOKUP('Données projet'!$B$10,Paramètres!$A$1:$I$89,3,0)*VLOOKUP('Données projet'!$B$10,Paramètres!$A$1:$I$89,5,0)</f>
        <v>-4.158891897532158E-13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528.45201982036087</v>
      </c>
      <c r="AO138" s="59">
        <f t="shared" si="144"/>
        <v>321.23004033257985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1.5508662663052356E-17</v>
      </c>
      <c r="AX138" s="21">
        <f t="shared" si="114"/>
        <v>1.5508662663052356E-17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181.00000000000009</v>
      </c>
      <c r="BE138" s="13">
        <f>BD138*VLOOKUP('Données projet'!$B$11,Paramètres!$A$1:$I$89,3,0)*VLOOKUP('Données projet'!$B$11,Paramètres!$A$1:$I$89,5,0)</f>
        <v>175.06320000000008</v>
      </c>
      <c r="BF138" s="13">
        <f t="shared" si="145"/>
        <v>44.222067746824763</v>
      </c>
      <c r="BG138" s="20">
        <f t="shared" si="115"/>
        <v>381.92184132571992</v>
      </c>
      <c r="BH138" s="59">
        <f t="shared" si="116"/>
        <v>666.62159847560702</v>
      </c>
      <c r="BI138" s="59">
        <f ca="1">AVERAGE(OFFSET($BH$3,0,0,'Données projet'!$E$11+1,1))-AVERAGE(OFFSET($H$3,0,0,'Données projet'!$E$11+1,1))</f>
        <v>289.06522051625166</v>
      </c>
      <c r="BJ138" s="59">
        <f t="shared" si="146"/>
        <v>173.19148969173838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234.00000000000045</v>
      </c>
      <c r="BZ138" s="13">
        <f>BY138*VLOOKUP('Données projet'!$B$12,Paramètres!$A$1:$I$89,3,0)*VLOOKUP('Données projet'!$B$12,Paramètres!$A$1:$I$89,5,0)</f>
        <v>189.82080000000036</v>
      </c>
      <c r="CA138" s="13">
        <f t="shared" si="147"/>
        <v>47.500332100049881</v>
      </c>
      <c r="CB138" s="20">
        <f t="shared" si="118"/>
        <v>413.33430507425419</v>
      </c>
      <c r="CC138" s="59">
        <f t="shared" si="119"/>
        <v>698.03406222414128</v>
      </c>
      <c r="CD138" s="59">
        <f ca="1">AVERAGE(OFFSET($CC$3,0,0,'Données projet'!$E$12+1,1))-AVERAGE(OFFSET($H$3,0,0,'Données projet'!$E$12+1,1))</f>
        <v>306.06916761900357</v>
      </c>
      <c r="CE138" s="59">
        <f t="shared" si="148"/>
        <v>258.90832875500337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2.8165583176719573E-17</v>
      </c>
      <c r="CN138" s="22">
        <f t="shared" si="120"/>
        <v>2.8165583176719573E-17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275.00000000000057</v>
      </c>
      <c r="CU138" s="17">
        <f>CT138*VLOOKUP('Données projet'!$B$13,Paramètres!$A$1:$I$89,3,0)*VLOOKUP('Données projet'!$B$13,Paramètres!$A$1:$I$89,5,0)</f>
        <v>184.4700000000004</v>
      </c>
      <c r="CV138" s="13">
        <f t="shared" si="149"/>
        <v>46.31525458251663</v>
      </c>
      <c r="CW138" s="20">
        <f t="shared" si="121"/>
        <v>401.95098506455048</v>
      </c>
      <c r="CX138" s="59">
        <f t="shared" si="122"/>
        <v>686.65074221443763</v>
      </c>
      <c r="CY138" s="59">
        <f ca="1">AVERAGE(OFFSET($CX$3,0,0,'Données projet'!$E$13+1,1))-AVERAGE(OFFSET($H$3,0,0,'Données projet'!$E$13+1,1))</f>
        <v>324.58754156328285</v>
      </c>
      <c r="CZ138" s="59">
        <f t="shared" si="150"/>
        <v>226.01037731977604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1.7079898516138913E-17</v>
      </c>
      <c r="DI138" s="22">
        <f t="shared" si="123"/>
        <v>1.7079898516138913E-17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3.4106051316484809E-13</v>
      </c>
      <c r="DP138" s="17">
        <f>DO138*VLOOKUP('Données projet'!$B$14,Paramètres!$A$1:$I$89,3,0)*VLOOKUP('Données projet'!$B$14,Paramètres!$A$1:$I$89,5,0)</f>
        <v>1.5961632016114892E-13</v>
      </c>
      <c r="DQ138" s="13">
        <f t="shared" si="151"/>
        <v>2.2708641912150958E-12</v>
      </c>
      <c r="DR138" s="20">
        <f t="shared" si="124"/>
        <v>4.2330868906469593E-12</v>
      </c>
      <c r="DS138" s="59">
        <f t="shared" si="125"/>
        <v>284.69975714989135</v>
      </c>
      <c r="DT138" s="59">
        <f ca="1">AVERAGE(OFFSET($DS$3,0,0,'Données projet'!$E$14+1,1))-AVERAGE(OFFSET($H$3,0,0,'Données projet'!$E$14+1,1))</f>
        <v>325.93182817189722</v>
      </c>
      <c r="DU138" s="59">
        <f t="shared" si="152"/>
        <v>280.04509991782709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5.6843418860808015E-14</v>
      </c>
      <c r="EK138" s="17">
        <f>EJ138*VLOOKUP('Données projet'!$B$15,Paramètres!$A$1:$I$89,3,0)*VLOOKUP('Données projet'!$B$15,Paramètres!$A$1:$I$89,5,0)</f>
        <v>4.5224624045658861E-14</v>
      </c>
      <c r="EL138" s="13">
        <f t="shared" si="153"/>
        <v>7.4514601661523691E-13</v>
      </c>
      <c r="EM138" s="20">
        <f t="shared" si="127"/>
        <v>1.3765621991510601E-12</v>
      </c>
      <c r="EN138" s="59">
        <f t="shared" si="128"/>
        <v>284.69975714988851</v>
      </c>
      <c r="EO138" s="59">
        <f ca="1">AVERAGE(OFFSET($EN$3,0,0,'Données projet'!$E$15+1,1))-AVERAGE(OFFSET($H$3,0,0,'Données projet'!$E$15+1,1))</f>
        <v>333.52903437536651</v>
      </c>
      <c r="EP138" s="59">
        <f t="shared" si="154"/>
        <v>359.47288701414777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0.20581398447144716</v>
      </c>
      <c r="EX138" s="21">
        <f>EXP(-LN(2)/2)*EX137+(1-EXP(-LN(2)/2))/(LN(2)/2)*ER138*EU138*VLOOKUP('Données projet'!$B$15,Paramètres!$A$1:$I$89,3,0)*0.475*44/12</f>
        <v>3.9594310196503847E-17</v>
      </c>
      <c r="EY138" s="22">
        <f t="shared" si="129"/>
        <v>0.20581398447144719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-2.8421709430404007E-13</v>
      </c>
      <c r="FF138" s="17">
        <f>FE138*VLOOKUP('Données projet'!$B$16,Paramètres!$A$1:$I$89,3,0)*VLOOKUP('Données projet'!$B$16,Paramètres!$A$1:$I$89,5,0)</f>
        <v>-1.69961822393816E-13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313.26988717307376</v>
      </c>
      <c r="FK138" s="59">
        <f t="shared" si="156"/>
        <v>248.17359813993201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0.29136308130815797</v>
      </c>
      <c r="FR138" s="21">
        <f>EXP(-LN(2)/25)*FR137+(1-EXP(-LN(2)/25))/(LN(2)/25)*Calculateur!FM138*Calculateur!FO138*VLOOKUP('Données projet'!$B$16,Paramètres!$A$1:$I$89,3,0)*0.475*44/12</f>
        <v>0.41020521567383467</v>
      </c>
      <c r="FS138" s="21">
        <f>EXP(-LN(2)/2)*FS137+(1-EXP(-LN(2)/2))/(LN(2)/2)*FM138*FP138*VLOOKUP('Données projet'!$B$16,Paramètres!$A$1:$I$89,3,0)*0.475*44/12</f>
        <v>6.6105532162006569E-16</v>
      </c>
      <c r="FT138" s="22">
        <f t="shared" si="132"/>
        <v>0.7015682969819933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181.00000000000009</v>
      </c>
      <c r="GA138" s="17">
        <f>FZ138*VLOOKUP('Données projet'!$B$17,Paramètres!$A$1:$I$89,3,0)*VLOOKUP('Données projet'!$B$17,Paramètres!$A$1:$I$89,5,0)</f>
        <v>194.82840000000007</v>
      </c>
      <c r="GB138" s="13">
        <f t="shared" si="157"/>
        <v>48.605879434898576</v>
      </c>
      <c r="GC138" s="20">
        <f t="shared" si="133"/>
        <v>423.98137001578181</v>
      </c>
      <c r="GD138" s="59">
        <f t="shared" si="134"/>
        <v>708.68112716566895</v>
      </c>
      <c r="GE138" s="59">
        <f ca="1">AVERAGE(OFFSET($GD$3,0,0,'Données projet'!$E$17+1,1))-AVERAGE(OFFSET($H$3,0,0,'Données projet'!$E$17+1,1))</f>
        <v>313.51355235711543</v>
      </c>
      <c r="GF138" s="59">
        <f t="shared" si="158"/>
        <v>186.0840067781198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0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0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275.00000000000057</v>
      </c>
      <c r="O139" s="13">
        <f>N139*VLOOKUP('Données projet'!$B$9,Paramètres!$A$1:$I$89,3,0)*VLOOKUP('Données projet'!$B$9,Paramètres!$A$1:$I$89,5,0)</f>
        <v>278.85000000000059</v>
      </c>
      <c r="P139" s="13">
        <f t="shared" si="141"/>
        <v>66.723922641153095</v>
      </c>
      <c r="Q139" s="20">
        <f t="shared" si="108"/>
        <v>601.8745819333426</v>
      </c>
      <c r="R139" s="59">
        <f t="shared" si="109"/>
        <v>886.72411232822787</v>
      </c>
      <c r="S139" s="59">
        <f ca="1">AVERAGE(OFFSET($R$3,0,0,'Données projet'!$E$9+1,1))-AVERAGE(OFFSET($H$3,0,0,'Données projet'!$E$9+1,1))</f>
        <v>452.67426184967104</v>
      </c>
      <c r="T139" s="59">
        <f t="shared" si="142"/>
        <v>310.47823616327639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-3.979039320256561E-13</v>
      </c>
      <c r="AJ139" s="13">
        <f>AI139*VLOOKUP('Données projet'!$B$10,Paramètres!$A$1:$I$89,3,0)*VLOOKUP('Données projet'!$B$10,Paramètres!$A$1:$I$89,5,0)</f>
        <v>-4.158891897532158E-13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528.45201982036087</v>
      </c>
      <c r="AO139" s="59">
        <f t="shared" si="144"/>
        <v>321.23004033257985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1.0966280536178942E-17</v>
      </c>
      <c r="AX139" s="21">
        <f t="shared" si="114"/>
        <v>1.0966280536178942E-17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181.00000000000009</v>
      </c>
      <c r="BE139" s="13">
        <f>BD139*VLOOKUP('Données projet'!$B$11,Paramètres!$A$1:$I$89,3,0)*VLOOKUP('Données projet'!$B$11,Paramètres!$A$1:$I$89,5,0)</f>
        <v>175.06320000000008</v>
      </c>
      <c r="BF139" s="13">
        <f t="shared" si="145"/>
        <v>44.222067746824763</v>
      </c>
      <c r="BG139" s="20">
        <f t="shared" si="115"/>
        <v>381.92184132571992</v>
      </c>
      <c r="BH139" s="59">
        <f t="shared" si="116"/>
        <v>666.7713717206052</v>
      </c>
      <c r="BI139" s="59">
        <f ca="1">AVERAGE(OFFSET($BH$3,0,0,'Données projet'!$E$11+1,1))-AVERAGE(OFFSET($H$3,0,0,'Données projet'!$E$11+1,1))</f>
        <v>289.06522051625166</v>
      </c>
      <c r="BJ139" s="59">
        <f t="shared" si="146"/>
        <v>173.19148969173838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234.00000000000045</v>
      </c>
      <c r="BZ139" s="13">
        <f>BY139*VLOOKUP('Données projet'!$B$12,Paramètres!$A$1:$I$89,3,0)*VLOOKUP('Données projet'!$B$12,Paramètres!$A$1:$I$89,5,0)</f>
        <v>189.82080000000036</v>
      </c>
      <c r="CA139" s="13">
        <f t="shared" si="147"/>
        <v>47.500332100049881</v>
      </c>
      <c r="CB139" s="20">
        <f t="shared" si="118"/>
        <v>413.33430507425419</v>
      </c>
      <c r="CC139" s="59">
        <f t="shared" si="119"/>
        <v>698.18383546913947</v>
      </c>
      <c r="CD139" s="59">
        <f ca="1">AVERAGE(OFFSET($CC$3,0,0,'Données projet'!$E$12+1,1))-AVERAGE(OFFSET($H$3,0,0,'Données projet'!$E$12+1,1))</f>
        <v>306.06916761900357</v>
      </c>
      <c r="CE139" s="59">
        <f t="shared" si="148"/>
        <v>258.90832875500337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1.9916074860332152E-17</v>
      </c>
      <c r="CN139" s="22">
        <f t="shared" si="120"/>
        <v>1.9916074860332152E-17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275.00000000000057</v>
      </c>
      <c r="CU139" s="17">
        <f>CT139*VLOOKUP('Données projet'!$B$13,Paramètres!$A$1:$I$89,3,0)*VLOOKUP('Données projet'!$B$13,Paramètres!$A$1:$I$89,5,0)</f>
        <v>184.4700000000004</v>
      </c>
      <c r="CV139" s="13">
        <f t="shared" si="149"/>
        <v>46.31525458251663</v>
      </c>
      <c r="CW139" s="20">
        <f t="shared" si="121"/>
        <v>401.95098506455048</v>
      </c>
      <c r="CX139" s="59">
        <f t="shared" si="122"/>
        <v>686.8005154594357</v>
      </c>
      <c r="CY139" s="59">
        <f ca="1">AVERAGE(OFFSET($CX$3,0,0,'Données projet'!$E$13+1,1))-AVERAGE(OFFSET($H$3,0,0,'Données projet'!$E$13+1,1))</f>
        <v>324.58754156328285</v>
      </c>
      <c r="CZ139" s="59">
        <f t="shared" si="150"/>
        <v>226.01037731977604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1.2077312062739877E-17</v>
      </c>
      <c r="DI139" s="22">
        <f t="shared" si="123"/>
        <v>1.2077312062739877E-17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3.4106051316484809E-13</v>
      </c>
      <c r="DP139" s="17">
        <f>DO139*VLOOKUP('Données projet'!$B$14,Paramètres!$A$1:$I$89,3,0)*VLOOKUP('Données projet'!$B$14,Paramètres!$A$1:$I$89,5,0)</f>
        <v>1.5961632016114892E-13</v>
      </c>
      <c r="DQ139" s="13">
        <f t="shared" si="151"/>
        <v>2.2708641912150958E-12</v>
      </c>
      <c r="DR139" s="20">
        <f t="shared" si="124"/>
        <v>4.2330868906469593E-12</v>
      </c>
      <c r="DS139" s="59">
        <f t="shared" si="125"/>
        <v>284.84953039488943</v>
      </c>
      <c r="DT139" s="59">
        <f ca="1">AVERAGE(OFFSET($DS$3,0,0,'Données projet'!$E$14+1,1))-AVERAGE(OFFSET($H$3,0,0,'Données projet'!$E$14+1,1))</f>
        <v>325.93182817189722</v>
      </c>
      <c r="DU139" s="59">
        <f t="shared" si="152"/>
        <v>280.04509991782709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5.6843418860808015E-14</v>
      </c>
      <c r="EK139" s="17">
        <f>EJ139*VLOOKUP('Données projet'!$B$15,Paramètres!$A$1:$I$89,3,0)*VLOOKUP('Données projet'!$B$15,Paramètres!$A$1:$I$89,5,0)</f>
        <v>4.5224624045658861E-14</v>
      </c>
      <c r="EL139" s="13">
        <f t="shared" si="153"/>
        <v>7.4514601661523691E-13</v>
      </c>
      <c r="EM139" s="20">
        <f t="shared" si="127"/>
        <v>1.3765621991510601E-12</v>
      </c>
      <c r="EN139" s="59">
        <f t="shared" si="128"/>
        <v>284.84953039488659</v>
      </c>
      <c r="EO139" s="59">
        <f ca="1">AVERAGE(OFFSET($EN$3,0,0,'Données projet'!$E$15+1,1))-AVERAGE(OFFSET($H$3,0,0,'Données projet'!$E$15+1,1))</f>
        <v>333.52903437536651</v>
      </c>
      <c r="EP139" s="59">
        <f t="shared" si="154"/>
        <v>359.47288701414777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0.20018599024278838</v>
      </c>
      <c r="EX139" s="21">
        <f>EXP(-LN(2)/2)*EX138+(1-EXP(-LN(2)/2))/(LN(2)/2)*ER139*EU139*VLOOKUP('Données projet'!$B$15,Paramètres!$A$1:$I$89,3,0)*0.475*44/12</f>
        <v>2.7997405236351532E-17</v>
      </c>
      <c r="EY139" s="22">
        <f t="shared" si="129"/>
        <v>0.20018599024278841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-2.8421709430404007E-13</v>
      </c>
      <c r="FF139" s="17">
        <f>FE139*VLOOKUP('Données projet'!$B$16,Paramètres!$A$1:$I$89,3,0)*VLOOKUP('Données projet'!$B$16,Paramètres!$A$1:$I$89,5,0)</f>
        <v>-1.69961822393816E-13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313.26988717307376</v>
      </c>
      <c r="FK139" s="59">
        <f t="shared" si="156"/>
        <v>248.17359813993201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0.2856496289976368</v>
      </c>
      <c r="FR139" s="21">
        <f>EXP(-LN(2)/25)*FR138+(1-EXP(-LN(2)/25))/(LN(2)/25)*Calculateur!FM139*Calculateur!FO139*VLOOKUP('Données projet'!$B$16,Paramètres!$A$1:$I$89,3,0)*0.475*44/12</f>
        <v>0.3989881324794789</v>
      </c>
      <c r="FS139" s="21">
        <f>EXP(-LN(2)/2)*FS138+(1-EXP(-LN(2)/2))/(LN(2)/2)*FM139*FP139*VLOOKUP('Données projet'!$B$16,Paramètres!$A$1:$I$89,3,0)*0.475*44/12</f>
        <v>4.6743670065700257E-16</v>
      </c>
      <c r="FT139" s="22">
        <f t="shared" si="132"/>
        <v>0.68463776147711619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181.00000000000009</v>
      </c>
      <c r="GA139" s="17">
        <f>FZ139*VLOOKUP('Données projet'!$B$17,Paramètres!$A$1:$I$89,3,0)*VLOOKUP('Données projet'!$B$17,Paramètres!$A$1:$I$89,5,0)</f>
        <v>194.82840000000007</v>
      </c>
      <c r="GB139" s="13">
        <f t="shared" si="157"/>
        <v>48.605879434898576</v>
      </c>
      <c r="GC139" s="20">
        <f t="shared" si="133"/>
        <v>423.98137001578181</v>
      </c>
      <c r="GD139" s="59">
        <f t="shared" si="134"/>
        <v>708.83090041066703</v>
      </c>
      <c r="GE139" s="59">
        <f ca="1">AVERAGE(OFFSET($GD$3,0,0,'Données projet'!$E$17+1,1))-AVERAGE(OFFSET($H$3,0,0,'Données projet'!$E$17+1,1))</f>
        <v>313.51355235711543</v>
      </c>
      <c r="GF139" s="59">
        <f t="shared" si="158"/>
        <v>186.0840067781198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0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0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275.00000000000057</v>
      </c>
      <c r="O140" s="13">
        <f>N140*VLOOKUP('Données projet'!$B$9,Paramètres!$A$1:$I$89,3,0)*VLOOKUP('Données projet'!$B$9,Paramètres!$A$1:$I$89,5,0)</f>
        <v>278.85000000000059</v>
      </c>
      <c r="P140" s="13">
        <f t="shared" si="141"/>
        <v>66.723922641153095</v>
      </c>
      <c r="Q140" s="20">
        <f t="shared" si="108"/>
        <v>601.8745819333426</v>
      </c>
      <c r="R140" s="59">
        <f t="shared" si="109"/>
        <v>886.87128734226803</v>
      </c>
      <c r="S140" s="59">
        <f ca="1">AVERAGE(OFFSET($R$3,0,0,'Données projet'!$E$9+1,1))-AVERAGE(OFFSET($H$3,0,0,'Données projet'!$E$9+1,1))</f>
        <v>452.67426184967104</v>
      </c>
      <c r="T140" s="59">
        <f t="shared" si="142"/>
        <v>310.47823616327639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-3.979039320256561E-13</v>
      </c>
      <c r="AJ140" s="13">
        <f>AI140*VLOOKUP('Données projet'!$B$10,Paramètres!$A$1:$I$89,3,0)*VLOOKUP('Données projet'!$B$10,Paramètres!$A$1:$I$89,5,0)</f>
        <v>-4.158891897532158E-13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528.45201982036087</v>
      </c>
      <c r="AO140" s="59">
        <f t="shared" si="144"/>
        <v>321.23004033257985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7.7543313315261778E-18</v>
      </c>
      <c r="AX140" s="21">
        <f t="shared" si="114"/>
        <v>7.7543313315261778E-18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181.00000000000009</v>
      </c>
      <c r="BE140" s="13">
        <f>BD140*VLOOKUP('Données projet'!$B$11,Paramètres!$A$1:$I$89,3,0)*VLOOKUP('Données projet'!$B$11,Paramètres!$A$1:$I$89,5,0)</f>
        <v>175.06320000000008</v>
      </c>
      <c r="BF140" s="13">
        <f t="shared" si="145"/>
        <v>44.222067746824763</v>
      </c>
      <c r="BG140" s="20">
        <f t="shared" si="115"/>
        <v>381.92184132571992</v>
      </c>
      <c r="BH140" s="59">
        <f t="shared" si="116"/>
        <v>666.91854673464536</v>
      </c>
      <c r="BI140" s="59">
        <f ca="1">AVERAGE(OFFSET($BH$3,0,0,'Données projet'!$E$11+1,1))-AVERAGE(OFFSET($H$3,0,0,'Données projet'!$E$11+1,1))</f>
        <v>289.06522051625166</v>
      </c>
      <c r="BJ140" s="59">
        <f t="shared" si="146"/>
        <v>173.19148969173838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234.00000000000045</v>
      </c>
      <c r="BZ140" s="13">
        <f>BY140*VLOOKUP('Données projet'!$B$12,Paramètres!$A$1:$I$89,3,0)*VLOOKUP('Données projet'!$B$12,Paramètres!$A$1:$I$89,5,0)</f>
        <v>189.82080000000036</v>
      </c>
      <c r="CA140" s="13">
        <f t="shared" si="147"/>
        <v>47.500332100049881</v>
      </c>
      <c r="CB140" s="20">
        <f t="shared" si="118"/>
        <v>413.33430507425419</v>
      </c>
      <c r="CC140" s="59">
        <f t="shared" si="119"/>
        <v>698.33101048317963</v>
      </c>
      <c r="CD140" s="59">
        <f ca="1">AVERAGE(OFFSET($CC$3,0,0,'Données projet'!$E$12+1,1))-AVERAGE(OFFSET($H$3,0,0,'Données projet'!$E$12+1,1))</f>
        <v>306.06916761900357</v>
      </c>
      <c r="CE140" s="59">
        <f t="shared" si="148"/>
        <v>258.90832875500337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1.4082791588359787E-17</v>
      </c>
      <c r="CN140" s="22">
        <f t="shared" si="120"/>
        <v>1.4082791588359787E-17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275.00000000000057</v>
      </c>
      <c r="CU140" s="17">
        <f>CT140*VLOOKUP('Données projet'!$B$13,Paramètres!$A$1:$I$89,3,0)*VLOOKUP('Données projet'!$B$13,Paramètres!$A$1:$I$89,5,0)</f>
        <v>184.4700000000004</v>
      </c>
      <c r="CV140" s="13">
        <f t="shared" si="149"/>
        <v>46.31525458251663</v>
      </c>
      <c r="CW140" s="20">
        <f t="shared" si="121"/>
        <v>401.95098506455048</v>
      </c>
      <c r="CX140" s="59">
        <f t="shared" si="122"/>
        <v>686.94769047347586</v>
      </c>
      <c r="CY140" s="59">
        <f ca="1">AVERAGE(OFFSET($CX$3,0,0,'Données projet'!$E$13+1,1))-AVERAGE(OFFSET($H$3,0,0,'Données projet'!$E$13+1,1))</f>
        <v>324.58754156328285</v>
      </c>
      <c r="CZ140" s="59">
        <f t="shared" si="150"/>
        <v>226.01037731977604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8.5399492580694567E-18</v>
      </c>
      <c r="DI140" s="22">
        <f t="shared" si="123"/>
        <v>8.5399492580694567E-18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3.4106051316484809E-13</v>
      </c>
      <c r="DP140" s="17">
        <f>DO140*VLOOKUP('Données projet'!$B$14,Paramètres!$A$1:$I$89,3,0)*VLOOKUP('Données projet'!$B$14,Paramètres!$A$1:$I$89,5,0)</f>
        <v>1.5961632016114892E-13</v>
      </c>
      <c r="DQ140" s="13">
        <f t="shared" si="151"/>
        <v>2.2708641912150958E-12</v>
      </c>
      <c r="DR140" s="20">
        <f t="shared" si="124"/>
        <v>4.2330868906469593E-12</v>
      </c>
      <c r="DS140" s="59">
        <f t="shared" si="125"/>
        <v>284.99670540892959</v>
      </c>
      <c r="DT140" s="59">
        <f ca="1">AVERAGE(OFFSET($DS$3,0,0,'Données projet'!$E$14+1,1))-AVERAGE(OFFSET($H$3,0,0,'Données projet'!$E$14+1,1))</f>
        <v>325.93182817189722</v>
      </c>
      <c r="DU140" s="59">
        <f t="shared" si="152"/>
        <v>280.04509991782709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5.6843418860808015E-14</v>
      </c>
      <c r="EK140" s="17">
        <f>EJ140*VLOOKUP('Données projet'!$B$15,Paramètres!$A$1:$I$89,3,0)*VLOOKUP('Données projet'!$B$15,Paramètres!$A$1:$I$89,5,0)</f>
        <v>4.5224624045658861E-14</v>
      </c>
      <c r="EL140" s="13">
        <f t="shared" si="153"/>
        <v>7.4514601661523691E-13</v>
      </c>
      <c r="EM140" s="20">
        <f t="shared" si="127"/>
        <v>1.3765621991510601E-12</v>
      </c>
      <c r="EN140" s="59">
        <f t="shared" si="128"/>
        <v>284.99670540892674</v>
      </c>
      <c r="EO140" s="59">
        <f ca="1">AVERAGE(OFFSET($EN$3,0,0,'Données projet'!$E$15+1,1))-AVERAGE(OFFSET($H$3,0,0,'Données projet'!$E$15+1,1))</f>
        <v>333.52903437536651</v>
      </c>
      <c r="EP140" s="59">
        <f t="shared" si="154"/>
        <v>359.47288701414777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0.19471189381227563</v>
      </c>
      <c r="EX140" s="21">
        <f>EXP(-LN(2)/2)*EX139+(1-EXP(-LN(2)/2))/(LN(2)/2)*ER140*EU140*VLOOKUP('Données projet'!$B$15,Paramètres!$A$1:$I$89,3,0)*0.475*44/12</f>
        <v>1.9797155098251923E-17</v>
      </c>
      <c r="EY140" s="22">
        <f t="shared" si="129"/>
        <v>0.19471189381227566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-2.8421709430404007E-13</v>
      </c>
      <c r="FF140" s="17">
        <f>FE140*VLOOKUP('Données projet'!$B$16,Paramètres!$A$1:$I$89,3,0)*VLOOKUP('Données projet'!$B$16,Paramètres!$A$1:$I$89,5,0)</f>
        <v>-1.69961822393816E-13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313.26988717307376</v>
      </c>
      <c r="FK140" s="59">
        <f t="shared" si="156"/>
        <v>248.17359813993201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0.28004821400206314</v>
      </c>
      <c r="FR140" s="21">
        <f>EXP(-LN(2)/25)*FR139+(1-EXP(-LN(2)/25))/(LN(2)/25)*Calculateur!FM140*Calculateur!FO140*VLOOKUP('Données projet'!$B$16,Paramètres!$A$1:$I$89,3,0)*0.475*44/12</f>
        <v>0.38807778101495355</v>
      </c>
      <c r="FS140" s="21">
        <f>EXP(-LN(2)/2)*FS139+(1-EXP(-LN(2)/2))/(LN(2)/2)*FM140*FP140*VLOOKUP('Données projet'!$B$16,Paramètres!$A$1:$I$89,3,0)*0.475*44/12</f>
        <v>3.3052766081003284E-16</v>
      </c>
      <c r="FT140" s="22">
        <f t="shared" si="132"/>
        <v>0.66812599501701697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181.00000000000009</v>
      </c>
      <c r="GA140" s="17">
        <f>FZ140*VLOOKUP('Données projet'!$B$17,Paramètres!$A$1:$I$89,3,0)*VLOOKUP('Données projet'!$B$17,Paramètres!$A$1:$I$89,5,0)</f>
        <v>194.82840000000007</v>
      </c>
      <c r="GB140" s="13">
        <f t="shared" si="157"/>
        <v>48.605879434898576</v>
      </c>
      <c r="GC140" s="20">
        <f t="shared" si="133"/>
        <v>423.98137001578181</v>
      </c>
      <c r="GD140" s="59">
        <f t="shared" si="134"/>
        <v>708.97807542470719</v>
      </c>
      <c r="GE140" s="59">
        <f ca="1">AVERAGE(OFFSET($GD$3,0,0,'Données projet'!$E$17+1,1))-AVERAGE(OFFSET($H$3,0,0,'Données projet'!$E$17+1,1))</f>
        <v>313.51355235711543</v>
      </c>
      <c r="GF140" s="59">
        <f t="shared" si="158"/>
        <v>186.0840067781198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0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0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275.00000000000057</v>
      </c>
      <c r="O141" s="13">
        <f>N141*VLOOKUP('Données projet'!$B$9,Paramètres!$A$1:$I$89,3,0)*VLOOKUP('Données projet'!$B$9,Paramètres!$A$1:$I$89,5,0)</f>
        <v>278.85000000000059</v>
      </c>
      <c r="P141" s="13">
        <f t="shared" si="141"/>
        <v>66.723922641153095</v>
      </c>
      <c r="Q141" s="20">
        <f t="shared" si="108"/>
        <v>601.8745819333426</v>
      </c>
      <c r="R141" s="59">
        <f t="shared" si="109"/>
        <v>887.01590919884848</v>
      </c>
      <c r="S141" s="59">
        <f ca="1">AVERAGE(OFFSET($R$3,0,0,'Données projet'!$E$9+1,1))-AVERAGE(OFFSET($H$3,0,0,'Données projet'!$E$9+1,1))</f>
        <v>452.67426184967104</v>
      </c>
      <c r="T141" s="59">
        <f t="shared" si="142"/>
        <v>310.47823616327639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-3.979039320256561E-13</v>
      </c>
      <c r="AJ141" s="13">
        <f>AI141*VLOOKUP('Données projet'!$B$10,Paramètres!$A$1:$I$89,3,0)*VLOOKUP('Données projet'!$B$10,Paramètres!$A$1:$I$89,5,0)</f>
        <v>-4.158891897532158E-13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528.45201982036087</v>
      </c>
      <c r="AO141" s="59">
        <f t="shared" si="144"/>
        <v>321.23004033257985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5.4831402680894708E-18</v>
      </c>
      <c r="AX141" s="21">
        <f t="shared" si="114"/>
        <v>5.4831402680894708E-18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181.00000000000009</v>
      </c>
      <c r="BE141" s="13">
        <f>BD141*VLOOKUP('Données projet'!$B$11,Paramètres!$A$1:$I$89,3,0)*VLOOKUP('Données projet'!$B$11,Paramètres!$A$1:$I$89,5,0)</f>
        <v>175.06320000000008</v>
      </c>
      <c r="BF141" s="13">
        <f t="shared" si="145"/>
        <v>44.222067746824763</v>
      </c>
      <c r="BG141" s="20">
        <f t="shared" si="115"/>
        <v>381.92184132571992</v>
      </c>
      <c r="BH141" s="59">
        <f t="shared" si="116"/>
        <v>667.0631685912258</v>
      </c>
      <c r="BI141" s="59">
        <f ca="1">AVERAGE(OFFSET($BH$3,0,0,'Données projet'!$E$11+1,1))-AVERAGE(OFFSET($H$3,0,0,'Données projet'!$E$11+1,1))</f>
        <v>289.06522051625166</v>
      </c>
      <c r="BJ141" s="59">
        <f t="shared" si="146"/>
        <v>173.19148969173838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234.00000000000045</v>
      </c>
      <c r="BZ141" s="13">
        <f>BY141*VLOOKUP('Données projet'!$B$12,Paramètres!$A$1:$I$89,3,0)*VLOOKUP('Données projet'!$B$12,Paramètres!$A$1:$I$89,5,0)</f>
        <v>189.82080000000036</v>
      </c>
      <c r="CA141" s="13">
        <f t="shared" si="147"/>
        <v>47.500332100049881</v>
      </c>
      <c r="CB141" s="20">
        <f t="shared" si="118"/>
        <v>413.33430507425419</v>
      </c>
      <c r="CC141" s="59">
        <f t="shared" si="119"/>
        <v>698.47563233976007</v>
      </c>
      <c r="CD141" s="59">
        <f ca="1">AVERAGE(OFFSET($CC$3,0,0,'Données projet'!$E$12+1,1))-AVERAGE(OFFSET($H$3,0,0,'Données projet'!$E$12+1,1))</f>
        <v>306.06916761900357</v>
      </c>
      <c r="CE141" s="59">
        <f t="shared" si="148"/>
        <v>258.90832875500337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9.9580374301660759E-18</v>
      </c>
      <c r="CN141" s="22">
        <f t="shared" si="120"/>
        <v>9.9580374301660759E-18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275.00000000000057</v>
      </c>
      <c r="CU141" s="17">
        <f>CT141*VLOOKUP('Données projet'!$B$13,Paramètres!$A$1:$I$89,3,0)*VLOOKUP('Données projet'!$B$13,Paramètres!$A$1:$I$89,5,0)</f>
        <v>184.4700000000004</v>
      </c>
      <c r="CV141" s="13">
        <f t="shared" si="149"/>
        <v>46.31525458251663</v>
      </c>
      <c r="CW141" s="20">
        <f t="shared" si="121"/>
        <v>401.95098506455048</v>
      </c>
      <c r="CX141" s="59">
        <f t="shared" si="122"/>
        <v>687.09231233005642</v>
      </c>
      <c r="CY141" s="59">
        <f ca="1">AVERAGE(OFFSET($CX$3,0,0,'Données projet'!$E$13+1,1))-AVERAGE(OFFSET($H$3,0,0,'Données projet'!$E$13+1,1))</f>
        <v>324.58754156328285</v>
      </c>
      <c r="CZ141" s="59">
        <f t="shared" si="150"/>
        <v>226.01037731977604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6.0386560313699383E-18</v>
      </c>
      <c r="DI141" s="22">
        <f t="shared" si="123"/>
        <v>6.0386560313699383E-18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3.4106051316484809E-13</v>
      </c>
      <c r="DP141" s="17">
        <f>DO141*VLOOKUP('Données projet'!$B$14,Paramètres!$A$1:$I$89,3,0)*VLOOKUP('Données projet'!$B$14,Paramètres!$A$1:$I$89,5,0)</f>
        <v>1.5961632016114892E-13</v>
      </c>
      <c r="DQ141" s="13">
        <f t="shared" si="151"/>
        <v>2.2708641912150958E-12</v>
      </c>
      <c r="DR141" s="20">
        <f t="shared" si="124"/>
        <v>4.2330868906469593E-12</v>
      </c>
      <c r="DS141" s="59">
        <f t="shared" si="125"/>
        <v>285.14132726551014</v>
      </c>
      <c r="DT141" s="59">
        <f ca="1">AVERAGE(OFFSET($DS$3,0,0,'Données projet'!$E$14+1,1))-AVERAGE(OFFSET($H$3,0,0,'Données projet'!$E$14+1,1))</f>
        <v>325.93182817189722</v>
      </c>
      <c r="DU141" s="59">
        <f t="shared" si="152"/>
        <v>280.04509991782709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5.6843418860808015E-14</v>
      </c>
      <c r="EK141" s="17">
        <f>EJ141*VLOOKUP('Données projet'!$B$15,Paramètres!$A$1:$I$89,3,0)*VLOOKUP('Données projet'!$B$15,Paramètres!$A$1:$I$89,5,0)</f>
        <v>4.5224624045658861E-14</v>
      </c>
      <c r="EL141" s="13">
        <f t="shared" si="153"/>
        <v>7.4514601661523691E-13</v>
      </c>
      <c r="EM141" s="20">
        <f t="shared" si="127"/>
        <v>1.3765621991510601E-12</v>
      </c>
      <c r="EN141" s="59">
        <f t="shared" si="128"/>
        <v>285.1413272655073</v>
      </c>
      <c r="EO141" s="59">
        <f ca="1">AVERAGE(OFFSET($EN$3,0,0,'Données projet'!$E$15+1,1))-AVERAGE(OFFSET($H$3,0,0,'Données projet'!$E$15+1,1))</f>
        <v>333.52903437536651</v>
      </c>
      <c r="EP141" s="59">
        <f t="shared" si="154"/>
        <v>359.47288701414777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0.18938748683652548</v>
      </c>
      <c r="EX141" s="21">
        <f>EXP(-LN(2)/2)*EX140+(1-EXP(-LN(2)/2))/(LN(2)/2)*ER141*EU141*VLOOKUP('Données projet'!$B$15,Paramètres!$A$1:$I$89,3,0)*0.475*44/12</f>
        <v>1.3998702618175766E-17</v>
      </c>
      <c r="EY141" s="22">
        <f t="shared" si="129"/>
        <v>0.18938748683652551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-2.8421709430404007E-13</v>
      </c>
      <c r="FF141" s="17">
        <f>FE141*VLOOKUP('Données projet'!$B$16,Paramètres!$A$1:$I$89,3,0)*VLOOKUP('Données projet'!$B$16,Paramètres!$A$1:$I$89,5,0)</f>
        <v>-1.69961822393816E-13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313.26988717307376</v>
      </c>
      <c r="FK141" s="59">
        <f t="shared" si="156"/>
        <v>248.17359813993201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0.27455663933802688</v>
      </c>
      <c r="FR141" s="21">
        <f>EXP(-LN(2)/25)*FR140+(1-EXP(-LN(2)/25))/(LN(2)/25)*Calculateur!FM141*Calculateur!FO141*VLOOKUP('Données projet'!$B$16,Paramètres!$A$1:$I$89,3,0)*0.475*44/12</f>
        <v>0.37746577368497608</v>
      </c>
      <c r="FS141" s="21">
        <f>EXP(-LN(2)/2)*FS140+(1-EXP(-LN(2)/2))/(LN(2)/2)*FM141*FP141*VLOOKUP('Données projet'!$B$16,Paramètres!$A$1:$I$89,3,0)*0.475*44/12</f>
        <v>2.3371835032850128E-16</v>
      </c>
      <c r="FT141" s="22">
        <f t="shared" si="132"/>
        <v>0.65202241302300323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181.00000000000009</v>
      </c>
      <c r="GA141" s="17">
        <f>FZ141*VLOOKUP('Données projet'!$B$17,Paramètres!$A$1:$I$89,3,0)*VLOOKUP('Données projet'!$B$17,Paramètres!$A$1:$I$89,5,0)</f>
        <v>194.82840000000007</v>
      </c>
      <c r="GB141" s="13">
        <f t="shared" si="157"/>
        <v>48.605879434898576</v>
      </c>
      <c r="GC141" s="20">
        <f t="shared" si="133"/>
        <v>423.98137001578181</v>
      </c>
      <c r="GD141" s="59">
        <f t="shared" si="134"/>
        <v>709.12269728128774</v>
      </c>
      <c r="GE141" s="59">
        <f ca="1">AVERAGE(OFFSET($GD$3,0,0,'Données projet'!$E$17+1,1))-AVERAGE(OFFSET($H$3,0,0,'Données projet'!$E$17+1,1))</f>
        <v>313.51355235711543</v>
      </c>
      <c r="GF141" s="59">
        <f t="shared" si="158"/>
        <v>186.0840067781198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0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0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275.00000000000057</v>
      </c>
      <c r="O142" s="13">
        <f>N142*VLOOKUP('Données projet'!$B$9,Paramètres!$A$1:$I$89,3,0)*VLOOKUP('Données projet'!$B$9,Paramètres!$A$1:$I$89,5,0)</f>
        <v>278.85000000000059</v>
      </c>
      <c r="P142" s="13">
        <f t="shared" si="141"/>
        <v>66.723922641153095</v>
      </c>
      <c r="Q142" s="20">
        <f t="shared" si="108"/>
        <v>601.8745819333426</v>
      </c>
      <c r="R142" s="59">
        <f t="shared" si="109"/>
        <v>887.15802218954354</v>
      </c>
      <c r="S142" s="59">
        <f ca="1">AVERAGE(OFFSET($R$3,0,0,'Données projet'!$E$9+1,1))-AVERAGE(OFFSET($H$3,0,0,'Données projet'!$E$9+1,1))</f>
        <v>452.67426184967104</v>
      </c>
      <c r="T142" s="59">
        <f t="shared" si="142"/>
        <v>310.47823616327639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-3.979039320256561E-13</v>
      </c>
      <c r="AJ142" s="13">
        <f>AI142*VLOOKUP('Données projet'!$B$10,Paramètres!$A$1:$I$89,3,0)*VLOOKUP('Données projet'!$B$10,Paramètres!$A$1:$I$89,5,0)</f>
        <v>-4.158891897532158E-13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528.45201982036087</v>
      </c>
      <c r="AO142" s="59">
        <f t="shared" si="144"/>
        <v>321.23004033257985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3.8771656657630889E-18</v>
      </c>
      <c r="AX142" s="21">
        <f t="shared" si="114"/>
        <v>3.8771656657630889E-18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181.00000000000009</v>
      </c>
      <c r="BE142" s="13">
        <f>BD142*VLOOKUP('Données projet'!$B$11,Paramètres!$A$1:$I$89,3,0)*VLOOKUP('Données projet'!$B$11,Paramètres!$A$1:$I$89,5,0)</f>
        <v>175.06320000000008</v>
      </c>
      <c r="BF142" s="13">
        <f t="shared" si="145"/>
        <v>44.222067746824763</v>
      </c>
      <c r="BG142" s="20">
        <f t="shared" si="115"/>
        <v>381.92184132571992</v>
      </c>
      <c r="BH142" s="59">
        <f t="shared" si="116"/>
        <v>667.20528158192087</v>
      </c>
      <c r="BI142" s="59">
        <f ca="1">AVERAGE(OFFSET($BH$3,0,0,'Données projet'!$E$11+1,1))-AVERAGE(OFFSET($H$3,0,0,'Données projet'!$E$11+1,1))</f>
        <v>289.06522051625166</v>
      </c>
      <c r="BJ142" s="59">
        <f t="shared" si="146"/>
        <v>173.19148969173838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234.00000000000045</v>
      </c>
      <c r="BZ142" s="13">
        <f>BY142*VLOOKUP('Données projet'!$B$12,Paramètres!$A$1:$I$89,3,0)*VLOOKUP('Données projet'!$B$12,Paramètres!$A$1:$I$89,5,0)</f>
        <v>189.82080000000036</v>
      </c>
      <c r="CA142" s="13">
        <f t="shared" si="147"/>
        <v>47.500332100049881</v>
      </c>
      <c r="CB142" s="20">
        <f t="shared" si="118"/>
        <v>413.33430507425419</v>
      </c>
      <c r="CC142" s="59">
        <f t="shared" si="119"/>
        <v>698.61774533045514</v>
      </c>
      <c r="CD142" s="59">
        <f ca="1">AVERAGE(OFFSET($CC$3,0,0,'Données projet'!$E$12+1,1))-AVERAGE(OFFSET($H$3,0,0,'Données projet'!$E$12+1,1))</f>
        <v>306.06916761900357</v>
      </c>
      <c r="CE142" s="59">
        <f t="shared" si="148"/>
        <v>258.90832875500337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7.0413957941798934E-18</v>
      </c>
      <c r="CN142" s="22">
        <f t="shared" si="120"/>
        <v>7.0413957941798934E-18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275.00000000000057</v>
      </c>
      <c r="CU142" s="17">
        <f>CT142*VLOOKUP('Données projet'!$B$13,Paramètres!$A$1:$I$89,3,0)*VLOOKUP('Données projet'!$B$13,Paramètres!$A$1:$I$89,5,0)</f>
        <v>184.4700000000004</v>
      </c>
      <c r="CV142" s="13">
        <f t="shared" si="149"/>
        <v>46.31525458251663</v>
      </c>
      <c r="CW142" s="20">
        <f t="shared" si="121"/>
        <v>401.95098506455048</v>
      </c>
      <c r="CX142" s="59">
        <f t="shared" si="122"/>
        <v>687.23442532075137</v>
      </c>
      <c r="CY142" s="59">
        <f ca="1">AVERAGE(OFFSET($CX$3,0,0,'Données projet'!$E$13+1,1))-AVERAGE(OFFSET($H$3,0,0,'Données projet'!$E$13+1,1))</f>
        <v>324.58754156328285</v>
      </c>
      <c r="CZ142" s="59">
        <f t="shared" si="150"/>
        <v>226.01037731977604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4.2699746290347284E-18</v>
      </c>
      <c r="DI142" s="22">
        <f t="shared" si="123"/>
        <v>4.2699746290347284E-18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3.4106051316484809E-13</v>
      </c>
      <c r="DP142" s="17">
        <f>DO142*VLOOKUP('Données projet'!$B$14,Paramètres!$A$1:$I$89,3,0)*VLOOKUP('Données projet'!$B$14,Paramètres!$A$1:$I$89,5,0)</f>
        <v>1.5961632016114892E-13</v>
      </c>
      <c r="DQ142" s="13">
        <f t="shared" si="151"/>
        <v>2.2708641912150958E-12</v>
      </c>
      <c r="DR142" s="20">
        <f t="shared" si="124"/>
        <v>4.2330868906469593E-12</v>
      </c>
      <c r="DS142" s="59">
        <f t="shared" si="125"/>
        <v>285.2834402562051</v>
      </c>
      <c r="DT142" s="59">
        <f ca="1">AVERAGE(OFFSET($DS$3,0,0,'Données projet'!$E$14+1,1))-AVERAGE(OFFSET($H$3,0,0,'Données projet'!$E$14+1,1))</f>
        <v>325.93182817189722</v>
      </c>
      <c r="DU142" s="59">
        <f t="shared" si="152"/>
        <v>280.04509991782709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5.6843418860808015E-14</v>
      </c>
      <c r="EK142" s="17">
        <f>EJ142*VLOOKUP('Données projet'!$B$15,Paramètres!$A$1:$I$89,3,0)*VLOOKUP('Données projet'!$B$15,Paramètres!$A$1:$I$89,5,0)</f>
        <v>4.5224624045658861E-14</v>
      </c>
      <c r="EL142" s="13">
        <f t="shared" si="153"/>
        <v>7.4514601661523691E-13</v>
      </c>
      <c r="EM142" s="20">
        <f t="shared" si="127"/>
        <v>1.3765621991510601E-12</v>
      </c>
      <c r="EN142" s="59">
        <f t="shared" si="128"/>
        <v>285.28344025620225</v>
      </c>
      <c r="EO142" s="59">
        <f ca="1">AVERAGE(OFFSET($EN$3,0,0,'Données projet'!$E$15+1,1))-AVERAGE(OFFSET($H$3,0,0,'Données projet'!$E$15+1,1))</f>
        <v>333.52903437536651</v>
      </c>
      <c r="EP142" s="59">
        <f t="shared" si="154"/>
        <v>359.47288701414777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0.18420867604952562</v>
      </c>
      <c r="EX142" s="21">
        <f>EXP(-LN(2)/2)*EX141+(1-EXP(-LN(2)/2))/(LN(2)/2)*ER142*EU142*VLOOKUP('Données projet'!$B$15,Paramètres!$A$1:$I$89,3,0)*0.475*44/12</f>
        <v>9.8985775491259616E-18</v>
      </c>
      <c r="EY142" s="22">
        <f t="shared" si="129"/>
        <v>0.18420867604952562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-2.8421709430404007E-13</v>
      </c>
      <c r="FF142" s="17">
        <f>FE142*VLOOKUP('Données projet'!$B$16,Paramètres!$A$1:$I$89,3,0)*VLOOKUP('Données projet'!$B$16,Paramètres!$A$1:$I$89,5,0)</f>
        <v>-1.69961822393816E-13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313.26988717307376</v>
      </c>
      <c r="FK142" s="59">
        <f t="shared" si="156"/>
        <v>248.17359813993201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0.26917275110362254</v>
      </c>
      <c r="FR142" s="21">
        <f>EXP(-LN(2)/25)*FR141+(1-EXP(-LN(2)/25))/(LN(2)/25)*Calculateur!FM142*Calculateur!FO142*VLOOKUP('Données projet'!$B$16,Paramètres!$A$1:$I$89,3,0)*0.475*44/12</f>
        <v>0.36714395225349811</v>
      </c>
      <c r="FS142" s="21">
        <f>EXP(-LN(2)/2)*FS141+(1-EXP(-LN(2)/2))/(LN(2)/2)*FM142*FP142*VLOOKUP('Données projet'!$B$16,Paramètres!$A$1:$I$89,3,0)*0.475*44/12</f>
        <v>1.6526383040501642E-16</v>
      </c>
      <c r="FT142" s="22">
        <f t="shared" si="132"/>
        <v>0.63631670335712076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181.00000000000009</v>
      </c>
      <c r="GA142" s="17">
        <f>FZ142*VLOOKUP('Données projet'!$B$17,Paramètres!$A$1:$I$89,3,0)*VLOOKUP('Données projet'!$B$17,Paramètres!$A$1:$I$89,5,0)</f>
        <v>194.82840000000007</v>
      </c>
      <c r="GB142" s="13">
        <f t="shared" si="157"/>
        <v>48.605879434898576</v>
      </c>
      <c r="GC142" s="20">
        <f t="shared" si="133"/>
        <v>423.98137001578181</v>
      </c>
      <c r="GD142" s="59">
        <f t="shared" si="134"/>
        <v>709.2648102719827</v>
      </c>
      <c r="GE142" s="59">
        <f ca="1">AVERAGE(OFFSET($GD$3,0,0,'Données projet'!$E$17+1,1))-AVERAGE(OFFSET($H$3,0,0,'Données projet'!$E$17+1,1))</f>
        <v>313.51355235711543</v>
      </c>
      <c r="GF142" s="59">
        <f t="shared" si="158"/>
        <v>186.0840067781198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0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0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275.00000000000057</v>
      </c>
      <c r="O143" s="13">
        <f>N143*VLOOKUP('Données projet'!$B$9,Paramètres!$A$1:$I$89,3,0)*VLOOKUP('Données projet'!$B$9,Paramètres!$A$1:$I$89,5,0)</f>
        <v>278.85000000000059</v>
      </c>
      <c r="P143" s="13">
        <f t="shared" si="141"/>
        <v>66.723922641153095</v>
      </c>
      <c r="Q143" s="20">
        <f t="shared" si="108"/>
        <v>601.8745819333426</v>
      </c>
      <c r="R143" s="59">
        <f t="shared" si="109"/>
        <v>887.2976698375669</v>
      </c>
      <c r="S143" s="59">
        <f ca="1">AVERAGE(OFFSET($R$3,0,0,'Données projet'!$E$9+1,1))-AVERAGE(OFFSET($H$3,0,0,'Données projet'!$E$9+1,1))</f>
        <v>452.67426184967104</v>
      </c>
      <c r="T143" s="59">
        <f t="shared" si="142"/>
        <v>310.47823616327639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-3.979039320256561E-13</v>
      </c>
      <c r="AJ143" s="13">
        <f>AI143*VLOOKUP('Données projet'!$B$10,Paramètres!$A$1:$I$89,3,0)*VLOOKUP('Données projet'!$B$10,Paramètres!$A$1:$I$89,5,0)</f>
        <v>-4.158891897532158E-13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528.45201982036087</v>
      </c>
      <c r="AO143" s="59">
        <f t="shared" si="144"/>
        <v>321.23004033257985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2.7415701340447354E-18</v>
      </c>
      <c r="AX143" s="21">
        <f t="shared" si="114"/>
        <v>2.7415701340447354E-18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181.00000000000009</v>
      </c>
      <c r="BE143" s="13">
        <f>BD143*VLOOKUP('Données projet'!$B$11,Paramètres!$A$1:$I$89,3,0)*VLOOKUP('Données projet'!$B$11,Paramètres!$A$1:$I$89,5,0)</f>
        <v>175.06320000000008</v>
      </c>
      <c r="BF143" s="13">
        <f t="shared" si="145"/>
        <v>44.222067746824763</v>
      </c>
      <c r="BG143" s="20">
        <f t="shared" si="115"/>
        <v>381.92184132571992</v>
      </c>
      <c r="BH143" s="59">
        <f t="shared" si="116"/>
        <v>667.34492922994423</v>
      </c>
      <c r="BI143" s="59">
        <f ca="1">AVERAGE(OFFSET($BH$3,0,0,'Données projet'!$E$11+1,1))-AVERAGE(OFFSET($H$3,0,0,'Données projet'!$E$11+1,1))</f>
        <v>289.06522051625166</v>
      </c>
      <c r="BJ143" s="59">
        <f t="shared" si="146"/>
        <v>173.19148969173838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234.00000000000045</v>
      </c>
      <c r="BZ143" s="13">
        <f>BY143*VLOOKUP('Données projet'!$B$12,Paramètres!$A$1:$I$89,3,0)*VLOOKUP('Données projet'!$B$12,Paramètres!$A$1:$I$89,5,0)</f>
        <v>189.82080000000036</v>
      </c>
      <c r="CA143" s="13">
        <f t="shared" si="147"/>
        <v>47.500332100049881</v>
      </c>
      <c r="CB143" s="20">
        <f t="shared" si="118"/>
        <v>413.33430507425419</v>
      </c>
      <c r="CC143" s="59">
        <f t="shared" si="119"/>
        <v>698.75739297847849</v>
      </c>
      <c r="CD143" s="59">
        <f ca="1">AVERAGE(OFFSET($CC$3,0,0,'Données projet'!$E$12+1,1))-AVERAGE(OFFSET($H$3,0,0,'Données projet'!$E$12+1,1))</f>
        <v>306.06916761900357</v>
      </c>
      <c r="CE143" s="59">
        <f t="shared" si="148"/>
        <v>258.90832875500337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4.979018715083038E-18</v>
      </c>
      <c r="CN143" s="22">
        <f t="shared" si="120"/>
        <v>4.979018715083038E-18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275.00000000000057</v>
      </c>
      <c r="CU143" s="17">
        <f>CT143*VLOOKUP('Données projet'!$B$13,Paramètres!$A$1:$I$89,3,0)*VLOOKUP('Données projet'!$B$13,Paramètres!$A$1:$I$89,5,0)</f>
        <v>184.4700000000004</v>
      </c>
      <c r="CV143" s="13">
        <f t="shared" si="149"/>
        <v>46.31525458251663</v>
      </c>
      <c r="CW143" s="20">
        <f t="shared" si="121"/>
        <v>401.95098506455048</v>
      </c>
      <c r="CX143" s="59">
        <f t="shared" si="122"/>
        <v>687.37407296877484</v>
      </c>
      <c r="CY143" s="59">
        <f ca="1">AVERAGE(OFFSET($CX$3,0,0,'Données projet'!$E$13+1,1))-AVERAGE(OFFSET($H$3,0,0,'Données projet'!$E$13+1,1))</f>
        <v>324.58754156328285</v>
      </c>
      <c r="CZ143" s="59">
        <f t="shared" si="150"/>
        <v>226.01037731977604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3.0193280156849691E-18</v>
      </c>
      <c r="DI143" s="22">
        <f t="shared" si="123"/>
        <v>3.0193280156849691E-18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3.4106051316484809E-13</v>
      </c>
      <c r="DP143" s="17">
        <f>DO143*VLOOKUP('Données projet'!$B$14,Paramètres!$A$1:$I$89,3,0)*VLOOKUP('Données projet'!$B$14,Paramètres!$A$1:$I$89,5,0)</f>
        <v>1.5961632016114892E-13</v>
      </c>
      <c r="DQ143" s="13">
        <f t="shared" si="151"/>
        <v>2.2708641912150958E-12</v>
      </c>
      <c r="DR143" s="20">
        <f t="shared" si="124"/>
        <v>4.2330868906469593E-12</v>
      </c>
      <c r="DS143" s="59">
        <f t="shared" si="125"/>
        <v>285.42308790422857</v>
      </c>
      <c r="DT143" s="59">
        <f ca="1">AVERAGE(OFFSET($DS$3,0,0,'Données projet'!$E$14+1,1))-AVERAGE(OFFSET($H$3,0,0,'Données projet'!$E$14+1,1))</f>
        <v>325.93182817189722</v>
      </c>
      <c r="DU143" s="59">
        <f t="shared" si="152"/>
        <v>280.04509991782709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5.6843418860808015E-14</v>
      </c>
      <c r="EK143" s="17">
        <f>EJ143*VLOOKUP('Données projet'!$B$15,Paramètres!$A$1:$I$89,3,0)*VLOOKUP('Données projet'!$B$15,Paramètres!$A$1:$I$89,5,0)</f>
        <v>4.5224624045658861E-14</v>
      </c>
      <c r="EL143" s="13">
        <f t="shared" si="153"/>
        <v>7.4514601661523691E-13</v>
      </c>
      <c r="EM143" s="20">
        <f t="shared" si="127"/>
        <v>1.3765621991510601E-12</v>
      </c>
      <c r="EN143" s="59">
        <f t="shared" si="128"/>
        <v>285.42308790422572</v>
      </c>
      <c r="EO143" s="59">
        <f ca="1">AVERAGE(OFFSET($EN$3,0,0,'Données projet'!$E$15+1,1))-AVERAGE(OFFSET($H$3,0,0,'Données projet'!$E$15+1,1))</f>
        <v>333.52903437536651</v>
      </c>
      <c r="EP143" s="59">
        <f t="shared" si="154"/>
        <v>359.47288701414777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0.17917148011583808</v>
      </c>
      <c r="EX143" s="21">
        <f>EXP(-LN(2)/2)*EX142+(1-EXP(-LN(2)/2))/(LN(2)/2)*ER143*EU143*VLOOKUP('Données projet'!$B$15,Paramètres!$A$1:$I$89,3,0)*0.475*44/12</f>
        <v>6.999351309087883E-18</v>
      </c>
      <c r="EY143" s="22">
        <f t="shared" si="129"/>
        <v>0.17917148011583808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-2.8421709430404007E-13</v>
      </c>
      <c r="FF143" s="17">
        <f>FE143*VLOOKUP('Données projet'!$B$16,Paramètres!$A$1:$I$89,3,0)*VLOOKUP('Données projet'!$B$16,Paramètres!$A$1:$I$89,5,0)</f>
        <v>-1.69961822393816E-13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313.26988717307376</v>
      </c>
      <c r="FK143" s="59">
        <f t="shared" si="156"/>
        <v>248.17359813993201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0.26389443763364734</v>
      </c>
      <c r="FR143" s="21">
        <f>EXP(-LN(2)/25)*FR142+(1-EXP(-LN(2)/25))/(LN(2)/25)*Calculateur!FM143*Calculateur!FO143*VLOOKUP('Données projet'!$B$16,Paramètres!$A$1:$I$89,3,0)*0.475*44/12</f>
        <v>0.35710438157186486</v>
      </c>
      <c r="FS143" s="21">
        <f>EXP(-LN(2)/2)*FS142+(1-EXP(-LN(2)/2))/(LN(2)/2)*FM143*FP143*VLOOKUP('Données projet'!$B$16,Paramètres!$A$1:$I$89,3,0)*0.475*44/12</f>
        <v>1.1685917516425064E-16</v>
      </c>
      <c r="FT143" s="22">
        <f t="shared" si="132"/>
        <v>0.62099881920551236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181.00000000000009</v>
      </c>
      <c r="GA143" s="17">
        <f>FZ143*VLOOKUP('Données projet'!$B$17,Paramètres!$A$1:$I$89,3,0)*VLOOKUP('Données projet'!$B$17,Paramètres!$A$1:$I$89,5,0)</f>
        <v>194.82840000000007</v>
      </c>
      <c r="GB143" s="13">
        <f t="shared" si="157"/>
        <v>48.605879434898576</v>
      </c>
      <c r="GC143" s="20">
        <f t="shared" si="133"/>
        <v>423.98137001578181</v>
      </c>
      <c r="GD143" s="59">
        <f t="shared" si="134"/>
        <v>709.40445792000617</v>
      </c>
      <c r="GE143" s="59">
        <f ca="1">AVERAGE(OFFSET($GD$3,0,0,'Données projet'!$E$17+1,1))-AVERAGE(OFFSET($H$3,0,0,'Données projet'!$E$17+1,1))</f>
        <v>313.51355235711543</v>
      </c>
      <c r="GF143" s="59">
        <f t="shared" si="158"/>
        <v>186.0840067781198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0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0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275.00000000000057</v>
      </c>
      <c r="O144" s="13">
        <f>N144*VLOOKUP('Données projet'!$B$9,Paramètres!$A$1:$I$89,3,0)*VLOOKUP('Données projet'!$B$9,Paramètres!$A$1:$I$89,5,0)</f>
        <v>278.85000000000059</v>
      </c>
      <c r="P144" s="13">
        <f t="shared" si="141"/>
        <v>66.723922641153095</v>
      </c>
      <c r="Q144" s="20">
        <f t="shared" si="108"/>
        <v>601.8745819333426</v>
      </c>
      <c r="R144" s="59">
        <f t="shared" si="109"/>
        <v>887.43489491110267</v>
      </c>
      <c r="S144" s="59">
        <f ca="1">AVERAGE(OFFSET($R$3,0,0,'Données projet'!$E$9+1,1))-AVERAGE(OFFSET($H$3,0,0,'Données projet'!$E$9+1,1))</f>
        <v>452.67426184967104</v>
      </c>
      <c r="T144" s="59">
        <f t="shared" si="142"/>
        <v>310.47823616327639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-3.979039320256561E-13</v>
      </c>
      <c r="AJ144" s="13">
        <f>AI144*VLOOKUP('Données projet'!$B$10,Paramètres!$A$1:$I$89,3,0)*VLOOKUP('Données projet'!$B$10,Paramètres!$A$1:$I$89,5,0)</f>
        <v>-4.158891897532158E-13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528.45201982036087</v>
      </c>
      <c r="AO144" s="59">
        <f t="shared" si="144"/>
        <v>321.23004033257985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1.9385828328815445E-18</v>
      </c>
      <c r="AX144" s="21">
        <f t="shared" si="114"/>
        <v>1.9385828328815445E-18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181.00000000000009</v>
      </c>
      <c r="BE144" s="13">
        <f>BD144*VLOOKUP('Données projet'!$B$11,Paramètres!$A$1:$I$89,3,0)*VLOOKUP('Données projet'!$B$11,Paramètres!$A$1:$I$89,5,0)</f>
        <v>175.06320000000008</v>
      </c>
      <c r="BF144" s="13">
        <f t="shared" si="145"/>
        <v>44.222067746824763</v>
      </c>
      <c r="BG144" s="20">
        <f t="shared" si="115"/>
        <v>381.92184132571992</v>
      </c>
      <c r="BH144" s="59">
        <f t="shared" si="116"/>
        <v>667.48215430348</v>
      </c>
      <c r="BI144" s="59">
        <f ca="1">AVERAGE(OFFSET($BH$3,0,0,'Données projet'!$E$11+1,1))-AVERAGE(OFFSET($H$3,0,0,'Données projet'!$E$11+1,1))</f>
        <v>289.06522051625166</v>
      </c>
      <c r="BJ144" s="59">
        <f t="shared" si="146"/>
        <v>173.19148969173838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234.00000000000045</v>
      </c>
      <c r="BZ144" s="13">
        <f>BY144*VLOOKUP('Données projet'!$B$12,Paramètres!$A$1:$I$89,3,0)*VLOOKUP('Données projet'!$B$12,Paramètres!$A$1:$I$89,5,0)</f>
        <v>189.82080000000036</v>
      </c>
      <c r="CA144" s="13">
        <f t="shared" si="147"/>
        <v>47.500332100049881</v>
      </c>
      <c r="CB144" s="20">
        <f t="shared" si="118"/>
        <v>413.33430507425419</v>
      </c>
      <c r="CC144" s="59">
        <f t="shared" si="119"/>
        <v>698.89461805201427</v>
      </c>
      <c r="CD144" s="59">
        <f ca="1">AVERAGE(OFFSET($CC$3,0,0,'Données projet'!$E$12+1,1))-AVERAGE(OFFSET($H$3,0,0,'Données projet'!$E$12+1,1))</f>
        <v>306.06916761900357</v>
      </c>
      <c r="CE144" s="59">
        <f t="shared" si="148"/>
        <v>258.90832875500337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3.5206978970899467E-18</v>
      </c>
      <c r="CN144" s="22">
        <f t="shared" si="120"/>
        <v>3.5206978970899467E-18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275.00000000000057</v>
      </c>
      <c r="CU144" s="17">
        <f>CT144*VLOOKUP('Données projet'!$B$13,Paramètres!$A$1:$I$89,3,0)*VLOOKUP('Données projet'!$B$13,Paramètres!$A$1:$I$89,5,0)</f>
        <v>184.4700000000004</v>
      </c>
      <c r="CV144" s="13">
        <f t="shared" si="149"/>
        <v>46.31525458251663</v>
      </c>
      <c r="CW144" s="20">
        <f t="shared" si="121"/>
        <v>401.95098506455048</v>
      </c>
      <c r="CX144" s="59">
        <f t="shared" si="122"/>
        <v>687.5112980423105</v>
      </c>
      <c r="CY144" s="59">
        <f ca="1">AVERAGE(OFFSET($CX$3,0,0,'Données projet'!$E$13+1,1))-AVERAGE(OFFSET($H$3,0,0,'Données projet'!$E$13+1,1))</f>
        <v>324.58754156328285</v>
      </c>
      <c r="CZ144" s="59">
        <f t="shared" si="150"/>
        <v>226.01037731977604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2.1349873145173642E-18</v>
      </c>
      <c r="DI144" s="22">
        <f t="shared" si="123"/>
        <v>2.1349873145173642E-18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3.4106051316484809E-13</v>
      </c>
      <c r="DP144" s="17">
        <f>DO144*VLOOKUP('Données projet'!$B$14,Paramètres!$A$1:$I$89,3,0)*VLOOKUP('Données projet'!$B$14,Paramètres!$A$1:$I$89,5,0)</f>
        <v>1.5961632016114892E-13</v>
      </c>
      <c r="DQ144" s="13">
        <f t="shared" si="151"/>
        <v>2.2708641912150958E-12</v>
      </c>
      <c r="DR144" s="20">
        <f t="shared" si="124"/>
        <v>4.2330868906469593E-12</v>
      </c>
      <c r="DS144" s="59">
        <f t="shared" si="125"/>
        <v>285.56031297776423</v>
      </c>
      <c r="DT144" s="59">
        <f ca="1">AVERAGE(OFFSET($DS$3,0,0,'Données projet'!$E$14+1,1))-AVERAGE(OFFSET($H$3,0,0,'Données projet'!$E$14+1,1))</f>
        <v>325.93182817189722</v>
      </c>
      <c r="DU144" s="59">
        <f t="shared" si="152"/>
        <v>280.04509991782709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5.6843418860808015E-14</v>
      </c>
      <c r="EK144" s="17">
        <f>EJ144*VLOOKUP('Données projet'!$B$15,Paramètres!$A$1:$I$89,3,0)*VLOOKUP('Données projet'!$B$15,Paramètres!$A$1:$I$89,5,0)</f>
        <v>4.5224624045658861E-14</v>
      </c>
      <c r="EL144" s="13">
        <f t="shared" si="153"/>
        <v>7.4514601661523691E-13</v>
      </c>
      <c r="EM144" s="20">
        <f t="shared" si="127"/>
        <v>1.3765621991510601E-12</v>
      </c>
      <c r="EN144" s="59">
        <f t="shared" si="128"/>
        <v>285.56031297776138</v>
      </c>
      <c r="EO144" s="59">
        <f ca="1">AVERAGE(OFFSET($EN$3,0,0,'Données projet'!$E$15+1,1))-AVERAGE(OFFSET($H$3,0,0,'Données projet'!$E$15+1,1))</f>
        <v>333.52903437536651</v>
      </c>
      <c r="EP144" s="59">
        <f t="shared" si="154"/>
        <v>359.47288701414777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0.17427202656985186</v>
      </c>
      <c r="EX144" s="21">
        <f>EXP(-LN(2)/2)*EX143+(1-EXP(-LN(2)/2))/(LN(2)/2)*ER144*EU144*VLOOKUP('Données projet'!$B$15,Paramètres!$A$1:$I$89,3,0)*0.475*44/12</f>
        <v>4.9492887745629808E-18</v>
      </c>
      <c r="EY144" s="22">
        <f t="shared" si="129"/>
        <v>0.17427202656985186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-2.8421709430404007E-13</v>
      </c>
      <c r="FF144" s="17">
        <f>FE144*VLOOKUP('Données projet'!$B$16,Paramètres!$A$1:$I$89,3,0)*VLOOKUP('Données projet'!$B$16,Paramètres!$A$1:$I$89,5,0)</f>
        <v>-1.69961822393816E-13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313.26988717307376</v>
      </c>
      <c r="FK144" s="59">
        <f t="shared" si="156"/>
        <v>248.17359813993201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0.258719628671365</v>
      </c>
      <c r="FR144" s="21">
        <f>EXP(-LN(2)/25)*FR143+(1-EXP(-LN(2)/25))/(LN(2)/25)*Calculateur!FM144*Calculateur!FO144*VLOOKUP('Données projet'!$B$16,Paramètres!$A$1:$I$89,3,0)*0.475*44/12</f>
        <v>0.34733934347847895</v>
      </c>
      <c r="FS144" s="21">
        <f>EXP(-LN(2)/2)*FS143+(1-EXP(-LN(2)/2))/(LN(2)/2)*FM144*FP144*VLOOKUP('Données projet'!$B$16,Paramètres!$A$1:$I$89,3,0)*0.475*44/12</f>
        <v>8.2631915202508211E-17</v>
      </c>
      <c r="FT144" s="22">
        <f t="shared" si="132"/>
        <v>0.60605897214984406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181.00000000000009</v>
      </c>
      <c r="GA144" s="17">
        <f>FZ144*VLOOKUP('Données projet'!$B$17,Paramètres!$A$1:$I$89,3,0)*VLOOKUP('Données projet'!$B$17,Paramètres!$A$1:$I$89,5,0)</f>
        <v>194.82840000000007</v>
      </c>
      <c r="GB144" s="13">
        <f t="shared" si="157"/>
        <v>48.605879434898576</v>
      </c>
      <c r="GC144" s="20">
        <f t="shared" si="133"/>
        <v>423.98137001578181</v>
      </c>
      <c r="GD144" s="59">
        <f t="shared" si="134"/>
        <v>709.54168299354183</v>
      </c>
      <c r="GE144" s="59">
        <f ca="1">AVERAGE(OFFSET($GD$3,0,0,'Données projet'!$E$17+1,1))-AVERAGE(OFFSET($H$3,0,0,'Données projet'!$E$17+1,1))</f>
        <v>313.51355235711543</v>
      </c>
      <c r="GF144" s="59">
        <f t="shared" si="158"/>
        <v>186.0840067781198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0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0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275.00000000000057</v>
      </c>
      <c r="O145" s="13">
        <f>N145*VLOOKUP('Données projet'!$B$9,Paramètres!$A$1:$I$89,3,0)*VLOOKUP('Données projet'!$B$9,Paramètres!$A$1:$I$89,5,0)</f>
        <v>278.85000000000059</v>
      </c>
      <c r="P145" s="13">
        <f t="shared" si="141"/>
        <v>66.723922641153095</v>
      </c>
      <c r="Q145" s="20">
        <f t="shared" si="108"/>
        <v>601.8745819333426</v>
      </c>
      <c r="R145" s="59">
        <f t="shared" si="109"/>
        <v>887.56973943640173</v>
      </c>
      <c r="S145" s="59">
        <f ca="1">AVERAGE(OFFSET($R$3,0,0,'Données projet'!$E$9+1,1))-AVERAGE(OFFSET($H$3,0,0,'Données projet'!$E$9+1,1))</f>
        <v>452.67426184967104</v>
      </c>
      <c r="T145" s="59">
        <f t="shared" si="142"/>
        <v>310.47823616327639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-3.979039320256561E-13</v>
      </c>
      <c r="AJ145" s="13">
        <f>AI145*VLOOKUP('Données projet'!$B$10,Paramètres!$A$1:$I$89,3,0)*VLOOKUP('Données projet'!$B$10,Paramètres!$A$1:$I$89,5,0)</f>
        <v>-4.158891897532158E-13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528.45201982036087</v>
      </c>
      <c r="AO145" s="59">
        <f t="shared" si="144"/>
        <v>321.23004033257985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1.3707850670223677E-18</v>
      </c>
      <c r="AX145" s="21">
        <f t="shared" si="114"/>
        <v>1.3707850670223677E-18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181.00000000000009</v>
      </c>
      <c r="BE145" s="13">
        <f>BD145*VLOOKUP('Données projet'!$B$11,Paramètres!$A$1:$I$89,3,0)*VLOOKUP('Données projet'!$B$11,Paramètres!$A$1:$I$89,5,0)</f>
        <v>175.06320000000008</v>
      </c>
      <c r="BF145" s="13">
        <f t="shared" si="145"/>
        <v>44.222067746824763</v>
      </c>
      <c r="BG145" s="20">
        <f t="shared" si="115"/>
        <v>381.92184132571992</v>
      </c>
      <c r="BH145" s="59">
        <f t="shared" si="116"/>
        <v>667.61699882877906</v>
      </c>
      <c r="BI145" s="59">
        <f ca="1">AVERAGE(OFFSET($BH$3,0,0,'Données projet'!$E$11+1,1))-AVERAGE(OFFSET($H$3,0,0,'Données projet'!$E$11+1,1))</f>
        <v>289.06522051625166</v>
      </c>
      <c r="BJ145" s="59">
        <f t="shared" si="146"/>
        <v>173.19148969173838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234.00000000000045</v>
      </c>
      <c r="BZ145" s="13">
        <f>BY145*VLOOKUP('Données projet'!$B$12,Paramètres!$A$1:$I$89,3,0)*VLOOKUP('Données projet'!$B$12,Paramètres!$A$1:$I$89,5,0)</f>
        <v>189.82080000000036</v>
      </c>
      <c r="CA145" s="13">
        <f t="shared" si="147"/>
        <v>47.500332100049881</v>
      </c>
      <c r="CB145" s="20">
        <f t="shared" si="118"/>
        <v>413.33430507425419</v>
      </c>
      <c r="CC145" s="59">
        <f t="shared" si="119"/>
        <v>699.02946257731332</v>
      </c>
      <c r="CD145" s="59">
        <f ca="1">AVERAGE(OFFSET($CC$3,0,0,'Données projet'!$E$12+1,1))-AVERAGE(OFFSET($H$3,0,0,'Données projet'!$E$12+1,1))</f>
        <v>306.06916761900357</v>
      </c>
      <c r="CE145" s="59">
        <f t="shared" si="148"/>
        <v>258.90832875500337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2.489509357541519E-18</v>
      </c>
      <c r="CN145" s="22">
        <f t="shared" si="120"/>
        <v>2.489509357541519E-18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275.00000000000057</v>
      </c>
      <c r="CU145" s="17">
        <f>CT145*VLOOKUP('Données projet'!$B$13,Paramètres!$A$1:$I$89,3,0)*VLOOKUP('Données projet'!$B$13,Paramètres!$A$1:$I$89,5,0)</f>
        <v>184.4700000000004</v>
      </c>
      <c r="CV145" s="13">
        <f t="shared" si="149"/>
        <v>46.31525458251663</v>
      </c>
      <c r="CW145" s="20">
        <f t="shared" si="121"/>
        <v>401.95098506455048</v>
      </c>
      <c r="CX145" s="59">
        <f t="shared" si="122"/>
        <v>687.64614256760956</v>
      </c>
      <c r="CY145" s="59">
        <f ca="1">AVERAGE(OFFSET($CX$3,0,0,'Données projet'!$E$13+1,1))-AVERAGE(OFFSET($H$3,0,0,'Données projet'!$E$13+1,1))</f>
        <v>324.58754156328285</v>
      </c>
      <c r="CZ145" s="59">
        <f t="shared" si="150"/>
        <v>226.01037731977604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1.5096640078424846E-18</v>
      </c>
      <c r="DI145" s="22">
        <f t="shared" si="123"/>
        <v>1.5096640078424846E-18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3.4106051316484809E-13</v>
      </c>
      <c r="DP145" s="17">
        <f>DO145*VLOOKUP('Données projet'!$B$14,Paramètres!$A$1:$I$89,3,0)*VLOOKUP('Données projet'!$B$14,Paramètres!$A$1:$I$89,5,0)</f>
        <v>1.5961632016114892E-13</v>
      </c>
      <c r="DQ145" s="13">
        <f t="shared" si="151"/>
        <v>2.2708641912150958E-12</v>
      </c>
      <c r="DR145" s="20">
        <f t="shared" si="124"/>
        <v>4.2330868906469593E-12</v>
      </c>
      <c r="DS145" s="59">
        <f t="shared" si="125"/>
        <v>285.69515750306329</v>
      </c>
      <c r="DT145" s="59">
        <f ca="1">AVERAGE(OFFSET($DS$3,0,0,'Données projet'!$E$14+1,1))-AVERAGE(OFFSET($H$3,0,0,'Données projet'!$E$14+1,1))</f>
        <v>325.93182817189722</v>
      </c>
      <c r="DU145" s="59">
        <f t="shared" si="152"/>
        <v>280.04509991782709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5.6843418860808015E-14</v>
      </c>
      <c r="EK145" s="17">
        <f>EJ145*VLOOKUP('Données projet'!$B$15,Paramètres!$A$1:$I$89,3,0)*VLOOKUP('Données projet'!$B$15,Paramètres!$A$1:$I$89,5,0)</f>
        <v>4.5224624045658861E-14</v>
      </c>
      <c r="EL145" s="13">
        <f t="shared" si="153"/>
        <v>7.4514601661523691E-13</v>
      </c>
      <c r="EM145" s="20">
        <f t="shared" si="127"/>
        <v>1.3765621991510601E-12</v>
      </c>
      <c r="EN145" s="59">
        <f t="shared" si="128"/>
        <v>285.69515750306044</v>
      </c>
      <c r="EO145" s="59">
        <f ca="1">AVERAGE(OFFSET($EN$3,0,0,'Données projet'!$E$15+1,1))-AVERAGE(OFFSET($H$3,0,0,'Données projet'!$E$15+1,1))</f>
        <v>333.52903437536651</v>
      </c>
      <c r="EP145" s="59">
        <f t="shared" si="154"/>
        <v>359.47288701414777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0.16950654883873167</v>
      </c>
      <c r="EX145" s="21">
        <f>EXP(-LN(2)/2)*EX144+(1-EXP(-LN(2)/2))/(LN(2)/2)*ER145*EU145*VLOOKUP('Données projet'!$B$15,Paramètres!$A$1:$I$89,3,0)*0.475*44/12</f>
        <v>3.4996756545439415E-18</v>
      </c>
      <c r="EY145" s="22">
        <f t="shared" si="129"/>
        <v>0.16950654883873167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-2.8421709430404007E-13</v>
      </c>
      <c r="FF145" s="17">
        <f>FE145*VLOOKUP('Données projet'!$B$16,Paramètres!$A$1:$I$89,3,0)*VLOOKUP('Données projet'!$B$16,Paramètres!$A$1:$I$89,5,0)</f>
        <v>-1.69961822393816E-13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313.26988717307376</v>
      </c>
      <c r="FK145" s="59">
        <f t="shared" si="156"/>
        <v>248.17359813993201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0.25364629455651122</v>
      </c>
      <c r="FR145" s="21">
        <f>EXP(-LN(2)/25)*FR144+(1-EXP(-LN(2)/25))/(LN(2)/25)*Calculateur!FM145*Calculateur!FO145*VLOOKUP('Données projet'!$B$16,Paramètres!$A$1:$I$89,3,0)*0.475*44/12</f>
        <v>0.33784133086527773</v>
      </c>
      <c r="FS145" s="21">
        <f>EXP(-LN(2)/2)*FS144+(1-EXP(-LN(2)/2))/(LN(2)/2)*FM145*FP145*VLOOKUP('Données projet'!$B$16,Paramètres!$A$1:$I$89,3,0)*0.475*44/12</f>
        <v>5.8429587582125321E-17</v>
      </c>
      <c r="FT145" s="22">
        <f t="shared" si="132"/>
        <v>0.59148762542178901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181.00000000000009</v>
      </c>
      <c r="GA145" s="17">
        <f>FZ145*VLOOKUP('Données projet'!$B$17,Paramètres!$A$1:$I$89,3,0)*VLOOKUP('Données projet'!$B$17,Paramètres!$A$1:$I$89,5,0)</f>
        <v>194.82840000000007</v>
      </c>
      <c r="GB145" s="13">
        <f t="shared" si="157"/>
        <v>48.605879434898576</v>
      </c>
      <c r="GC145" s="20">
        <f t="shared" si="133"/>
        <v>423.98137001578181</v>
      </c>
      <c r="GD145" s="59">
        <f t="shared" si="134"/>
        <v>709.67652751884089</v>
      </c>
      <c r="GE145" s="59">
        <f ca="1">AVERAGE(OFFSET($GD$3,0,0,'Données projet'!$E$17+1,1))-AVERAGE(OFFSET($H$3,0,0,'Données projet'!$E$17+1,1))</f>
        <v>313.51355235711543</v>
      </c>
      <c r="GF145" s="59">
        <f t="shared" si="158"/>
        <v>186.0840067781198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0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0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275.00000000000057</v>
      </c>
      <c r="O146" s="13">
        <f>N146*VLOOKUP('Données projet'!$B$9,Paramètres!$A$1:$I$89,3,0)*VLOOKUP('Données projet'!$B$9,Paramètres!$A$1:$I$89,5,0)</f>
        <v>278.85000000000059</v>
      </c>
      <c r="P146" s="13">
        <f t="shared" si="141"/>
        <v>66.723922641153095</v>
      </c>
      <c r="Q146" s="20">
        <f t="shared" si="108"/>
        <v>601.8745819333426</v>
      </c>
      <c r="R146" s="59">
        <f t="shared" si="109"/>
        <v>887.70224471065399</v>
      </c>
      <c r="S146" s="59">
        <f ca="1">AVERAGE(OFFSET($R$3,0,0,'Données projet'!$E$9+1,1))-AVERAGE(OFFSET($H$3,0,0,'Données projet'!$E$9+1,1))</f>
        <v>452.67426184967104</v>
      </c>
      <c r="T146" s="59">
        <f t="shared" si="142"/>
        <v>310.47823616327639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-3.979039320256561E-13</v>
      </c>
      <c r="AJ146" s="13">
        <f>AI146*VLOOKUP('Données projet'!$B$10,Paramètres!$A$1:$I$89,3,0)*VLOOKUP('Données projet'!$B$10,Paramètres!$A$1:$I$89,5,0)</f>
        <v>-4.158891897532158E-13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528.45201982036087</v>
      </c>
      <c r="AO146" s="59">
        <f t="shared" si="144"/>
        <v>321.23004033257985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9.6929141644077223E-19</v>
      </c>
      <c r="AX146" s="21">
        <f t="shared" si="114"/>
        <v>9.6929141644077223E-19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181.00000000000009</v>
      </c>
      <c r="BE146" s="13">
        <f>BD146*VLOOKUP('Données projet'!$B$11,Paramètres!$A$1:$I$89,3,0)*VLOOKUP('Données projet'!$B$11,Paramètres!$A$1:$I$89,5,0)</f>
        <v>175.06320000000008</v>
      </c>
      <c r="BF146" s="13">
        <f t="shared" si="145"/>
        <v>44.222067746824763</v>
      </c>
      <c r="BG146" s="20">
        <f t="shared" si="115"/>
        <v>381.92184132571992</v>
      </c>
      <c r="BH146" s="59">
        <f t="shared" si="116"/>
        <v>667.74950410303131</v>
      </c>
      <c r="BI146" s="59">
        <f ca="1">AVERAGE(OFFSET($BH$3,0,0,'Données projet'!$E$11+1,1))-AVERAGE(OFFSET($H$3,0,0,'Données projet'!$E$11+1,1))</f>
        <v>289.06522051625166</v>
      </c>
      <c r="BJ146" s="59">
        <f t="shared" si="146"/>
        <v>173.19148969173838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234.00000000000045</v>
      </c>
      <c r="BZ146" s="13">
        <f>BY146*VLOOKUP('Données projet'!$B$12,Paramètres!$A$1:$I$89,3,0)*VLOOKUP('Données projet'!$B$12,Paramètres!$A$1:$I$89,5,0)</f>
        <v>189.82080000000036</v>
      </c>
      <c r="CA146" s="13">
        <f t="shared" si="147"/>
        <v>47.500332100049881</v>
      </c>
      <c r="CB146" s="20">
        <f t="shared" si="118"/>
        <v>413.33430507425419</v>
      </c>
      <c r="CC146" s="59">
        <f t="shared" si="119"/>
        <v>699.16196785156558</v>
      </c>
      <c r="CD146" s="59">
        <f ca="1">AVERAGE(OFFSET($CC$3,0,0,'Données projet'!$E$12+1,1))-AVERAGE(OFFSET($H$3,0,0,'Données projet'!$E$12+1,1))</f>
        <v>306.06916761900357</v>
      </c>
      <c r="CE146" s="59">
        <f t="shared" si="148"/>
        <v>258.90832875500337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1.7603489485449733E-18</v>
      </c>
      <c r="CN146" s="22">
        <f t="shared" si="120"/>
        <v>1.7603489485449733E-18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275.00000000000057</v>
      </c>
      <c r="CU146" s="17">
        <f>CT146*VLOOKUP('Données projet'!$B$13,Paramètres!$A$1:$I$89,3,0)*VLOOKUP('Données projet'!$B$13,Paramètres!$A$1:$I$89,5,0)</f>
        <v>184.4700000000004</v>
      </c>
      <c r="CV146" s="13">
        <f t="shared" si="149"/>
        <v>46.31525458251663</v>
      </c>
      <c r="CW146" s="20">
        <f t="shared" si="121"/>
        <v>401.95098506455048</v>
      </c>
      <c r="CX146" s="59">
        <f t="shared" si="122"/>
        <v>687.77864784186193</v>
      </c>
      <c r="CY146" s="59">
        <f ca="1">AVERAGE(OFFSET($CX$3,0,0,'Données projet'!$E$13+1,1))-AVERAGE(OFFSET($H$3,0,0,'Données projet'!$E$13+1,1))</f>
        <v>324.58754156328285</v>
      </c>
      <c r="CZ146" s="59">
        <f t="shared" si="150"/>
        <v>226.01037731977604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1.0674936572586821E-18</v>
      </c>
      <c r="DI146" s="22">
        <f t="shared" si="123"/>
        <v>1.0674936572586821E-18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3.4106051316484809E-13</v>
      </c>
      <c r="DP146" s="17">
        <f>DO146*VLOOKUP('Données projet'!$B$14,Paramètres!$A$1:$I$89,3,0)*VLOOKUP('Données projet'!$B$14,Paramètres!$A$1:$I$89,5,0)</f>
        <v>1.5961632016114892E-13</v>
      </c>
      <c r="DQ146" s="13">
        <f t="shared" si="151"/>
        <v>2.2708641912150958E-12</v>
      </c>
      <c r="DR146" s="20">
        <f t="shared" si="124"/>
        <v>4.2330868906469593E-12</v>
      </c>
      <c r="DS146" s="59">
        <f t="shared" si="125"/>
        <v>285.82766277731565</v>
      </c>
      <c r="DT146" s="59">
        <f ca="1">AVERAGE(OFFSET($DS$3,0,0,'Données projet'!$E$14+1,1))-AVERAGE(OFFSET($H$3,0,0,'Données projet'!$E$14+1,1))</f>
        <v>325.93182817189722</v>
      </c>
      <c r="DU146" s="59">
        <f t="shared" si="152"/>
        <v>280.04509991782709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5.6843418860808015E-14</v>
      </c>
      <c r="EK146" s="17">
        <f>EJ146*VLOOKUP('Données projet'!$B$15,Paramètres!$A$1:$I$89,3,0)*VLOOKUP('Données projet'!$B$15,Paramètres!$A$1:$I$89,5,0)</f>
        <v>4.5224624045658861E-14</v>
      </c>
      <c r="EL146" s="13">
        <f t="shared" si="153"/>
        <v>7.4514601661523691E-13</v>
      </c>
      <c r="EM146" s="20">
        <f t="shared" si="127"/>
        <v>1.3765621991510601E-12</v>
      </c>
      <c r="EN146" s="59">
        <f t="shared" si="128"/>
        <v>285.82766277731281</v>
      </c>
      <c r="EO146" s="59">
        <f ca="1">AVERAGE(OFFSET($EN$3,0,0,'Données projet'!$E$15+1,1))-AVERAGE(OFFSET($H$3,0,0,'Données projet'!$E$15+1,1))</f>
        <v>333.52903437536651</v>
      </c>
      <c r="EP146" s="59">
        <f t="shared" si="154"/>
        <v>359.47288701414777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0.16487138334677456</v>
      </c>
      <c r="EX146" s="21">
        <f>EXP(-LN(2)/2)*EX145+(1-EXP(-LN(2)/2))/(LN(2)/2)*ER146*EU146*VLOOKUP('Données projet'!$B$15,Paramètres!$A$1:$I$89,3,0)*0.475*44/12</f>
        <v>2.4746443872814904E-18</v>
      </c>
      <c r="EY146" s="22">
        <f t="shared" si="129"/>
        <v>0.16487138334677456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-2.8421709430404007E-13</v>
      </c>
      <c r="FF146" s="17">
        <f>FE146*VLOOKUP('Données projet'!$B$16,Paramètres!$A$1:$I$89,3,0)*VLOOKUP('Données projet'!$B$16,Paramètres!$A$1:$I$89,5,0)</f>
        <v>-1.69961822393816E-13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313.26988717307376</v>
      </c>
      <c r="FK146" s="59">
        <f t="shared" si="156"/>
        <v>248.17359813993201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0.24867244542922148</v>
      </c>
      <c r="FR146" s="21">
        <f>EXP(-LN(2)/25)*FR145+(1-EXP(-LN(2)/25))/(LN(2)/25)*Calculateur!FM146*Calculateur!FO146*VLOOKUP('Données projet'!$B$16,Paramètres!$A$1:$I$89,3,0)*0.475*44/12</f>
        <v>0.32860304190646328</v>
      </c>
      <c r="FS146" s="21">
        <f>EXP(-LN(2)/2)*FS145+(1-EXP(-LN(2)/2))/(LN(2)/2)*FM146*FP146*VLOOKUP('Données projet'!$B$16,Paramètres!$A$1:$I$89,3,0)*0.475*44/12</f>
        <v>4.1315957601254105E-17</v>
      </c>
      <c r="FT146" s="22">
        <f t="shared" si="132"/>
        <v>0.57727548733568479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181.00000000000009</v>
      </c>
      <c r="GA146" s="17">
        <f>FZ146*VLOOKUP('Données projet'!$B$17,Paramètres!$A$1:$I$89,3,0)*VLOOKUP('Données projet'!$B$17,Paramètres!$A$1:$I$89,5,0)</f>
        <v>194.82840000000007</v>
      </c>
      <c r="GB146" s="13">
        <f t="shared" si="157"/>
        <v>48.605879434898576</v>
      </c>
      <c r="GC146" s="20">
        <f t="shared" si="133"/>
        <v>423.98137001578181</v>
      </c>
      <c r="GD146" s="59">
        <f t="shared" si="134"/>
        <v>709.80903279309325</v>
      </c>
      <c r="GE146" s="59">
        <f ca="1">AVERAGE(OFFSET($GD$3,0,0,'Données projet'!$E$17+1,1))-AVERAGE(OFFSET($H$3,0,0,'Données projet'!$E$17+1,1))</f>
        <v>313.51355235711543</v>
      </c>
      <c r="GF146" s="59">
        <f t="shared" si="158"/>
        <v>186.0840067781198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0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0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275.00000000000057</v>
      </c>
      <c r="O147" s="13">
        <f>N147*VLOOKUP('Données projet'!$B$9,Paramètres!$A$1:$I$89,3,0)*VLOOKUP('Données projet'!$B$9,Paramètres!$A$1:$I$89,5,0)</f>
        <v>278.85000000000059</v>
      </c>
      <c r="P147" s="13">
        <f t="shared" si="141"/>
        <v>66.723922641153095</v>
      </c>
      <c r="Q147" s="20">
        <f t="shared" si="108"/>
        <v>601.8745819333426</v>
      </c>
      <c r="R147" s="59">
        <f t="shared" si="109"/>
        <v>887.83245131463548</v>
      </c>
      <c r="S147" s="59">
        <f ca="1">AVERAGE(OFFSET($R$3,0,0,'Données projet'!$E$9+1,1))-AVERAGE(OFFSET($H$3,0,0,'Données projet'!$E$9+1,1))</f>
        <v>452.67426184967104</v>
      </c>
      <c r="T147" s="59">
        <f t="shared" si="142"/>
        <v>310.47823616327639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-3.979039320256561E-13</v>
      </c>
      <c r="AJ147" s="13">
        <f>AI147*VLOOKUP('Données projet'!$B$10,Paramètres!$A$1:$I$89,3,0)*VLOOKUP('Données projet'!$B$10,Paramètres!$A$1:$I$89,5,0)</f>
        <v>-4.158891897532158E-13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528.45201982036087</v>
      </c>
      <c r="AO147" s="59">
        <f t="shared" si="144"/>
        <v>321.23004033257985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6.8539253351118385E-19</v>
      </c>
      <c r="AX147" s="21">
        <f t="shared" si="114"/>
        <v>6.8539253351118385E-19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181.00000000000009</v>
      </c>
      <c r="BE147" s="13">
        <f>BD147*VLOOKUP('Données projet'!$B$11,Paramètres!$A$1:$I$89,3,0)*VLOOKUP('Données projet'!$B$11,Paramètres!$A$1:$I$89,5,0)</f>
        <v>175.06320000000008</v>
      </c>
      <c r="BF147" s="13">
        <f t="shared" si="145"/>
        <v>44.222067746824763</v>
      </c>
      <c r="BG147" s="20">
        <f t="shared" si="115"/>
        <v>381.92184132571992</v>
      </c>
      <c r="BH147" s="59">
        <f t="shared" si="116"/>
        <v>667.8797107070128</v>
      </c>
      <c r="BI147" s="59">
        <f ca="1">AVERAGE(OFFSET($BH$3,0,0,'Données projet'!$E$11+1,1))-AVERAGE(OFFSET($H$3,0,0,'Données projet'!$E$11+1,1))</f>
        <v>289.06522051625166</v>
      </c>
      <c r="BJ147" s="59">
        <f t="shared" si="146"/>
        <v>173.19148969173838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234.00000000000045</v>
      </c>
      <c r="BZ147" s="13">
        <f>BY147*VLOOKUP('Données projet'!$B$12,Paramètres!$A$1:$I$89,3,0)*VLOOKUP('Données projet'!$B$12,Paramètres!$A$1:$I$89,5,0)</f>
        <v>189.82080000000036</v>
      </c>
      <c r="CA147" s="13">
        <f t="shared" si="147"/>
        <v>47.500332100049881</v>
      </c>
      <c r="CB147" s="20">
        <f t="shared" si="118"/>
        <v>413.33430507425419</v>
      </c>
      <c r="CC147" s="59">
        <f t="shared" si="119"/>
        <v>699.29217445554707</v>
      </c>
      <c r="CD147" s="59">
        <f ca="1">AVERAGE(OFFSET($CC$3,0,0,'Données projet'!$E$12+1,1))-AVERAGE(OFFSET($H$3,0,0,'Données projet'!$E$12+1,1))</f>
        <v>306.06916761900357</v>
      </c>
      <c r="CE147" s="59">
        <f t="shared" si="148"/>
        <v>258.90832875500337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1.2447546787707595E-18</v>
      </c>
      <c r="CN147" s="22">
        <f t="shared" si="120"/>
        <v>1.2447546787707595E-18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275.00000000000057</v>
      </c>
      <c r="CU147" s="17">
        <f>CT147*VLOOKUP('Données projet'!$B$13,Paramètres!$A$1:$I$89,3,0)*VLOOKUP('Données projet'!$B$13,Paramètres!$A$1:$I$89,5,0)</f>
        <v>184.4700000000004</v>
      </c>
      <c r="CV147" s="13">
        <f t="shared" si="149"/>
        <v>46.31525458251663</v>
      </c>
      <c r="CW147" s="20">
        <f t="shared" si="121"/>
        <v>401.95098506455048</v>
      </c>
      <c r="CX147" s="59">
        <f t="shared" si="122"/>
        <v>687.90885444584342</v>
      </c>
      <c r="CY147" s="59">
        <f ca="1">AVERAGE(OFFSET($CX$3,0,0,'Données projet'!$E$13+1,1))-AVERAGE(OFFSET($H$3,0,0,'Données projet'!$E$13+1,1))</f>
        <v>324.58754156328285</v>
      </c>
      <c r="CZ147" s="59">
        <f t="shared" si="150"/>
        <v>226.01037731977604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7.5483200392124228E-19</v>
      </c>
      <c r="DI147" s="22">
        <f t="shared" si="123"/>
        <v>7.5483200392124228E-19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3.4106051316484809E-13</v>
      </c>
      <c r="DP147" s="17">
        <f>DO147*VLOOKUP('Données projet'!$B$14,Paramètres!$A$1:$I$89,3,0)*VLOOKUP('Données projet'!$B$14,Paramètres!$A$1:$I$89,5,0)</f>
        <v>1.5961632016114892E-13</v>
      </c>
      <c r="DQ147" s="13">
        <f t="shared" si="151"/>
        <v>2.2708641912150958E-12</v>
      </c>
      <c r="DR147" s="20">
        <f t="shared" si="124"/>
        <v>4.2330868906469593E-12</v>
      </c>
      <c r="DS147" s="59">
        <f t="shared" si="125"/>
        <v>285.95786938129709</v>
      </c>
      <c r="DT147" s="59">
        <f ca="1">AVERAGE(OFFSET($DS$3,0,0,'Données projet'!$E$14+1,1))-AVERAGE(OFFSET($H$3,0,0,'Données projet'!$E$14+1,1))</f>
        <v>325.93182817189722</v>
      </c>
      <c r="DU147" s="59">
        <f t="shared" si="152"/>
        <v>280.04509991782709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5.6843418860808015E-14</v>
      </c>
      <c r="EK147" s="17">
        <f>EJ147*VLOOKUP('Données projet'!$B$15,Paramètres!$A$1:$I$89,3,0)*VLOOKUP('Données projet'!$B$15,Paramètres!$A$1:$I$89,5,0)</f>
        <v>4.5224624045658861E-14</v>
      </c>
      <c r="EL147" s="13">
        <f t="shared" si="153"/>
        <v>7.4514601661523691E-13</v>
      </c>
      <c r="EM147" s="20">
        <f t="shared" si="127"/>
        <v>1.3765621991510601E-12</v>
      </c>
      <c r="EN147" s="59">
        <f t="shared" si="128"/>
        <v>285.95786938129424</v>
      </c>
      <c r="EO147" s="59">
        <f ca="1">AVERAGE(OFFSET($EN$3,0,0,'Données projet'!$E$15+1,1))-AVERAGE(OFFSET($H$3,0,0,'Données projet'!$E$15+1,1))</f>
        <v>333.52903437536651</v>
      </c>
      <c r="EP147" s="59">
        <f t="shared" si="154"/>
        <v>359.47288701414777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0.16036296669894778</v>
      </c>
      <c r="EX147" s="21">
        <f>EXP(-LN(2)/2)*EX146+(1-EXP(-LN(2)/2))/(LN(2)/2)*ER147*EU147*VLOOKUP('Données projet'!$B$15,Paramètres!$A$1:$I$89,3,0)*0.475*44/12</f>
        <v>1.7498378272719707E-18</v>
      </c>
      <c r="EY147" s="22">
        <f t="shared" si="129"/>
        <v>0.16036296669894778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-2.8421709430404007E-13</v>
      </c>
      <c r="FF147" s="17">
        <f>FE147*VLOOKUP('Données projet'!$B$16,Paramètres!$A$1:$I$89,3,0)*VLOOKUP('Données projet'!$B$16,Paramètres!$A$1:$I$89,5,0)</f>
        <v>-1.69961822393816E-13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313.26988717307376</v>
      </c>
      <c r="FK147" s="59">
        <f t="shared" si="156"/>
        <v>248.17359813993201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0.24379613044956946</v>
      </c>
      <c r="FR147" s="21">
        <f>EXP(-LN(2)/25)*FR146+(1-EXP(-LN(2)/25))/(LN(2)/25)*Calculateur!FM147*Calculateur!FO147*VLOOKUP('Données projet'!$B$16,Paramètres!$A$1:$I$89,3,0)*0.475*44/12</f>
        <v>0.31961737444504812</v>
      </c>
      <c r="FS147" s="21">
        <f>EXP(-LN(2)/2)*FS146+(1-EXP(-LN(2)/2))/(LN(2)/2)*FM147*FP147*VLOOKUP('Données projet'!$B$16,Paramètres!$A$1:$I$89,3,0)*0.475*44/12</f>
        <v>2.9214793791062661E-17</v>
      </c>
      <c r="FT147" s="22">
        <f t="shared" si="132"/>
        <v>0.56341350489461761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181.00000000000009</v>
      </c>
      <c r="GA147" s="17">
        <f>FZ147*VLOOKUP('Données projet'!$B$17,Paramètres!$A$1:$I$89,3,0)*VLOOKUP('Données projet'!$B$17,Paramètres!$A$1:$I$89,5,0)</f>
        <v>194.82840000000007</v>
      </c>
      <c r="GB147" s="13">
        <f t="shared" si="157"/>
        <v>48.605879434898576</v>
      </c>
      <c r="GC147" s="20">
        <f t="shared" si="133"/>
        <v>423.98137001578181</v>
      </c>
      <c r="GD147" s="59">
        <f t="shared" si="134"/>
        <v>709.93923939707474</v>
      </c>
      <c r="GE147" s="59">
        <f ca="1">AVERAGE(OFFSET($GD$3,0,0,'Données projet'!$E$17+1,1))-AVERAGE(OFFSET($H$3,0,0,'Données projet'!$E$17+1,1))</f>
        <v>313.51355235711543</v>
      </c>
      <c r="GF147" s="59">
        <f t="shared" si="158"/>
        <v>186.0840067781198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0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0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275.00000000000057</v>
      </c>
      <c r="O148" s="13">
        <f>N148*VLOOKUP('Données projet'!$B$9,Paramètres!$A$1:$I$89,3,0)*VLOOKUP('Données projet'!$B$9,Paramètres!$A$1:$I$89,5,0)</f>
        <v>278.85000000000059</v>
      </c>
      <c r="P148" s="13">
        <f t="shared" si="141"/>
        <v>66.723922641153095</v>
      </c>
      <c r="Q148" s="20">
        <f t="shared" si="108"/>
        <v>601.8745819333426</v>
      </c>
      <c r="R148" s="59">
        <f t="shared" si="109"/>
        <v>887.96039912513618</v>
      </c>
      <c r="S148" s="59">
        <f ca="1">AVERAGE(OFFSET($R$3,0,0,'Données projet'!$E$9+1,1))-AVERAGE(OFFSET($H$3,0,0,'Données projet'!$E$9+1,1))</f>
        <v>452.67426184967104</v>
      </c>
      <c r="T148" s="59">
        <f t="shared" si="142"/>
        <v>310.47823616327639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-3.979039320256561E-13</v>
      </c>
      <c r="AJ148" s="13">
        <f>AI148*VLOOKUP('Données projet'!$B$10,Paramètres!$A$1:$I$89,3,0)*VLOOKUP('Données projet'!$B$10,Paramètres!$A$1:$I$89,5,0)</f>
        <v>-4.158891897532158E-13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528.45201982036087</v>
      </c>
      <c r="AO148" s="59">
        <f t="shared" si="144"/>
        <v>321.23004033257985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4.8464570822038611E-19</v>
      </c>
      <c r="AX148" s="21">
        <f t="shared" si="114"/>
        <v>4.8464570822038611E-19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181.00000000000009</v>
      </c>
      <c r="BE148" s="13">
        <f>BD148*VLOOKUP('Données projet'!$B$11,Paramètres!$A$1:$I$89,3,0)*VLOOKUP('Données projet'!$B$11,Paramètres!$A$1:$I$89,5,0)</f>
        <v>175.06320000000008</v>
      </c>
      <c r="BF148" s="13">
        <f t="shared" si="145"/>
        <v>44.222067746824763</v>
      </c>
      <c r="BG148" s="20">
        <f t="shared" si="115"/>
        <v>381.92184132571992</v>
      </c>
      <c r="BH148" s="59">
        <f t="shared" si="116"/>
        <v>668.00765851751351</v>
      </c>
      <c r="BI148" s="59">
        <f ca="1">AVERAGE(OFFSET($BH$3,0,0,'Données projet'!$E$11+1,1))-AVERAGE(OFFSET($H$3,0,0,'Données projet'!$E$11+1,1))</f>
        <v>289.06522051625166</v>
      </c>
      <c r="BJ148" s="59">
        <f t="shared" si="146"/>
        <v>173.19148969173838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234.00000000000045</v>
      </c>
      <c r="BZ148" s="13">
        <f>BY148*VLOOKUP('Données projet'!$B$12,Paramètres!$A$1:$I$89,3,0)*VLOOKUP('Données projet'!$B$12,Paramètres!$A$1:$I$89,5,0)</f>
        <v>189.82080000000036</v>
      </c>
      <c r="CA148" s="13">
        <f t="shared" si="147"/>
        <v>47.500332100049881</v>
      </c>
      <c r="CB148" s="20">
        <f t="shared" si="118"/>
        <v>413.33430507425419</v>
      </c>
      <c r="CC148" s="59">
        <f t="shared" si="119"/>
        <v>699.42012226604777</v>
      </c>
      <c r="CD148" s="59">
        <f ca="1">AVERAGE(OFFSET($CC$3,0,0,'Données projet'!$E$12+1,1))-AVERAGE(OFFSET($H$3,0,0,'Données projet'!$E$12+1,1))</f>
        <v>306.06916761900357</v>
      </c>
      <c r="CE148" s="59">
        <f t="shared" si="148"/>
        <v>258.90832875500337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8.8017447427248667E-19</v>
      </c>
      <c r="CN148" s="22">
        <f t="shared" si="120"/>
        <v>8.8017447427248667E-19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275.00000000000057</v>
      </c>
      <c r="CU148" s="17">
        <f>CT148*VLOOKUP('Données projet'!$B$13,Paramètres!$A$1:$I$89,3,0)*VLOOKUP('Données projet'!$B$13,Paramètres!$A$1:$I$89,5,0)</f>
        <v>184.4700000000004</v>
      </c>
      <c r="CV148" s="13">
        <f t="shared" si="149"/>
        <v>46.31525458251663</v>
      </c>
      <c r="CW148" s="20">
        <f t="shared" si="121"/>
        <v>401.95098506455048</v>
      </c>
      <c r="CX148" s="59">
        <f t="shared" si="122"/>
        <v>688.03680225634412</v>
      </c>
      <c r="CY148" s="59">
        <f ca="1">AVERAGE(OFFSET($CX$3,0,0,'Données projet'!$E$13+1,1))-AVERAGE(OFFSET($H$3,0,0,'Données projet'!$E$13+1,1))</f>
        <v>324.58754156328285</v>
      </c>
      <c r="CZ148" s="59">
        <f t="shared" si="150"/>
        <v>226.01037731977604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5.3374682862934104E-19</v>
      </c>
      <c r="DI148" s="22">
        <f t="shared" si="123"/>
        <v>5.3374682862934104E-19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3.4106051316484809E-13</v>
      </c>
      <c r="DP148" s="17">
        <f>DO148*VLOOKUP('Données projet'!$B$14,Paramètres!$A$1:$I$89,3,0)*VLOOKUP('Données projet'!$B$14,Paramètres!$A$1:$I$89,5,0)</f>
        <v>1.5961632016114892E-13</v>
      </c>
      <c r="DQ148" s="13">
        <f t="shared" si="151"/>
        <v>2.2708641912150958E-12</v>
      </c>
      <c r="DR148" s="20">
        <f t="shared" si="124"/>
        <v>4.2330868906469593E-12</v>
      </c>
      <c r="DS148" s="59">
        <f t="shared" si="125"/>
        <v>286.08581719179779</v>
      </c>
      <c r="DT148" s="59">
        <f ca="1">AVERAGE(OFFSET($DS$3,0,0,'Données projet'!$E$14+1,1))-AVERAGE(OFFSET($H$3,0,0,'Données projet'!$E$14+1,1))</f>
        <v>325.93182817189722</v>
      </c>
      <c r="DU148" s="59">
        <f t="shared" si="152"/>
        <v>280.04509991782709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5.6843418860808015E-14</v>
      </c>
      <c r="EK148" s="17">
        <f>EJ148*VLOOKUP('Données projet'!$B$15,Paramètres!$A$1:$I$89,3,0)*VLOOKUP('Données projet'!$B$15,Paramètres!$A$1:$I$89,5,0)</f>
        <v>4.5224624045658861E-14</v>
      </c>
      <c r="EL148" s="13">
        <f t="shared" si="153"/>
        <v>7.4514601661523691E-13</v>
      </c>
      <c r="EM148" s="20">
        <f t="shared" si="127"/>
        <v>1.3765621991510601E-12</v>
      </c>
      <c r="EN148" s="59">
        <f t="shared" si="128"/>
        <v>286.08581719179494</v>
      </c>
      <c r="EO148" s="59">
        <f ca="1">AVERAGE(OFFSET($EN$3,0,0,'Données projet'!$E$15+1,1))-AVERAGE(OFFSET($H$3,0,0,'Données projet'!$E$15+1,1))</f>
        <v>333.52903437536651</v>
      </c>
      <c r="EP148" s="59">
        <f t="shared" si="154"/>
        <v>359.47288701414777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0.15597783294144316</v>
      </c>
      <c r="EX148" s="21">
        <f>EXP(-LN(2)/2)*EX147+(1-EXP(-LN(2)/2))/(LN(2)/2)*ER148*EU148*VLOOKUP('Données projet'!$B$15,Paramètres!$A$1:$I$89,3,0)*0.475*44/12</f>
        <v>1.2373221936407452E-18</v>
      </c>
      <c r="EY148" s="22">
        <f t="shared" si="129"/>
        <v>0.15597783294144316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-2.8421709430404007E-13</v>
      </c>
      <c r="FF148" s="17">
        <f>FE148*VLOOKUP('Données projet'!$B$16,Paramètres!$A$1:$I$89,3,0)*VLOOKUP('Données projet'!$B$16,Paramètres!$A$1:$I$89,5,0)</f>
        <v>-1.69961822393816E-13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313.26988717307376</v>
      </c>
      <c r="FK148" s="59">
        <f t="shared" si="156"/>
        <v>248.17359813993201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0.23901543703240999</v>
      </c>
      <c r="FR148" s="21">
        <f>EXP(-LN(2)/25)*FR147+(1-EXP(-LN(2)/25))/(LN(2)/25)*Calculateur!FM148*Calculateur!FO148*VLOOKUP('Données projet'!$B$16,Paramètres!$A$1:$I$89,3,0)*0.475*44/12</f>
        <v>0.31087742053290107</v>
      </c>
      <c r="FS148" s="21">
        <f>EXP(-LN(2)/2)*FS147+(1-EXP(-LN(2)/2))/(LN(2)/2)*FM148*FP148*VLOOKUP('Données projet'!$B$16,Paramètres!$A$1:$I$89,3,0)*0.475*44/12</f>
        <v>2.0657978800627053E-17</v>
      </c>
      <c r="FT148" s="22">
        <f t="shared" si="132"/>
        <v>0.54989285756531103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181.00000000000009</v>
      </c>
      <c r="GA148" s="17">
        <f>FZ148*VLOOKUP('Données projet'!$B$17,Paramètres!$A$1:$I$89,3,0)*VLOOKUP('Données projet'!$B$17,Paramètres!$A$1:$I$89,5,0)</f>
        <v>194.82840000000007</v>
      </c>
      <c r="GB148" s="13">
        <f t="shared" si="157"/>
        <v>48.605879434898576</v>
      </c>
      <c r="GC148" s="20">
        <f t="shared" si="133"/>
        <v>423.98137001578181</v>
      </c>
      <c r="GD148" s="59">
        <f t="shared" si="134"/>
        <v>710.06718720757544</v>
      </c>
      <c r="GE148" s="59">
        <f ca="1">AVERAGE(OFFSET($GD$3,0,0,'Données projet'!$E$17+1,1))-AVERAGE(OFFSET($H$3,0,0,'Données projet'!$E$17+1,1))</f>
        <v>313.51355235711543</v>
      </c>
      <c r="GF148" s="59">
        <f t="shared" si="158"/>
        <v>186.0840067781198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0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0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275.00000000000057</v>
      </c>
      <c r="O149" s="13">
        <f>N149*VLOOKUP('Données projet'!$B$9,Paramètres!$A$1:$I$89,3,0)*VLOOKUP('Données projet'!$B$9,Paramètres!$A$1:$I$89,5,0)</f>
        <v>278.85000000000059</v>
      </c>
      <c r="P149" s="13">
        <f t="shared" si="141"/>
        <v>66.723922641153095</v>
      </c>
      <c r="Q149" s="20">
        <f t="shared" si="108"/>
        <v>601.8745819333426</v>
      </c>
      <c r="R149" s="59">
        <f t="shared" si="109"/>
        <v>888.08612732717324</v>
      </c>
      <c r="S149" s="59">
        <f ca="1">AVERAGE(OFFSET($R$3,0,0,'Données projet'!$E$9+1,1))-AVERAGE(OFFSET($H$3,0,0,'Données projet'!$E$9+1,1))</f>
        <v>452.67426184967104</v>
      </c>
      <c r="T149" s="59">
        <f t="shared" si="142"/>
        <v>310.47823616327639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-3.979039320256561E-13</v>
      </c>
      <c r="AJ149" s="13">
        <f>AI149*VLOOKUP('Données projet'!$B$10,Paramètres!$A$1:$I$89,3,0)*VLOOKUP('Données projet'!$B$10,Paramètres!$A$1:$I$89,5,0)</f>
        <v>-4.158891897532158E-13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528.45201982036087</v>
      </c>
      <c r="AO149" s="59">
        <f t="shared" si="144"/>
        <v>321.23004033257985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3.4269626675559193E-19</v>
      </c>
      <c r="AX149" s="21">
        <f t="shared" si="114"/>
        <v>3.4269626675559193E-19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181.00000000000009</v>
      </c>
      <c r="BE149" s="13">
        <f>BD149*VLOOKUP('Données projet'!$B$11,Paramètres!$A$1:$I$89,3,0)*VLOOKUP('Données projet'!$B$11,Paramètres!$A$1:$I$89,5,0)</f>
        <v>175.06320000000008</v>
      </c>
      <c r="BF149" s="13">
        <f t="shared" si="145"/>
        <v>44.222067746824763</v>
      </c>
      <c r="BG149" s="20">
        <f t="shared" si="115"/>
        <v>381.92184132571992</v>
      </c>
      <c r="BH149" s="59">
        <f t="shared" si="116"/>
        <v>668.13338671955057</v>
      </c>
      <c r="BI149" s="59">
        <f ca="1">AVERAGE(OFFSET($BH$3,0,0,'Données projet'!$E$11+1,1))-AVERAGE(OFFSET($H$3,0,0,'Données projet'!$E$11+1,1))</f>
        <v>289.06522051625166</v>
      </c>
      <c r="BJ149" s="59">
        <f t="shared" si="146"/>
        <v>173.19148969173838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234.00000000000045</v>
      </c>
      <c r="BZ149" s="13">
        <f>BY149*VLOOKUP('Données projet'!$B$12,Paramètres!$A$1:$I$89,3,0)*VLOOKUP('Données projet'!$B$12,Paramètres!$A$1:$I$89,5,0)</f>
        <v>189.82080000000036</v>
      </c>
      <c r="CA149" s="13">
        <f t="shared" si="147"/>
        <v>47.500332100049881</v>
      </c>
      <c r="CB149" s="20">
        <f t="shared" si="118"/>
        <v>413.33430507425419</v>
      </c>
      <c r="CC149" s="59">
        <f t="shared" si="119"/>
        <v>699.54585046808484</v>
      </c>
      <c r="CD149" s="59">
        <f ca="1">AVERAGE(OFFSET($CC$3,0,0,'Données projet'!$E$12+1,1))-AVERAGE(OFFSET($H$3,0,0,'Données projet'!$E$12+1,1))</f>
        <v>306.06916761900357</v>
      </c>
      <c r="CE149" s="59">
        <f t="shared" si="148"/>
        <v>258.90832875500337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6.2237733938537975E-19</v>
      </c>
      <c r="CN149" s="22">
        <f t="shared" si="120"/>
        <v>6.2237733938537975E-19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275.00000000000057</v>
      </c>
      <c r="CU149" s="17">
        <f>CT149*VLOOKUP('Données projet'!$B$13,Paramètres!$A$1:$I$89,3,0)*VLOOKUP('Données projet'!$B$13,Paramètres!$A$1:$I$89,5,0)</f>
        <v>184.4700000000004</v>
      </c>
      <c r="CV149" s="13">
        <f t="shared" si="149"/>
        <v>46.31525458251663</v>
      </c>
      <c r="CW149" s="20">
        <f t="shared" si="121"/>
        <v>401.95098506455048</v>
      </c>
      <c r="CX149" s="59">
        <f t="shared" si="122"/>
        <v>688.16253045838107</v>
      </c>
      <c r="CY149" s="59">
        <f ca="1">AVERAGE(OFFSET($CX$3,0,0,'Données projet'!$E$13+1,1))-AVERAGE(OFFSET($H$3,0,0,'Données projet'!$E$13+1,1))</f>
        <v>324.58754156328285</v>
      </c>
      <c r="CZ149" s="59">
        <f t="shared" si="150"/>
        <v>226.01037731977604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3.7741600196062114E-19</v>
      </c>
      <c r="DI149" s="22">
        <f t="shared" si="123"/>
        <v>3.7741600196062114E-19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3.4106051316484809E-13</v>
      </c>
      <c r="DP149" s="17">
        <f>DO149*VLOOKUP('Données projet'!$B$14,Paramètres!$A$1:$I$89,3,0)*VLOOKUP('Données projet'!$B$14,Paramètres!$A$1:$I$89,5,0)</f>
        <v>1.5961632016114892E-13</v>
      </c>
      <c r="DQ149" s="13">
        <f t="shared" si="151"/>
        <v>2.2708641912150958E-12</v>
      </c>
      <c r="DR149" s="20">
        <f t="shared" si="124"/>
        <v>4.2330868906469593E-12</v>
      </c>
      <c r="DS149" s="59">
        <f t="shared" si="125"/>
        <v>286.21154539383485</v>
      </c>
      <c r="DT149" s="59">
        <f ca="1">AVERAGE(OFFSET($DS$3,0,0,'Données projet'!$E$14+1,1))-AVERAGE(OFFSET($H$3,0,0,'Données projet'!$E$14+1,1))</f>
        <v>325.93182817189722</v>
      </c>
      <c r="DU149" s="59">
        <f t="shared" si="152"/>
        <v>280.04509991782709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5.6843418860808015E-14</v>
      </c>
      <c r="EK149" s="17">
        <f>EJ149*VLOOKUP('Données projet'!$B$15,Paramètres!$A$1:$I$89,3,0)*VLOOKUP('Données projet'!$B$15,Paramètres!$A$1:$I$89,5,0)</f>
        <v>4.5224624045658861E-14</v>
      </c>
      <c r="EL149" s="13">
        <f t="shared" si="153"/>
        <v>7.4514601661523691E-13</v>
      </c>
      <c r="EM149" s="20">
        <f t="shared" si="127"/>
        <v>1.3765621991510601E-12</v>
      </c>
      <c r="EN149" s="59">
        <f t="shared" si="128"/>
        <v>286.21154539383201</v>
      </c>
      <c r="EO149" s="59">
        <f ca="1">AVERAGE(OFFSET($EN$3,0,0,'Données projet'!$E$15+1,1))-AVERAGE(OFFSET($H$3,0,0,'Données projet'!$E$15+1,1))</f>
        <v>333.52903437536651</v>
      </c>
      <c r="EP149" s="59">
        <f t="shared" si="154"/>
        <v>359.47288701414777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0.15171261089714166</v>
      </c>
      <c r="EX149" s="21">
        <f>EXP(-LN(2)/2)*EX148+(1-EXP(-LN(2)/2))/(LN(2)/2)*ER149*EU149*VLOOKUP('Données projet'!$B$15,Paramètres!$A$1:$I$89,3,0)*0.475*44/12</f>
        <v>8.7491891363598537E-19</v>
      </c>
      <c r="EY149" s="22">
        <f t="shared" si="129"/>
        <v>0.15171261089714166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-2.8421709430404007E-13</v>
      </c>
      <c r="FF149" s="17">
        <f>FE149*VLOOKUP('Données projet'!$B$16,Paramètres!$A$1:$I$89,3,0)*VLOOKUP('Données projet'!$B$16,Paramètres!$A$1:$I$89,5,0)</f>
        <v>-1.69961822393816E-13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313.26988717307376</v>
      </c>
      <c r="FK149" s="59">
        <f t="shared" si="156"/>
        <v>248.17359813993201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0.23432849009722595</v>
      </c>
      <c r="FR149" s="21">
        <f>EXP(-LN(2)/25)*FR148+(1-EXP(-LN(2)/25))/(LN(2)/25)*Calculateur!FM149*Calculateur!FO149*VLOOKUP('Données projet'!$B$16,Paramètres!$A$1:$I$89,3,0)*0.475*44/12</f>
        <v>0.30237646112009586</v>
      </c>
      <c r="FS149" s="21">
        <f>EXP(-LN(2)/2)*FS148+(1-EXP(-LN(2)/2))/(LN(2)/2)*FM149*FP149*VLOOKUP('Données projet'!$B$16,Paramètres!$A$1:$I$89,3,0)*0.475*44/12</f>
        <v>1.460739689553133E-17</v>
      </c>
      <c r="FT149" s="22">
        <f t="shared" si="132"/>
        <v>0.53670495121732187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181.00000000000009</v>
      </c>
      <c r="GA149" s="17">
        <f>FZ149*VLOOKUP('Données projet'!$B$17,Paramètres!$A$1:$I$89,3,0)*VLOOKUP('Données projet'!$B$17,Paramètres!$A$1:$I$89,5,0)</f>
        <v>194.82840000000007</v>
      </c>
      <c r="GB149" s="13">
        <f t="shared" si="157"/>
        <v>48.605879434898576</v>
      </c>
      <c r="GC149" s="20">
        <f t="shared" si="133"/>
        <v>423.98137001578181</v>
      </c>
      <c r="GD149" s="59">
        <f t="shared" si="134"/>
        <v>710.1929154096124</v>
      </c>
      <c r="GE149" s="59">
        <f ca="1">AVERAGE(OFFSET($GD$3,0,0,'Données projet'!$E$17+1,1))-AVERAGE(OFFSET($H$3,0,0,'Données projet'!$E$17+1,1))</f>
        <v>313.51355235711543</v>
      </c>
      <c r="GF149" s="59">
        <f t="shared" si="158"/>
        <v>186.0840067781198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0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0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275.00000000000057</v>
      </c>
      <c r="O150" s="13">
        <f>N150*VLOOKUP('Données projet'!$B$9,Paramètres!$A$1:$I$89,3,0)*VLOOKUP('Données projet'!$B$9,Paramètres!$A$1:$I$89,5,0)</f>
        <v>278.85000000000059</v>
      </c>
      <c r="P150" s="13">
        <f t="shared" si="141"/>
        <v>66.723922641153095</v>
      </c>
      <c r="Q150" s="20">
        <f t="shared" si="108"/>
        <v>601.8745819333426</v>
      </c>
      <c r="R150" s="59">
        <f t="shared" si="109"/>
        <v>888.20967442599101</v>
      </c>
      <c r="S150" s="59">
        <f ca="1">AVERAGE(OFFSET($R$3,0,0,'Données projet'!$E$9+1,1))-AVERAGE(OFFSET($H$3,0,0,'Données projet'!$E$9+1,1))</f>
        <v>452.67426184967104</v>
      </c>
      <c r="T150" s="59">
        <f t="shared" si="142"/>
        <v>310.47823616327639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-3.979039320256561E-13</v>
      </c>
      <c r="AJ150" s="13">
        <f>AI150*VLOOKUP('Données projet'!$B$10,Paramètres!$A$1:$I$89,3,0)*VLOOKUP('Données projet'!$B$10,Paramètres!$A$1:$I$89,5,0)</f>
        <v>-4.158891897532158E-13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528.45201982036087</v>
      </c>
      <c r="AO150" s="59">
        <f t="shared" si="144"/>
        <v>321.23004033257985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2.4232285411019306E-19</v>
      </c>
      <c r="AX150" s="21">
        <f t="shared" si="114"/>
        <v>2.4232285411019306E-19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181.00000000000009</v>
      </c>
      <c r="BE150" s="13">
        <f>BD150*VLOOKUP('Données projet'!$B$11,Paramètres!$A$1:$I$89,3,0)*VLOOKUP('Données projet'!$B$11,Paramètres!$A$1:$I$89,5,0)</f>
        <v>175.06320000000008</v>
      </c>
      <c r="BF150" s="13">
        <f t="shared" si="145"/>
        <v>44.222067746824763</v>
      </c>
      <c r="BG150" s="20">
        <f t="shared" si="115"/>
        <v>381.92184132571992</v>
      </c>
      <c r="BH150" s="59">
        <f t="shared" si="116"/>
        <v>668.25693381836834</v>
      </c>
      <c r="BI150" s="59">
        <f ca="1">AVERAGE(OFFSET($BH$3,0,0,'Données projet'!$E$11+1,1))-AVERAGE(OFFSET($H$3,0,0,'Données projet'!$E$11+1,1))</f>
        <v>289.06522051625166</v>
      </c>
      <c r="BJ150" s="59">
        <f t="shared" si="146"/>
        <v>173.19148969173838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234.00000000000045</v>
      </c>
      <c r="BZ150" s="13">
        <f>BY150*VLOOKUP('Données projet'!$B$12,Paramètres!$A$1:$I$89,3,0)*VLOOKUP('Données projet'!$B$12,Paramètres!$A$1:$I$89,5,0)</f>
        <v>189.82080000000036</v>
      </c>
      <c r="CA150" s="13">
        <f t="shared" si="147"/>
        <v>47.500332100049881</v>
      </c>
      <c r="CB150" s="20">
        <f t="shared" si="118"/>
        <v>413.33430507425419</v>
      </c>
      <c r="CC150" s="59">
        <f t="shared" si="119"/>
        <v>699.6693975669026</v>
      </c>
      <c r="CD150" s="59">
        <f ca="1">AVERAGE(OFFSET($CC$3,0,0,'Données projet'!$E$12+1,1))-AVERAGE(OFFSET($H$3,0,0,'Données projet'!$E$12+1,1))</f>
        <v>306.06916761900357</v>
      </c>
      <c r="CE150" s="59">
        <f t="shared" si="148"/>
        <v>258.90832875500337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4.4008723713624334E-19</v>
      </c>
      <c r="CN150" s="22">
        <f t="shared" si="120"/>
        <v>4.4008723713624334E-19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275.00000000000057</v>
      </c>
      <c r="CU150" s="17">
        <f>CT150*VLOOKUP('Données projet'!$B$13,Paramètres!$A$1:$I$89,3,0)*VLOOKUP('Données projet'!$B$13,Paramètres!$A$1:$I$89,5,0)</f>
        <v>184.4700000000004</v>
      </c>
      <c r="CV150" s="13">
        <f t="shared" si="149"/>
        <v>46.31525458251663</v>
      </c>
      <c r="CW150" s="20">
        <f t="shared" si="121"/>
        <v>401.95098506455048</v>
      </c>
      <c r="CX150" s="59">
        <f t="shared" si="122"/>
        <v>688.28607755719895</v>
      </c>
      <c r="CY150" s="59">
        <f ca="1">AVERAGE(OFFSET($CX$3,0,0,'Données projet'!$E$13+1,1))-AVERAGE(OFFSET($H$3,0,0,'Données projet'!$E$13+1,1))</f>
        <v>324.58754156328285</v>
      </c>
      <c r="CZ150" s="59">
        <f t="shared" si="150"/>
        <v>226.01037731977604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2.6687341431467052E-19</v>
      </c>
      <c r="DI150" s="22">
        <f t="shared" si="123"/>
        <v>2.6687341431467052E-19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3.4106051316484809E-13</v>
      </c>
      <c r="DP150" s="17">
        <f>DO150*VLOOKUP('Données projet'!$B$14,Paramètres!$A$1:$I$89,3,0)*VLOOKUP('Données projet'!$B$14,Paramètres!$A$1:$I$89,5,0)</f>
        <v>1.5961632016114892E-13</v>
      </c>
      <c r="DQ150" s="13">
        <f t="shared" si="151"/>
        <v>2.2708641912150958E-12</v>
      </c>
      <c r="DR150" s="20">
        <f t="shared" si="124"/>
        <v>4.2330868906469593E-12</v>
      </c>
      <c r="DS150" s="59">
        <f t="shared" si="125"/>
        <v>286.33509249265262</v>
      </c>
      <c r="DT150" s="59">
        <f ca="1">AVERAGE(OFFSET($DS$3,0,0,'Données projet'!$E$14+1,1))-AVERAGE(OFFSET($H$3,0,0,'Données projet'!$E$14+1,1))</f>
        <v>325.93182817189722</v>
      </c>
      <c r="DU150" s="59">
        <f t="shared" si="152"/>
        <v>280.04509991782709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5.6843418860808015E-14</v>
      </c>
      <c r="EK150" s="17">
        <f>EJ150*VLOOKUP('Données projet'!$B$15,Paramètres!$A$1:$I$89,3,0)*VLOOKUP('Données projet'!$B$15,Paramètres!$A$1:$I$89,5,0)</f>
        <v>4.5224624045658861E-14</v>
      </c>
      <c r="EL150" s="13">
        <f t="shared" si="153"/>
        <v>7.4514601661523691E-13</v>
      </c>
      <c r="EM150" s="20">
        <f t="shared" si="127"/>
        <v>1.3765621991510601E-12</v>
      </c>
      <c r="EN150" s="59">
        <f t="shared" si="128"/>
        <v>286.33509249264978</v>
      </c>
      <c r="EO150" s="59">
        <f ca="1">AVERAGE(OFFSET($EN$3,0,0,'Données projet'!$E$15+1,1))-AVERAGE(OFFSET($H$3,0,0,'Données projet'!$E$15+1,1))</f>
        <v>333.52903437536651</v>
      </c>
      <c r="EP150" s="59">
        <f t="shared" si="154"/>
        <v>359.47288701414777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0.14756402157393986</v>
      </c>
      <c r="EX150" s="21">
        <f>EXP(-LN(2)/2)*EX149+(1-EXP(-LN(2)/2))/(LN(2)/2)*ER150*EU150*VLOOKUP('Données projet'!$B$15,Paramètres!$A$1:$I$89,3,0)*0.475*44/12</f>
        <v>6.186610968203726E-19</v>
      </c>
      <c r="EY150" s="22">
        <f t="shared" si="129"/>
        <v>0.14756402157393986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-2.8421709430404007E-13</v>
      </c>
      <c r="FF150" s="17">
        <f>FE150*VLOOKUP('Données projet'!$B$16,Paramètres!$A$1:$I$89,3,0)*VLOOKUP('Données projet'!$B$16,Paramètres!$A$1:$I$89,5,0)</f>
        <v>-1.69961822393816E-13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313.26988717307376</v>
      </c>
      <c r="FK150" s="59">
        <f t="shared" si="156"/>
        <v>248.17359813993201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0.22973345133268552</v>
      </c>
      <c r="FR150" s="21">
        <f>EXP(-LN(2)/25)*FR149+(1-EXP(-LN(2)/25))/(LN(2)/25)*Calculateur!FM150*Calculateur!FO150*VLOOKUP('Données projet'!$B$16,Paramètres!$A$1:$I$89,3,0)*0.475*44/12</f>
        <v>0.29410796088947982</v>
      </c>
      <c r="FS150" s="21">
        <f>EXP(-LN(2)/2)*FS149+(1-EXP(-LN(2)/2))/(LN(2)/2)*FM150*FP150*VLOOKUP('Données projet'!$B$16,Paramètres!$A$1:$I$89,3,0)*0.475*44/12</f>
        <v>1.0328989400313526E-17</v>
      </c>
      <c r="FT150" s="22">
        <f t="shared" si="132"/>
        <v>0.52384141222216529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181.00000000000009</v>
      </c>
      <c r="GA150" s="17">
        <f>FZ150*VLOOKUP('Données projet'!$B$17,Paramètres!$A$1:$I$89,3,0)*VLOOKUP('Données projet'!$B$17,Paramètres!$A$1:$I$89,5,0)</f>
        <v>194.82840000000007</v>
      </c>
      <c r="GB150" s="13">
        <f t="shared" si="157"/>
        <v>48.605879434898576</v>
      </c>
      <c r="GC150" s="20">
        <f t="shared" si="133"/>
        <v>423.98137001578181</v>
      </c>
      <c r="GD150" s="59">
        <f t="shared" si="134"/>
        <v>710.31646250843028</v>
      </c>
      <c r="GE150" s="59">
        <f ca="1">AVERAGE(OFFSET($GD$3,0,0,'Données projet'!$E$17+1,1))-AVERAGE(OFFSET($H$3,0,0,'Données projet'!$E$17+1,1))</f>
        <v>313.51355235711543</v>
      </c>
      <c r="GF150" s="59">
        <f t="shared" si="158"/>
        <v>186.0840067781198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0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0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275.00000000000057</v>
      </c>
      <c r="O151" s="13">
        <f>N151*VLOOKUP('Données projet'!$B$9,Paramètres!$A$1:$I$89,3,0)*VLOOKUP('Données projet'!$B$9,Paramètres!$A$1:$I$89,5,0)</f>
        <v>278.85000000000059</v>
      </c>
      <c r="P151" s="13">
        <f t="shared" si="141"/>
        <v>66.723922641153095</v>
      </c>
      <c r="Q151" s="20">
        <f t="shared" si="108"/>
        <v>601.8745819333426</v>
      </c>
      <c r="R151" s="59">
        <f t="shared" si="109"/>
        <v>888.33107825885429</v>
      </c>
      <c r="S151" s="59">
        <f ca="1">AVERAGE(OFFSET($R$3,0,0,'Données projet'!$E$9+1,1))-AVERAGE(OFFSET($H$3,0,0,'Données projet'!$E$9+1,1))</f>
        <v>452.67426184967104</v>
      </c>
      <c r="T151" s="59">
        <f t="shared" si="142"/>
        <v>310.47823616327639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-3.979039320256561E-13</v>
      </c>
      <c r="AJ151" s="13">
        <f>AI151*VLOOKUP('Données projet'!$B$10,Paramètres!$A$1:$I$89,3,0)*VLOOKUP('Données projet'!$B$10,Paramètres!$A$1:$I$89,5,0)</f>
        <v>-4.158891897532158E-13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528.45201982036087</v>
      </c>
      <c r="AO151" s="59">
        <f t="shared" si="144"/>
        <v>321.23004033257985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1.7134813337779596E-19</v>
      </c>
      <c r="AX151" s="21">
        <f t="shared" si="114"/>
        <v>1.7134813337779596E-19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181.00000000000009</v>
      </c>
      <c r="BE151" s="13">
        <f>BD151*VLOOKUP('Données projet'!$B$11,Paramètres!$A$1:$I$89,3,0)*VLOOKUP('Données projet'!$B$11,Paramètres!$A$1:$I$89,5,0)</f>
        <v>175.06320000000008</v>
      </c>
      <c r="BF151" s="13">
        <f t="shared" si="145"/>
        <v>44.222067746824763</v>
      </c>
      <c r="BG151" s="20">
        <f t="shared" si="115"/>
        <v>381.92184132571992</v>
      </c>
      <c r="BH151" s="59">
        <f t="shared" si="116"/>
        <v>668.37833765123162</v>
      </c>
      <c r="BI151" s="59">
        <f ca="1">AVERAGE(OFFSET($BH$3,0,0,'Données projet'!$E$11+1,1))-AVERAGE(OFFSET($H$3,0,0,'Données projet'!$E$11+1,1))</f>
        <v>289.06522051625166</v>
      </c>
      <c r="BJ151" s="59">
        <f t="shared" si="146"/>
        <v>173.19148969173838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234.00000000000045</v>
      </c>
      <c r="BZ151" s="13">
        <f>BY151*VLOOKUP('Données projet'!$B$12,Paramètres!$A$1:$I$89,3,0)*VLOOKUP('Données projet'!$B$12,Paramètres!$A$1:$I$89,5,0)</f>
        <v>189.82080000000036</v>
      </c>
      <c r="CA151" s="13">
        <f t="shared" si="147"/>
        <v>47.500332100049881</v>
      </c>
      <c r="CB151" s="20">
        <f t="shared" si="118"/>
        <v>413.33430507425419</v>
      </c>
      <c r="CC151" s="59">
        <f t="shared" si="119"/>
        <v>699.79080139976588</v>
      </c>
      <c r="CD151" s="59">
        <f ca="1">AVERAGE(OFFSET($CC$3,0,0,'Données projet'!$E$12+1,1))-AVERAGE(OFFSET($H$3,0,0,'Données projet'!$E$12+1,1))</f>
        <v>306.06916761900357</v>
      </c>
      <c r="CE151" s="59">
        <f t="shared" si="148"/>
        <v>258.90832875500337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3.1118866969268987E-19</v>
      </c>
      <c r="CN151" s="22">
        <f t="shared" si="120"/>
        <v>3.1118866969268987E-19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275.00000000000057</v>
      </c>
      <c r="CU151" s="17">
        <f>CT151*VLOOKUP('Données projet'!$B$13,Paramètres!$A$1:$I$89,3,0)*VLOOKUP('Données projet'!$B$13,Paramètres!$A$1:$I$89,5,0)</f>
        <v>184.4700000000004</v>
      </c>
      <c r="CV151" s="13">
        <f t="shared" si="149"/>
        <v>46.31525458251663</v>
      </c>
      <c r="CW151" s="20">
        <f t="shared" si="121"/>
        <v>401.95098506455048</v>
      </c>
      <c r="CX151" s="59">
        <f t="shared" si="122"/>
        <v>688.40748139006223</v>
      </c>
      <c r="CY151" s="59">
        <f ca="1">AVERAGE(OFFSET($CX$3,0,0,'Données projet'!$E$13+1,1))-AVERAGE(OFFSET($H$3,0,0,'Données projet'!$E$13+1,1))</f>
        <v>324.58754156328285</v>
      </c>
      <c r="CZ151" s="59">
        <f t="shared" si="150"/>
        <v>226.01037731977604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1.8870800098031057E-19</v>
      </c>
      <c r="DI151" s="22">
        <f t="shared" si="123"/>
        <v>1.8870800098031057E-19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3.4106051316484809E-13</v>
      </c>
      <c r="DP151" s="17">
        <f>DO151*VLOOKUP('Données projet'!$B$14,Paramètres!$A$1:$I$89,3,0)*VLOOKUP('Données projet'!$B$14,Paramètres!$A$1:$I$89,5,0)</f>
        <v>1.5961632016114892E-13</v>
      </c>
      <c r="DQ151" s="13">
        <f t="shared" si="151"/>
        <v>2.2708641912150958E-12</v>
      </c>
      <c r="DR151" s="20">
        <f t="shared" si="124"/>
        <v>4.2330868906469593E-12</v>
      </c>
      <c r="DS151" s="59">
        <f t="shared" si="125"/>
        <v>286.4564963255159</v>
      </c>
      <c r="DT151" s="59">
        <f ca="1">AVERAGE(OFFSET($DS$3,0,0,'Données projet'!$E$14+1,1))-AVERAGE(OFFSET($H$3,0,0,'Données projet'!$E$14+1,1))</f>
        <v>325.93182817189722</v>
      </c>
      <c r="DU151" s="59">
        <f t="shared" si="152"/>
        <v>280.04509991782709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5.6843418860808015E-14</v>
      </c>
      <c r="EK151" s="17">
        <f>EJ151*VLOOKUP('Données projet'!$B$15,Paramètres!$A$1:$I$89,3,0)*VLOOKUP('Données projet'!$B$15,Paramètres!$A$1:$I$89,5,0)</f>
        <v>4.5224624045658861E-14</v>
      </c>
      <c r="EL151" s="13">
        <f t="shared" si="153"/>
        <v>7.4514601661523691E-13</v>
      </c>
      <c r="EM151" s="20">
        <f t="shared" si="127"/>
        <v>1.3765621991510601E-12</v>
      </c>
      <c r="EN151" s="59">
        <f t="shared" si="128"/>
        <v>286.45649632551306</v>
      </c>
      <c r="EO151" s="59">
        <f ca="1">AVERAGE(OFFSET($EN$3,0,0,'Données projet'!$E$15+1,1))-AVERAGE(OFFSET($H$3,0,0,'Données projet'!$E$15+1,1))</f>
        <v>333.52903437536651</v>
      </c>
      <c r="EP151" s="59">
        <f t="shared" si="154"/>
        <v>359.47288701414777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0.14352887564394584</v>
      </c>
      <c r="EX151" s="21">
        <f>EXP(-LN(2)/2)*EX150+(1-EXP(-LN(2)/2))/(LN(2)/2)*ER151*EU151*VLOOKUP('Données projet'!$B$15,Paramètres!$A$1:$I$89,3,0)*0.475*44/12</f>
        <v>4.3745945681799268E-19</v>
      </c>
      <c r="EY151" s="22">
        <f t="shared" si="129"/>
        <v>0.14352887564394584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-2.8421709430404007E-13</v>
      </c>
      <c r="FF151" s="17">
        <f>FE151*VLOOKUP('Données projet'!$B$16,Paramètres!$A$1:$I$89,3,0)*VLOOKUP('Données projet'!$B$16,Paramètres!$A$1:$I$89,5,0)</f>
        <v>-1.69961822393816E-13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313.26988717307376</v>
      </c>
      <c r="FK151" s="59">
        <f t="shared" si="156"/>
        <v>248.17359813993201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0.22522851847562081</v>
      </c>
      <c r="FR151" s="21">
        <f>EXP(-LN(2)/25)*FR150+(1-EXP(-LN(2)/25))/(LN(2)/25)*Calculateur!FM151*Calculateur!FO151*VLOOKUP('Données projet'!$B$16,Paramètres!$A$1:$I$89,3,0)*0.475*44/12</f>
        <v>0.28606556323249155</v>
      </c>
      <c r="FS151" s="21">
        <f>EXP(-LN(2)/2)*FS150+(1-EXP(-LN(2)/2))/(LN(2)/2)*FM151*FP151*VLOOKUP('Données projet'!$B$16,Paramètres!$A$1:$I$89,3,0)*0.475*44/12</f>
        <v>7.3036984477656652E-18</v>
      </c>
      <c r="FT151" s="22">
        <f t="shared" si="132"/>
        <v>0.51129408170811241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181.00000000000009</v>
      </c>
      <c r="GA151" s="17">
        <f>FZ151*VLOOKUP('Données projet'!$B$17,Paramètres!$A$1:$I$89,3,0)*VLOOKUP('Données projet'!$B$17,Paramètres!$A$1:$I$89,5,0)</f>
        <v>194.82840000000007</v>
      </c>
      <c r="GB151" s="13">
        <f t="shared" si="157"/>
        <v>48.605879434898576</v>
      </c>
      <c r="GC151" s="20">
        <f t="shared" si="133"/>
        <v>423.98137001578181</v>
      </c>
      <c r="GD151" s="59">
        <f t="shared" si="134"/>
        <v>710.43786634129356</v>
      </c>
      <c r="GE151" s="59">
        <f ca="1">AVERAGE(OFFSET($GD$3,0,0,'Données projet'!$E$17+1,1))-AVERAGE(OFFSET($H$3,0,0,'Données projet'!$E$17+1,1))</f>
        <v>313.51355235711543</v>
      </c>
      <c r="GF151" s="59">
        <f t="shared" si="158"/>
        <v>186.0840067781198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0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0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275.00000000000057</v>
      </c>
      <c r="O152" s="13">
        <f>N152*VLOOKUP('Données projet'!$B$9,Paramètres!$A$1:$I$89,3,0)*VLOOKUP('Données projet'!$B$9,Paramètres!$A$1:$I$89,5,0)</f>
        <v>278.85000000000059</v>
      </c>
      <c r="P152" s="13">
        <f t="shared" si="141"/>
        <v>66.723922641153095</v>
      </c>
      <c r="Q152" s="20">
        <f t="shared" si="108"/>
        <v>601.8745819333426</v>
      </c>
      <c r="R152" s="59">
        <f t="shared" si="109"/>
        <v>888.45037600663568</v>
      </c>
      <c r="S152" s="59">
        <f ca="1">AVERAGE(OFFSET($R$3,0,0,'Données projet'!$E$9+1,1))-AVERAGE(OFFSET($H$3,0,0,'Données projet'!$E$9+1,1))</f>
        <v>452.67426184967104</v>
      </c>
      <c r="T152" s="59">
        <f t="shared" si="142"/>
        <v>310.47823616327639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-3.979039320256561E-13</v>
      </c>
      <c r="AJ152" s="13">
        <f>AI152*VLOOKUP('Données projet'!$B$10,Paramètres!$A$1:$I$89,3,0)*VLOOKUP('Données projet'!$B$10,Paramètres!$A$1:$I$89,5,0)</f>
        <v>-4.158891897532158E-13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528.45201982036087</v>
      </c>
      <c r="AO152" s="59">
        <f t="shared" si="144"/>
        <v>321.23004033257985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1.2116142705509653E-19</v>
      </c>
      <c r="AX152" s="21">
        <f t="shared" si="114"/>
        <v>1.2116142705509653E-19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181.00000000000009</v>
      </c>
      <c r="BE152" s="13">
        <f>BD152*VLOOKUP('Données projet'!$B$11,Paramètres!$A$1:$I$89,3,0)*VLOOKUP('Données projet'!$B$11,Paramètres!$A$1:$I$89,5,0)</f>
        <v>175.06320000000008</v>
      </c>
      <c r="BF152" s="13">
        <f t="shared" si="145"/>
        <v>44.222067746824763</v>
      </c>
      <c r="BG152" s="20">
        <f t="shared" si="115"/>
        <v>381.92184132571992</v>
      </c>
      <c r="BH152" s="59">
        <f t="shared" si="116"/>
        <v>668.49763539901301</v>
      </c>
      <c r="BI152" s="59">
        <f ca="1">AVERAGE(OFFSET($BH$3,0,0,'Données projet'!$E$11+1,1))-AVERAGE(OFFSET($H$3,0,0,'Données projet'!$E$11+1,1))</f>
        <v>289.06522051625166</v>
      </c>
      <c r="BJ152" s="59">
        <f t="shared" si="146"/>
        <v>173.19148969173838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234.00000000000045</v>
      </c>
      <c r="BZ152" s="13">
        <f>BY152*VLOOKUP('Données projet'!$B$12,Paramètres!$A$1:$I$89,3,0)*VLOOKUP('Données projet'!$B$12,Paramètres!$A$1:$I$89,5,0)</f>
        <v>189.82080000000036</v>
      </c>
      <c r="CA152" s="13">
        <f t="shared" si="147"/>
        <v>47.500332100049881</v>
      </c>
      <c r="CB152" s="20">
        <f t="shared" si="118"/>
        <v>413.33430507425419</v>
      </c>
      <c r="CC152" s="59">
        <f t="shared" si="119"/>
        <v>699.91009914754727</v>
      </c>
      <c r="CD152" s="59">
        <f ca="1">AVERAGE(OFFSET($CC$3,0,0,'Données projet'!$E$12+1,1))-AVERAGE(OFFSET($H$3,0,0,'Données projet'!$E$12+1,1))</f>
        <v>306.06916761900357</v>
      </c>
      <c r="CE152" s="59">
        <f t="shared" si="148"/>
        <v>258.90832875500337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2.2004361856812167E-19</v>
      </c>
      <c r="CN152" s="22">
        <f t="shared" si="120"/>
        <v>2.2004361856812167E-19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275.00000000000057</v>
      </c>
      <c r="CU152" s="17">
        <f>CT152*VLOOKUP('Données projet'!$B$13,Paramètres!$A$1:$I$89,3,0)*VLOOKUP('Données projet'!$B$13,Paramètres!$A$1:$I$89,5,0)</f>
        <v>184.4700000000004</v>
      </c>
      <c r="CV152" s="13">
        <f t="shared" si="149"/>
        <v>46.31525458251663</v>
      </c>
      <c r="CW152" s="20">
        <f t="shared" si="121"/>
        <v>401.95098506455048</v>
      </c>
      <c r="CX152" s="59">
        <f t="shared" si="122"/>
        <v>688.5267791378435</v>
      </c>
      <c r="CY152" s="59">
        <f ca="1">AVERAGE(OFFSET($CX$3,0,0,'Données projet'!$E$13+1,1))-AVERAGE(OFFSET($H$3,0,0,'Données projet'!$E$13+1,1))</f>
        <v>324.58754156328285</v>
      </c>
      <c r="CZ152" s="59">
        <f t="shared" si="150"/>
        <v>226.01037731977604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1.3343670715733526E-19</v>
      </c>
      <c r="DI152" s="22">
        <f t="shared" si="123"/>
        <v>1.3343670715733526E-19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3.4106051316484809E-13</v>
      </c>
      <c r="DP152" s="17">
        <f>DO152*VLOOKUP('Données projet'!$B$14,Paramètres!$A$1:$I$89,3,0)*VLOOKUP('Données projet'!$B$14,Paramètres!$A$1:$I$89,5,0)</f>
        <v>1.5961632016114892E-13</v>
      </c>
      <c r="DQ152" s="13">
        <f t="shared" si="151"/>
        <v>2.2708641912150958E-12</v>
      </c>
      <c r="DR152" s="20">
        <f t="shared" si="124"/>
        <v>4.2330868906469593E-12</v>
      </c>
      <c r="DS152" s="59">
        <f t="shared" si="125"/>
        <v>286.57579407329729</v>
      </c>
      <c r="DT152" s="59">
        <f ca="1">AVERAGE(OFFSET($DS$3,0,0,'Données projet'!$E$14+1,1))-AVERAGE(OFFSET($H$3,0,0,'Données projet'!$E$14+1,1))</f>
        <v>325.93182817189722</v>
      </c>
      <c r="DU152" s="59">
        <f t="shared" si="152"/>
        <v>280.04509991782709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5.6843418860808015E-14</v>
      </c>
      <c r="EK152" s="17">
        <f>EJ152*VLOOKUP('Données projet'!$B$15,Paramètres!$A$1:$I$89,3,0)*VLOOKUP('Données projet'!$B$15,Paramètres!$A$1:$I$89,5,0)</f>
        <v>4.5224624045658861E-14</v>
      </c>
      <c r="EL152" s="13">
        <f t="shared" si="153"/>
        <v>7.4514601661523691E-13</v>
      </c>
      <c r="EM152" s="20">
        <f t="shared" si="127"/>
        <v>1.3765621991510601E-12</v>
      </c>
      <c r="EN152" s="59">
        <f t="shared" si="128"/>
        <v>286.57579407329445</v>
      </c>
      <c r="EO152" s="59">
        <f ca="1">AVERAGE(OFFSET($EN$3,0,0,'Données projet'!$E$15+1,1))-AVERAGE(OFFSET($H$3,0,0,'Données projet'!$E$15+1,1))</f>
        <v>333.52903437536651</v>
      </c>
      <c r="EP152" s="59">
        <f t="shared" si="154"/>
        <v>359.47288701414777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0.1396040709916066</v>
      </c>
      <c r="EX152" s="21">
        <f>EXP(-LN(2)/2)*EX151+(1-EXP(-LN(2)/2))/(LN(2)/2)*ER152*EU152*VLOOKUP('Données projet'!$B$15,Paramètres!$A$1:$I$89,3,0)*0.475*44/12</f>
        <v>3.093305484101863E-19</v>
      </c>
      <c r="EY152" s="22">
        <f t="shared" si="129"/>
        <v>0.1396040709916066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-2.8421709430404007E-13</v>
      </c>
      <c r="FF152" s="17">
        <f>FE152*VLOOKUP('Données projet'!$B$16,Paramètres!$A$1:$I$89,3,0)*VLOOKUP('Données projet'!$B$16,Paramètres!$A$1:$I$89,5,0)</f>
        <v>-1.69961822393816E-13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313.26988717307376</v>
      </c>
      <c r="FK152" s="59">
        <f t="shared" si="156"/>
        <v>248.17359813993201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0.22081192460414542</v>
      </c>
      <c r="FR152" s="21">
        <f>EXP(-LN(2)/25)*FR151+(1-EXP(-LN(2)/25))/(LN(2)/25)*Calculateur!FM152*Calculateur!FO152*VLOOKUP('Données projet'!$B$16,Paramètres!$A$1:$I$89,3,0)*0.475*44/12</f>
        <v>0.27824308536236492</v>
      </c>
      <c r="FS152" s="21">
        <f>EXP(-LN(2)/2)*FS151+(1-EXP(-LN(2)/2))/(LN(2)/2)*FM152*FP152*VLOOKUP('Données projet'!$B$16,Paramètres!$A$1:$I$89,3,0)*0.475*44/12</f>
        <v>5.1644947001567632E-18</v>
      </c>
      <c r="FT152" s="22">
        <f t="shared" si="132"/>
        <v>0.49905500996651031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181.00000000000009</v>
      </c>
      <c r="GA152" s="17">
        <f>FZ152*VLOOKUP('Données projet'!$B$17,Paramètres!$A$1:$I$89,3,0)*VLOOKUP('Données projet'!$B$17,Paramètres!$A$1:$I$89,5,0)</f>
        <v>194.82840000000007</v>
      </c>
      <c r="GB152" s="13">
        <f t="shared" si="157"/>
        <v>48.605879434898576</v>
      </c>
      <c r="GC152" s="20">
        <f t="shared" si="133"/>
        <v>423.98137001578181</v>
      </c>
      <c r="GD152" s="59">
        <f t="shared" si="134"/>
        <v>710.55716408907483</v>
      </c>
      <c r="GE152" s="59">
        <f ca="1">AVERAGE(OFFSET($GD$3,0,0,'Données projet'!$E$17+1,1))-AVERAGE(OFFSET($H$3,0,0,'Données projet'!$E$17+1,1))</f>
        <v>313.51355235711543</v>
      </c>
      <c r="GF152" s="59">
        <f t="shared" si="158"/>
        <v>186.0840067781198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0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0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275.00000000000057</v>
      </c>
      <c r="O153" s="13">
        <f>N153*VLOOKUP('Données projet'!$B$9,Paramètres!$A$1:$I$89,3,0)*VLOOKUP('Données projet'!$B$9,Paramètres!$A$1:$I$89,5,0)</f>
        <v>278.85000000000059</v>
      </c>
      <c r="P153" s="13">
        <f t="shared" si="141"/>
        <v>66.723922641153095</v>
      </c>
      <c r="Q153" s="20">
        <f t="shared" si="108"/>
        <v>601.8745819333426</v>
      </c>
      <c r="R153" s="59">
        <f t="shared" si="109"/>
        <v>888.567604205203</v>
      </c>
      <c r="S153" s="59">
        <f ca="1">AVERAGE(OFFSET($R$3,0,0,'Données projet'!$E$9+1,1))-AVERAGE(OFFSET($H$3,0,0,'Données projet'!$E$9+1,1))</f>
        <v>452.67426184967104</v>
      </c>
      <c r="T153" s="59">
        <f t="shared" si="142"/>
        <v>310.47823616327639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-3.979039320256561E-13</v>
      </c>
      <c r="AJ153" s="13">
        <f>AI153*VLOOKUP('Données projet'!$B$10,Paramètres!$A$1:$I$89,3,0)*VLOOKUP('Données projet'!$B$10,Paramètres!$A$1:$I$89,5,0)</f>
        <v>-4.158891897532158E-13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528.45201982036087</v>
      </c>
      <c r="AO153" s="59">
        <f t="shared" si="144"/>
        <v>321.23004033257985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8.5674066688897982E-20</v>
      </c>
      <c r="AX153" s="21">
        <f t="shared" si="114"/>
        <v>8.5674066688897982E-20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181.00000000000009</v>
      </c>
      <c r="BE153" s="13">
        <f>BD153*VLOOKUP('Données projet'!$B$11,Paramètres!$A$1:$I$89,3,0)*VLOOKUP('Données projet'!$B$11,Paramètres!$A$1:$I$89,5,0)</f>
        <v>175.06320000000008</v>
      </c>
      <c r="BF153" s="13">
        <f t="shared" si="145"/>
        <v>44.222067746824763</v>
      </c>
      <c r="BG153" s="20">
        <f t="shared" si="115"/>
        <v>381.92184132571992</v>
      </c>
      <c r="BH153" s="59">
        <f t="shared" si="116"/>
        <v>668.61486359758032</v>
      </c>
      <c r="BI153" s="59">
        <f ca="1">AVERAGE(OFFSET($BH$3,0,0,'Données projet'!$E$11+1,1))-AVERAGE(OFFSET($H$3,0,0,'Données projet'!$E$11+1,1))</f>
        <v>289.06522051625166</v>
      </c>
      <c r="BJ153" s="59">
        <f t="shared" si="146"/>
        <v>173.19148969173838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234.00000000000045</v>
      </c>
      <c r="BZ153" s="13">
        <f>BY153*VLOOKUP('Données projet'!$B$12,Paramètres!$A$1:$I$89,3,0)*VLOOKUP('Données projet'!$B$12,Paramètres!$A$1:$I$89,5,0)</f>
        <v>189.82080000000036</v>
      </c>
      <c r="CA153" s="13">
        <f t="shared" si="147"/>
        <v>47.500332100049881</v>
      </c>
      <c r="CB153" s="20">
        <f t="shared" si="118"/>
        <v>413.33430507425419</v>
      </c>
      <c r="CC153" s="59">
        <f t="shared" si="119"/>
        <v>700.02732734611459</v>
      </c>
      <c r="CD153" s="59">
        <f ca="1">AVERAGE(OFFSET($CC$3,0,0,'Données projet'!$E$12+1,1))-AVERAGE(OFFSET($H$3,0,0,'Données projet'!$E$12+1,1))</f>
        <v>306.06916761900357</v>
      </c>
      <c r="CE153" s="59">
        <f t="shared" si="148"/>
        <v>258.90832875500337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1.5559433484634494E-19</v>
      </c>
      <c r="CN153" s="22">
        <f t="shared" si="120"/>
        <v>1.5559433484634494E-19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275.00000000000057</v>
      </c>
      <c r="CU153" s="17">
        <f>CT153*VLOOKUP('Données projet'!$B$13,Paramètres!$A$1:$I$89,3,0)*VLOOKUP('Données projet'!$B$13,Paramètres!$A$1:$I$89,5,0)</f>
        <v>184.4700000000004</v>
      </c>
      <c r="CV153" s="13">
        <f t="shared" si="149"/>
        <v>46.31525458251663</v>
      </c>
      <c r="CW153" s="20">
        <f t="shared" si="121"/>
        <v>401.95098506455048</v>
      </c>
      <c r="CX153" s="59">
        <f t="shared" si="122"/>
        <v>688.64400733641082</v>
      </c>
      <c r="CY153" s="59">
        <f ca="1">AVERAGE(OFFSET($CX$3,0,0,'Données projet'!$E$13+1,1))-AVERAGE(OFFSET($H$3,0,0,'Données projet'!$E$13+1,1))</f>
        <v>324.58754156328285</v>
      </c>
      <c r="CZ153" s="59">
        <f t="shared" si="150"/>
        <v>226.01037731977604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9.4354000490155285E-20</v>
      </c>
      <c r="DI153" s="22">
        <f t="shared" si="123"/>
        <v>9.4354000490155285E-20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3.4106051316484809E-13</v>
      </c>
      <c r="DP153" s="17">
        <f>DO153*VLOOKUP('Données projet'!$B$14,Paramètres!$A$1:$I$89,3,0)*VLOOKUP('Données projet'!$B$14,Paramètres!$A$1:$I$89,5,0)</f>
        <v>1.5961632016114892E-13</v>
      </c>
      <c r="DQ153" s="13">
        <f t="shared" si="151"/>
        <v>2.2708641912150958E-12</v>
      </c>
      <c r="DR153" s="20">
        <f t="shared" si="124"/>
        <v>4.2330868906469593E-12</v>
      </c>
      <c r="DS153" s="59">
        <f t="shared" si="125"/>
        <v>286.69302227186455</v>
      </c>
      <c r="DT153" s="59">
        <f ca="1">AVERAGE(OFFSET($DS$3,0,0,'Données projet'!$E$14+1,1))-AVERAGE(OFFSET($H$3,0,0,'Données projet'!$E$14+1,1))</f>
        <v>325.93182817189722</v>
      </c>
      <c r="DU153" s="59">
        <f t="shared" si="152"/>
        <v>280.04509991782709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5.6843418860808015E-14</v>
      </c>
      <c r="EK153" s="17">
        <f>EJ153*VLOOKUP('Données projet'!$B$15,Paramètres!$A$1:$I$89,3,0)*VLOOKUP('Données projet'!$B$15,Paramètres!$A$1:$I$89,5,0)</f>
        <v>4.5224624045658861E-14</v>
      </c>
      <c r="EL153" s="13">
        <f t="shared" si="153"/>
        <v>7.4514601661523691E-13</v>
      </c>
      <c r="EM153" s="20">
        <f t="shared" si="127"/>
        <v>1.3765621991510601E-12</v>
      </c>
      <c r="EN153" s="59">
        <f t="shared" si="128"/>
        <v>286.69302227186171</v>
      </c>
      <c r="EO153" s="59">
        <f ca="1">AVERAGE(OFFSET($EN$3,0,0,'Données projet'!$E$15+1,1))-AVERAGE(OFFSET($H$3,0,0,'Données projet'!$E$15+1,1))</f>
        <v>333.52903437536651</v>
      </c>
      <c r="EP153" s="59">
        <f t="shared" si="154"/>
        <v>359.47288701414777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0.1357865903288821</v>
      </c>
      <c r="EX153" s="21">
        <f>EXP(-LN(2)/2)*EX152+(1-EXP(-LN(2)/2))/(LN(2)/2)*ER153*EU153*VLOOKUP('Données projet'!$B$15,Paramètres!$A$1:$I$89,3,0)*0.475*44/12</f>
        <v>2.1872972840899634E-19</v>
      </c>
      <c r="EY153" s="22">
        <f t="shared" si="129"/>
        <v>0.1357865903288821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-2.8421709430404007E-13</v>
      </c>
      <c r="FF153" s="17">
        <f>FE153*VLOOKUP('Données projet'!$B$16,Paramètres!$A$1:$I$89,3,0)*VLOOKUP('Données projet'!$B$16,Paramètres!$A$1:$I$89,5,0)</f>
        <v>-1.69961822393816E-13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313.26988717307376</v>
      </c>
      <c r="FK153" s="59">
        <f t="shared" si="156"/>
        <v>248.17359813993201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0.2164819374446334</v>
      </c>
      <c r="FR153" s="21">
        <f>EXP(-LN(2)/25)*FR152+(1-EXP(-LN(2)/25))/(LN(2)/25)*Calculateur!FM153*Calculateur!FO153*VLOOKUP('Données projet'!$B$16,Paramètres!$A$1:$I$89,3,0)*0.475*44/12</f>
        <v>0.27063451356096313</v>
      </c>
      <c r="FS153" s="21">
        <f>EXP(-LN(2)/2)*FS152+(1-EXP(-LN(2)/2))/(LN(2)/2)*FM153*FP153*VLOOKUP('Données projet'!$B$16,Paramètres!$A$1:$I$89,3,0)*0.475*44/12</f>
        <v>3.6518492238828326E-18</v>
      </c>
      <c r="FT153" s="22">
        <f t="shared" si="132"/>
        <v>0.48711645100559653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181.00000000000009</v>
      </c>
      <c r="GA153" s="17">
        <f>FZ153*VLOOKUP('Données projet'!$B$17,Paramètres!$A$1:$I$89,3,0)*VLOOKUP('Données projet'!$B$17,Paramètres!$A$1:$I$89,5,0)</f>
        <v>194.82840000000007</v>
      </c>
      <c r="GB153" s="13">
        <f t="shared" si="157"/>
        <v>48.605879434898576</v>
      </c>
      <c r="GC153" s="20">
        <f t="shared" si="133"/>
        <v>423.98137001578181</v>
      </c>
      <c r="GD153" s="59">
        <f t="shared" si="134"/>
        <v>710.67439228764215</v>
      </c>
      <c r="GE153" s="59">
        <f ca="1">AVERAGE(OFFSET($GD$3,0,0,'Données projet'!$E$17+1,1))-AVERAGE(OFFSET($H$3,0,0,'Données projet'!$E$17+1,1))</f>
        <v>313.51355235711543</v>
      </c>
      <c r="GF153" s="59">
        <f t="shared" si="158"/>
        <v>186.0840067781198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0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0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275.00000000000057</v>
      </c>
      <c r="O154" s="13">
        <f>N154*VLOOKUP('Données projet'!$B$9,Paramètres!$A$1:$I$89,3,0)*VLOOKUP('Données projet'!$B$9,Paramètres!$A$1:$I$89,5,0)</f>
        <v>278.85000000000059</v>
      </c>
      <c r="P154" s="13">
        <f t="shared" si="141"/>
        <v>66.723922641153095</v>
      </c>
      <c r="Q154" s="20">
        <f t="shared" ref="Q154:Q203" si="162">(O154+P154)*0.475*44/12</f>
        <v>601.8745819333426</v>
      </c>
      <c r="R154" s="59">
        <f t="shared" si="109"/>
        <v>888.68279875660801</v>
      </c>
      <c r="S154" s="59">
        <f ca="1">AVERAGE(OFFSET($R$3,0,0,'Données projet'!$E$9+1,1))-AVERAGE(OFFSET($H$3,0,0,'Données projet'!$E$9+1,1))</f>
        <v>452.67426184967104</v>
      </c>
      <c r="T154" s="59">
        <f t="shared" si="142"/>
        <v>310.47823616327639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-3.979039320256561E-13</v>
      </c>
      <c r="AJ154" s="13">
        <f>AI154*VLOOKUP('Données projet'!$B$10,Paramètres!$A$1:$I$89,3,0)*VLOOKUP('Données projet'!$B$10,Paramètres!$A$1:$I$89,5,0)</f>
        <v>-4.158891897532158E-13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528.45201982036087</v>
      </c>
      <c r="AO154" s="59">
        <f t="shared" si="144"/>
        <v>321.23004033257985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6.0580713527548264E-20</v>
      </c>
      <c r="AX154" s="21">
        <f t="shared" ref="AX154:AX203" si="166">SUM(AU154:AW154)</f>
        <v>6.0580713527548264E-20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181.00000000000009</v>
      </c>
      <c r="BE154" s="13">
        <f>BD154*VLOOKUP('Données projet'!$B$11,Paramètres!$A$1:$I$89,3,0)*VLOOKUP('Données projet'!$B$11,Paramètres!$A$1:$I$89,5,0)</f>
        <v>175.06320000000008</v>
      </c>
      <c r="BF154" s="13">
        <f t="shared" ref="BF154:BF203" si="167">EXP(-1.0587+0.8836*LN(BE154)+0.284)</f>
        <v>44.222067746824763</v>
      </c>
      <c r="BG154" s="20">
        <f t="shared" ref="BG154:BG203" si="168">(BE154+BF154)*0.475*44/12</f>
        <v>381.92184132571992</v>
      </c>
      <c r="BH154" s="59">
        <f t="shared" si="116"/>
        <v>668.73005814898534</v>
      </c>
      <c r="BI154" s="59">
        <f ca="1">AVERAGE(OFFSET($BH$3,0,0,'Données projet'!$E$11+1,1))-AVERAGE(OFFSET($H$3,0,0,'Données projet'!$E$11+1,1))</f>
        <v>289.06522051625166</v>
      </c>
      <c r="BJ154" s="59">
        <f t="shared" si="146"/>
        <v>173.19148969173838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234.00000000000045</v>
      </c>
      <c r="BZ154" s="13">
        <f>BY154*VLOOKUP('Données projet'!$B$12,Paramètres!$A$1:$I$89,3,0)*VLOOKUP('Données projet'!$B$12,Paramètres!$A$1:$I$89,5,0)</f>
        <v>189.82080000000036</v>
      </c>
      <c r="CA154" s="13">
        <f t="shared" ref="CA154:CA203" si="170">EXP(-1.0587+0.8836*LN(BZ154)+0.284)</f>
        <v>47.500332100049881</v>
      </c>
      <c r="CB154" s="20">
        <f t="shared" ref="CB154:CB203" si="171">(BZ154+CA154)*0.475*44/12</f>
        <v>413.33430507425419</v>
      </c>
      <c r="CC154" s="59">
        <f t="shared" si="119"/>
        <v>700.1425218975196</v>
      </c>
      <c r="CD154" s="59">
        <f ca="1">AVERAGE(OFFSET($CC$3,0,0,'Données projet'!$E$12+1,1))-AVERAGE(OFFSET($H$3,0,0,'Données projet'!$E$12+1,1))</f>
        <v>306.06916761900357</v>
      </c>
      <c r="CE154" s="59">
        <f t="shared" si="148"/>
        <v>258.90832875500337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1.1002180928406083E-19</v>
      </c>
      <c r="CN154" s="22">
        <f t="shared" ref="CN154:CN203" si="172">SUM(CK154:CM154)</f>
        <v>1.1002180928406083E-19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275.00000000000057</v>
      </c>
      <c r="CU154" s="17">
        <f>CT154*VLOOKUP('Données projet'!$B$13,Paramètres!$A$1:$I$89,3,0)*VLOOKUP('Données projet'!$B$13,Paramètres!$A$1:$I$89,5,0)</f>
        <v>184.4700000000004</v>
      </c>
      <c r="CV154" s="13">
        <f t="shared" ref="CV154:CV203" si="173">EXP(-1.0587+0.8836*LN(CU154)+0.284)</f>
        <v>46.31525458251663</v>
      </c>
      <c r="CW154" s="20">
        <f t="shared" ref="CW154:CW203" si="174">(CU154+CV154)*0.475*44/12</f>
        <v>401.95098506455048</v>
      </c>
      <c r="CX154" s="59">
        <f t="shared" si="122"/>
        <v>688.75920188781583</v>
      </c>
      <c r="CY154" s="59">
        <f ca="1">AVERAGE(OFFSET($CX$3,0,0,'Données projet'!$E$13+1,1))-AVERAGE(OFFSET($H$3,0,0,'Données projet'!$E$13+1,1))</f>
        <v>324.58754156328285</v>
      </c>
      <c r="CZ154" s="59">
        <f t="shared" si="150"/>
        <v>226.01037731977604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6.6718353578667631E-20</v>
      </c>
      <c r="DI154" s="22">
        <f t="shared" ref="DI154:DI203" si="175">SUM(DF154:DH154)</f>
        <v>6.6718353578667631E-20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3.4106051316484809E-13</v>
      </c>
      <c r="DP154" s="17">
        <f>DO154*VLOOKUP('Données projet'!$B$14,Paramètres!$A$1:$I$89,3,0)*VLOOKUP('Données projet'!$B$14,Paramètres!$A$1:$I$89,5,0)</f>
        <v>1.5961632016114892E-13</v>
      </c>
      <c r="DQ154" s="13">
        <f t="shared" ref="DQ154:DQ203" si="176">EXP(-1.0587+0.8836*LN(DP154)+0.284)</f>
        <v>2.2708641912150958E-12</v>
      </c>
      <c r="DR154" s="20">
        <f t="shared" ref="DR154:DR203" si="177">(DP154+DQ154)*0.475*44/12</f>
        <v>4.2330868906469593E-12</v>
      </c>
      <c r="DS154" s="59">
        <f t="shared" si="125"/>
        <v>286.80821682326956</v>
      </c>
      <c r="DT154" s="59">
        <f ca="1">AVERAGE(OFFSET($DS$3,0,0,'Données projet'!$E$14+1,1))-AVERAGE(OFFSET($H$3,0,0,'Données projet'!$E$14+1,1))</f>
        <v>325.93182817189722</v>
      </c>
      <c r="DU154" s="59">
        <f t="shared" si="152"/>
        <v>280.04509991782709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5.6843418860808015E-14</v>
      </c>
      <c r="EK154" s="17">
        <f>EJ154*VLOOKUP('Données projet'!$B$15,Paramètres!$A$1:$I$89,3,0)*VLOOKUP('Données projet'!$B$15,Paramètres!$A$1:$I$89,5,0)</f>
        <v>4.5224624045658861E-14</v>
      </c>
      <c r="EL154" s="13">
        <f t="shared" ref="EL154:EL203" si="179">EXP(-1.0587+0.8836*LN(EK154)+0.284)</f>
        <v>7.4514601661523691E-13</v>
      </c>
      <c r="EM154" s="20">
        <f t="shared" ref="EM154:EM203" si="180">(EK154+EL154)*0.475*44/12</f>
        <v>1.3765621991510601E-12</v>
      </c>
      <c r="EN154" s="59">
        <f t="shared" si="128"/>
        <v>286.80821682326672</v>
      </c>
      <c r="EO154" s="59">
        <f ca="1">AVERAGE(OFFSET($EN$3,0,0,'Données projet'!$E$15+1,1))-AVERAGE(OFFSET($H$3,0,0,'Données projet'!$E$15+1,1))</f>
        <v>333.52903437536651</v>
      </c>
      <c r="EP154" s="59">
        <f t="shared" si="154"/>
        <v>359.47288701414777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0.13207349887563238</v>
      </c>
      <c r="EX154" s="21">
        <f>EXP(-LN(2)/2)*EX153+(1-EXP(-LN(2)/2))/(LN(2)/2)*ER154*EU154*VLOOKUP('Données projet'!$B$15,Paramètres!$A$1:$I$89,3,0)*0.475*44/12</f>
        <v>1.5466527420509315E-19</v>
      </c>
      <c r="EY154" s="22">
        <f t="shared" ref="EY154:EY203" si="181">SUM(EV154:EX154)</f>
        <v>0.13207349887563238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-2.8421709430404007E-13</v>
      </c>
      <c r="FF154" s="17">
        <f>FE154*VLOOKUP('Données projet'!$B$16,Paramètres!$A$1:$I$89,3,0)*VLOOKUP('Données projet'!$B$16,Paramètres!$A$1:$I$89,5,0)</f>
        <v>-1.69961822393816E-13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313.26988717307376</v>
      </c>
      <c r="FK154" s="59">
        <f t="shared" si="156"/>
        <v>248.17359813993201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0.21223685869228801</v>
      </c>
      <c r="FR154" s="21">
        <f>EXP(-LN(2)/25)*FR153+(1-EXP(-LN(2)/25))/(LN(2)/25)*Calculateur!FM154*Calculateur!FO154*VLOOKUP('Données projet'!$B$16,Paramètres!$A$1:$I$89,3,0)*0.475*44/12</f>
        <v>0.26323399855558804</v>
      </c>
      <c r="FS154" s="21">
        <f>EXP(-LN(2)/2)*FS153+(1-EXP(-LN(2)/2))/(LN(2)/2)*FM154*FP154*VLOOKUP('Données projet'!$B$16,Paramètres!$A$1:$I$89,3,0)*0.475*44/12</f>
        <v>2.5822473500783816E-18</v>
      </c>
      <c r="FT154" s="22">
        <f t="shared" ref="FT154:FT203" si="184">SUM(FQ154:FS154)</f>
        <v>0.47547085724787608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181.00000000000009</v>
      </c>
      <c r="GA154" s="17">
        <f>FZ154*VLOOKUP('Données projet'!$B$17,Paramètres!$A$1:$I$89,3,0)*VLOOKUP('Données projet'!$B$17,Paramètres!$A$1:$I$89,5,0)</f>
        <v>194.82840000000007</v>
      </c>
      <c r="GB154" s="13">
        <f t="shared" ref="GB154:GB203" si="185">EXP(-1.0587+0.8836*LN(GA154)+0.284)</f>
        <v>48.605879434898576</v>
      </c>
      <c r="GC154" s="20">
        <f t="shared" ref="GC154:GC203" si="186">(GA154+GB154)*0.475*44/12</f>
        <v>423.98137001578181</v>
      </c>
      <c r="GD154" s="59">
        <f t="shared" si="134"/>
        <v>710.78958683904716</v>
      </c>
      <c r="GE154" s="59">
        <f ca="1">AVERAGE(OFFSET($GD$3,0,0,'Données projet'!$E$17+1,1))-AVERAGE(OFFSET($H$3,0,0,'Données projet'!$E$17+1,1))</f>
        <v>313.51355235711543</v>
      </c>
      <c r="GF154" s="59">
        <f t="shared" si="158"/>
        <v>186.0840067781198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0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0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275.00000000000057</v>
      </c>
      <c r="O155" s="13">
        <f>N155*VLOOKUP('Données projet'!$B$9,Paramètres!$A$1:$I$89,3,0)*VLOOKUP('Données projet'!$B$9,Paramètres!$A$1:$I$89,5,0)</f>
        <v>278.85000000000059</v>
      </c>
      <c r="P155" s="13">
        <f t="shared" si="141"/>
        <v>66.723922641153095</v>
      </c>
      <c r="Q155" s="20">
        <f t="shared" si="162"/>
        <v>601.8745819333426</v>
      </c>
      <c r="R155" s="59">
        <f t="shared" si="109"/>
        <v>888.79599494008244</v>
      </c>
      <c r="S155" s="59">
        <f ca="1">AVERAGE(OFFSET($R$3,0,0,'Données projet'!$E$9+1,1))-AVERAGE(OFFSET($H$3,0,0,'Données projet'!$E$9+1,1))</f>
        <v>452.67426184967104</v>
      </c>
      <c r="T155" s="59">
        <f t="shared" si="142"/>
        <v>310.47823616327639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-3.979039320256561E-13</v>
      </c>
      <c r="AJ155" s="13">
        <f>AI155*VLOOKUP('Données projet'!$B$10,Paramètres!$A$1:$I$89,3,0)*VLOOKUP('Données projet'!$B$10,Paramètres!$A$1:$I$89,5,0)</f>
        <v>-4.158891897532158E-13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528.45201982036087</v>
      </c>
      <c r="AO155" s="59">
        <f t="shared" si="144"/>
        <v>321.23004033257985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4.2837033344448991E-20</v>
      </c>
      <c r="AX155" s="21">
        <f t="shared" si="166"/>
        <v>4.2837033344448991E-20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181.00000000000009</v>
      </c>
      <c r="BE155" s="13">
        <f>BD155*VLOOKUP('Données projet'!$B$11,Paramètres!$A$1:$I$89,3,0)*VLOOKUP('Données projet'!$B$11,Paramètres!$A$1:$I$89,5,0)</f>
        <v>175.06320000000008</v>
      </c>
      <c r="BF155" s="13">
        <f t="shared" si="167"/>
        <v>44.222067746824763</v>
      </c>
      <c r="BG155" s="20">
        <f t="shared" si="168"/>
        <v>381.92184132571992</v>
      </c>
      <c r="BH155" s="59">
        <f t="shared" si="116"/>
        <v>668.84325433245976</v>
      </c>
      <c r="BI155" s="59">
        <f ca="1">AVERAGE(OFFSET($BH$3,0,0,'Données projet'!$E$11+1,1))-AVERAGE(OFFSET($H$3,0,0,'Données projet'!$E$11+1,1))</f>
        <v>289.06522051625166</v>
      </c>
      <c r="BJ155" s="59">
        <f t="shared" si="146"/>
        <v>173.19148969173838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234.00000000000045</v>
      </c>
      <c r="BZ155" s="13">
        <f>BY155*VLOOKUP('Données projet'!$B$12,Paramètres!$A$1:$I$89,3,0)*VLOOKUP('Données projet'!$B$12,Paramètres!$A$1:$I$89,5,0)</f>
        <v>189.82080000000036</v>
      </c>
      <c r="CA155" s="13">
        <f t="shared" si="170"/>
        <v>47.500332100049881</v>
      </c>
      <c r="CB155" s="20">
        <f t="shared" si="171"/>
        <v>413.33430507425419</v>
      </c>
      <c r="CC155" s="59">
        <f t="shared" si="119"/>
        <v>700.25571808099403</v>
      </c>
      <c r="CD155" s="59">
        <f ca="1">AVERAGE(OFFSET($CC$3,0,0,'Données projet'!$E$12+1,1))-AVERAGE(OFFSET($H$3,0,0,'Données projet'!$E$12+1,1))</f>
        <v>306.06916761900357</v>
      </c>
      <c r="CE155" s="59">
        <f t="shared" si="148"/>
        <v>258.90832875500337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7.7797167423172468E-20</v>
      </c>
      <c r="CN155" s="22">
        <f t="shared" si="172"/>
        <v>7.7797167423172468E-20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275.00000000000057</v>
      </c>
      <c r="CU155" s="17">
        <f>CT155*VLOOKUP('Données projet'!$B$13,Paramètres!$A$1:$I$89,3,0)*VLOOKUP('Données projet'!$B$13,Paramètres!$A$1:$I$89,5,0)</f>
        <v>184.4700000000004</v>
      </c>
      <c r="CV155" s="13">
        <f t="shared" si="173"/>
        <v>46.31525458251663</v>
      </c>
      <c r="CW155" s="20">
        <f t="shared" si="174"/>
        <v>401.95098506455048</v>
      </c>
      <c r="CX155" s="59">
        <f t="shared" si="122"/>
        <v>688.87239807129038</v>
      </c>
      <c r="CY155" s="59">
        <f ca="1">AVERAGE(OFFSET($CX$3,0,0,'Données projet'!$E$13+1,1))-AVERAGE(OFFSET($H$3,0,0,'Données projet'!$E$13+1,1))</f>
        <v>324.58754156328285</v>
      </c>
      <c r="CZ155" s="59">
        <f t="shared" si="150"/>
        <v>226.01037731977604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4.7177000245077643E-20</v>
      </c>
      <c r="DI155" s="22">
        <f t="shared" si="175"/>
        <v>4.7177000245077643E-20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3.4106051316484809E-13</v>
      </c>
      <c r="DP155" s="17">
        <f>DO155*VLOOKUP('Données projet'!$B$14,Paramètres!$A$1:$I$89,3,0)*VLOOKUP('Données projet'!$B$14,Paramètres!$A$1:$I$89,5,0)</f>
        <v>1.5961632016114892E-13</v>
      </c>
      <c r="DQ155" s="13">
        <f t="shared" si="176"/>
        <v>2.2708641912150958E-12</v>
      </c>
      <c r="DR155" s="20">
        <f t="shared" si="177"/>
        <v>4.2330868906469593E-12</v>
      </c>
      <c r="DS155" s="59">
        <f t="shared" si="125"/>
        <v>286.9214130067441</v>
      </c>
      <c r="DT155" s="59">
        <f ca="1">AVERAGE(OFFSET($DS$3,0,0,'Données projet'!$E$14+1,1))-AVERAGE(OFFSET($H$3,0,0,'Données projet'!$E$14+1,1))</f>
        <v>325.93182817189722</v>
      </c>
      <c r="DU155" s="59">
        <f t="shared" si="152"/>
        <v>280.04509991782709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5.6843418860808015E-14</v>
      </c>
      <c r="EK155" s="17">
        <f>EJ155*VLOOKUP('Données projet'!$B$15,Paramètres!$A$1:$I$89,3,0)*VLOOKUP('Données projet'!$B$15,Paramètres!$A$1:$I$89,5,0)</f>
        <v>4.5224624045658861E-14</v>
      </c>
      <c r="EL155" s="13">
        <f t="shared" si="179"/>
        <v>7.4514601661523691E-13</v>
      </c>
      <c r="EM155" s="20">
        <f t="shared" si="180"/>
        <v>1.3765621991510601E-12</v>
      </c>
      <c r="EN155" s="59">
        <f t="shared" si="128"/>
        <v>286.92141300674126</v>
      </c>
      <c r="EO155" s="59">
        <f ca="1">AVERAGE(OFFSET($EN$3,0,0,'Données projet'!$E$15+1,1))-AVERAGE(OFFSET($H$3,0,0,'Données projet'!$E$15+1,1))</f>
        <v>333.52903437536651</v>
      </c>
      <c r="EP155" s="59">
        <f t="shared" si="154"/>
        <v>359.47288701414777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0.12846194210343476</v>
      </c>
      <c r="EX155" s="21">
        <f>EXP(-LN(2)/2)*EX154+(1-EXP(-LN(2)/2))/(LN(2)/2)*ER155*EU155*VLOOKUP('Données projet'!$B$15,Paramètres!$A$1:$I$89,3,0)*0.475*44/12</f>
        <v>1.0936486420449817E-19</v>
      </c>
      <c r="EY155" s="22">
        <f t="shared" si="181"/>
        <v>0.12846194210343476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-2.8421709430404007E-13</v>
      </c>
      <c r="FF155" s="17">
        <f>FE155*VLOOKUP('Données projet'!$B$16,Paramètres!$A$1:$I$89,3,0)*VLOOKUP('Données projet'!$B$16,Paramètres!$A$1:$I$89,5,0)</f>
        <v>-1.69961822393816E-13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313.26988717307376</v>
      </c>
      <c r="FK155" s="59">
        <f t="shared" si="156"/>
        <v>248.17359813993201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0.20807502334503375</v>
      </c>
      <c r="FR155" s="21">
        <f>EXP(-LN(2)/25)*FR154+(1-EXP(-LN(2)/25))/(LN(2)/25)*Calculateur!FM155*Calculateur!FO155*VLOOKUP('Données projet'!$B$16,Paramètres!$A$1:$I$89,3,0)*0.475*44/12</f>
        <v>0.25603585102221116</v>
      </c>
      <c r="FS155" s="21">
        <f>EXP(-LN(2)/2)*FS154+(1-EXP(-LN(2)/2))/(LN(2)/2)*FM155*FP155*VLOOKUP('Données projet'!$B$16,Paramètres!$A$1:$I$89,3,0)*0.475*44/12</f>
        <v>1.8259246119414163E-18</v>
      </c>
      <c r="FT155" s="22">
        <f t="shared" si="184"/>
        <v>0.46411087436724491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181.00000000000009</v>
      </c>
      <c r="GA155" s="17">
        <f>FZ155*VLOOKUP('Données projet'!$B$17,Paramètres!$A$1:$I$89,3,0)*VLOOKUP('Données projet'!$B$17,Paramètres!$A$1:$I$89,5,0)</f>
        <v>194.82840000000007</v>
      </c>
      <c r="GB155" s="13">
        <f t="shared" si="185"/>
        <v>48.605879434898576</v>
      </c>
      <c r="GC155" s="20">
        <f t="shared" si="186"/>
        <v>423.98137001578181</v>
      </c>
      <c r="GD155" s="59">
        <f t="shared" si="134"/>
        <v>710.9027830225217</v>
      </c>
      <c r="GE155" s="59">
        <f ca="1">AVERAGE(OFFSET($GD$3,0,0,'Données projet'!$E$17+1,1))-AVERAGE(OFFSET($H$3,0,0,'Données projet'!$E$17+1,1))</f>
        <v>313.51355235711543</v>
      </c>
      <c r="GF155" s="59">
        <f t="shared" si="158"/>
        <v>186.0840067781198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0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0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275.00000000000057</v>
      </c>
      <c r="O156" s="13">
        <f>N156*VLOOKUP('Données projet'!$B$9,Paramètres!$A$1:$I$89,3,0)*VLOOKUP('Données projet'!$B$9,Paramètres!$A$1:$I$89,5,0)</f>
        <v>278.85000000000059</v>
      </c>
      <c r="P156" s="13">
        <f t="shared" si="141"/>
        <v>66.723922641153095</v>
      </c>
      <c r="Q156" s="20">
        <f t="shared" si="162"/>
        <v>601.8745819333426</v>
      </c>
      <c r="R156" s="59">
        <f t="shared" si="109"/>
        <v>888.90722742284265</v>
      </c>
      <c r="S156" s="59">
        <f ca="1">AVERAGE(OFFSET($R$3,0,0,'Données projet'!$E$9+1,1))-AVERAGE(OFFSET($H$3,0,0,'Données projet'!$E$9+1,1))</f>
        <v>452.67426184967104</v>
      </c>
      <c r="T156" s="59">
        <f t="shared" si="142"/>
        <v>310.47823616327639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-3.979039320256561E-13</v>
      </c>
      <c r="AJ156" s="13">
        <f>AI156*VLOOKUP('Données projet'!$B$10,Paramètres!$A$1:$I$89,3,0)*VLOOKUP('Données projet'!$B$10,Paramètres!$A$1:$I$89,5,0)</f>
        <v>-4.158891897532158E-13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528.45201982036087</v>
      </c>
      <c r="AO156" s="59">
        <f t="shared" si="144"/>
        <v>321.23004033257985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3.0290356763774132E-20</v>
      </c>
      <c r="AX156" s="21">
        <f t="shared" si="166"/>
        <v>3.0290356763774132E-20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181.00000000000009</v>
      </c>
      <c r="BE156" s="13">
        <f>BD156*VLOOKUP('Données projet'!$B$11,Paramètres!$A$1:$I$89,3,0)*VLOOKUP('Données projet'!$B$11,Paramètres!$A$1:$I$89,5,0)</f>
        <v>175.06320000000008</v>
      </c>
      <c r="BF156" s="13">
        <f t="shared" si="167"/>
        <v>44.222067746824763</v>
      </c>
      <c r="BG156" s="20">
        <f t="shared" si="168"/>
        <v>381.92184132571992</v>
      </c>
      <c r="BH156" s="59">
        <f t="shared" si="116"/>
        <v>668.95448681521998</v>
      </c>
      <c r="BI156" s="59">
        <f ca="1">AVERAGE(OFFSET($BH$3,0,0,'Données projet'!$E$11+1,1))-AVERAGE(OFFSET($H$3,0,0,'Données projet'!$E$11+1,1))</f>
        <v>289.06522051625166</v>
      </c>
      <c r="BJ156" s="59">
        <f t="shared" si="146"/>
        <v>173.19148969173838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234.00000000000045</v>
      </c>
      <c r="BZ156" s="13">
        <f>BY156*VLOOKUP('Données projet'!$B$12,Paramètres!$A$1:$I$89,3,0)*VLOOKUP('Données projet'!$B$12,Paramètres!$A$1:$I$89,5,0)</f>
        <v>189.82080000000036</v>
      </c>
      <c r="CA156" s="13">
        <f t="shared" si="170"/>
        <v>47.500332100049881</v>
      </c>
      <c r="CB156" s="20">
        <f t="shared" si="171"/>
        <v>413.33430507425419</v>
      </c>
      <c r="CC156" s="59">
        <f t="shared" si="119"/>
        <v>700.36695056375424</v>
      </c>
      <c r="CD156" s="59">
        <f ca="1">AVERAGE(OFFSET($CC$3,0,0,'Données projet'!$E$12+1,1))-AVERAGE(OFFSET($H$3,0,0,'Données projet'!$E$12+1,1))</f>
        <v>306.06916761900357</v>
      </c>
      <c r="CE156" s="59">
        <f t="shared" si="148"/>
        <v>258.90832875500337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5.5010904642030417E-20</v>
      </c>
      <c r="CN156" s="22">
        <f t="shared" si="172"/>
        <v>5.5010904642030417E-20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275.00000000000057</v>
      </c>
      <c r="CU156" s="17">
        <f>CT156*VLOOKUP('Données projet'!$B$13,Paramètres!$A$1:$I$89,3,0)*VLOOKUP('Données projet'!$B$13,Paramètres!$A$1:$I$89,5,0)</f>
        <v>184.4700000000004</v>
      </c>
      <c r="CV156" s="13">
        <f t="shared" si="173"/>
        <v>46.31525458251663</v>
      </c>
      <c r="CW156" s="20">
        <f t="shared" si="174"/>
        <v>401.95098506455048</v>
      </c>
      <c r="CX156" s="59">
        <f t="shared" si="122"/>
        <v>688.98363055405048</v>
      </c>
      <c r="CY156" s="59">
        <f ca="1">AVERAGE(OFFSET($CX$3,0,0,'Données projet'!$E$13+1,1))-AVERAGE(OFFSET($H$3,0,0,'Données projet'!$E$13+1,1))</f>
        <v>324.58754156328285</v>
      </c>
      <c r="CZ156" s="59">
        <f t="shared" si="150"/>
        <v>226.01037731977604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3.3359176789333815E-20</v>
      </c>
      <c r="DI156" s="22">
        <f t="shared" si="175"/>
        <v>3.3359176789333815E-20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3.4106051316484809E-13</v>
      </c>
      <c r="DP156" s="17">
        <f>DO156*VLOOKUP('Données projet'!$B$14,Paramètres!$A$1:$I$89,3,0)*VLOOKUP('Données projet'!$B$14,Paramètres!$A$1:$I$89,5,0)</f>
        <v>1.5961632016114892E-13</v>
      </c>
      <c r="DQ156" s="13">
        <f t="shared" si="176"/>
        <v>2.2708641912150958E-12</v>
      </c>
      <c r="DR156" s="20">
        <f t="shared" si="177"/>
        <v>4.2330868906469593E-12</v>
      </c>
      <c r="DS156" s="59">
        <f t="shared" si="125"/>
        <v>287.0326454895042</v>
      </c>
      <c r="DT156" s="59">
        <f ca="1">AVERAGE(OFFSET($DS$3,0,0,'Données projet'!$E$14+1,1))-AVERAGE(OFFSET($H$3,0,0,'Données projet'!$E$14+1,1))</f>
        <v>325.93182817189722</v>
      </c>
      <c r="DU156" s="59">
        <f t="shared" si="152"/>
        <v>280.04509991782709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5.6843418860808015E-14</v>
      </c>
      <c r="EK156" s="17">
        <f>EJ156*VLOOKUP('Données projet'!$B$15,Paramètres!$A$1:$I$89,3,0)*VLOOKUP('Données projet'!$B$15,Paramètres!$A$1:$I$89,5,0)</f>
        <v>4.5224624045658861E-14</v>
      </c>
      <c r="EL156" s="13">
        <f t="shared" si="179"/>
        <v>7.4514601661523691E-13</v>
      </c>
      <c r="EM156" s="20">
        <f t="shared" si="180"/>
        <v>1.3765621991510601E-12</v>
      </c>
      <c r="EN156" s="59">
        <f t="shared" si="128"/>
        <v>287.03264548950136</v>
      </c>
      <c r="EO156" s="59">
        <f ca="1">AVERAGE(OFFSET($EN$3,0,0,'Données projet'!$E$15+1,1))-AVERAGE(OFFSET($H$3,0,0,'Données projet'!$E$15+1,1))</f>
        <v>333.52903437536651</v>
      </c>
      <c r="EP156" s="59">
        <f t="shared" si="154"/>
        <v>359.47288701414777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0.1249491435410964</v>
      </c>
      <c r="EX156" s="21">
        <f>EXP(-LN(2)/2)*EX155+(1-EXP(-LN(2)/2))/(LN(2)/2)*ER156*EU156*VLOOKUP('Données projet'!$B$15,Paramètres!$A$1:$I$89,3,0)*0.475*44/12</f>
        <v>7.7332637102546575E-20</v>
      </c>
      <c r="EY156" s="22">
        <f t="shared" si="181"/>
        <v>0.1249491435410964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-2.8421709430404007E-13</v>
      </c>
      <c r="FF156" s="17">
        <f>FE156*VLOOKUP('Données projet'!$B$16,Paramètres!$A$1:$I$89,3,0)*VLOOKUP('Données projet'!$B$16,Paramètres!$A$1:$I$89,5,0)</f>
        <v>-1.69961822393816E-13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313.26988717307376</v>
      </c>
      <c r="FK156" s="59">
        <f t="shared" si="156"/>
        <v>248.17359813993201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0.20399479905047024</v>
      </c>
      <c r="FR156" s="21">
        <f>EXP(-LN(2)/25)*FR155+(1-EXP(-LN(2)/25))/(LN(2)/25)*Calculateur!FM156*Calculateur!FO156*VLOOKUP('Données projet'!$B$16,Paramètres!$A$1:$I$89,3,0)*0.475*44/12</f>
        <v>0.24903453721166857</v>
      </c>
      <c r="FS156" s="21">
        <f>EXP(-LN(2)/2)*FS155+(1-EXP(-LN(2)/2))/(LN(2)/2)*FM156*FP156*VLOOKUP('Données projet'!$B$16,Paramètres!$A$1:$I$89,3,0)*0.475*44/12</f>
        <v>1.2911236750391908E-18</v>
      </c>
      <c r="FT156" s="22">
        <f t="shared" si="184"/>
        <v>0.45302933626213882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181.00000000000009</v>
      </c>
      <c r="GA156" s="17">
        <f>FZ156*VLOOKUP('Données projet'!$B$17,Paramètres!$A$1:$I$89,3,0)*VLOOKUP('Données projet'!$B$17,Paramètres!$A$1:$I$89,5,0)</f>
        <v>194.82840000000007</v>
      </c>
      <c r="GB156" s="13">
        <f t="shared" si="185"/>
        <v>48.605879434898576</v>
      </c>
      <c r="GC156" s="20">
        <f t="shared" si="186"/>
        <v>423.98137001578181</v>
      </c>
      <c r="GD156" s="59">
        <f t="shared" si="134"/>
        <v>711.0140155052818</v>
      </c>
      <c r="GE156" s="59">
        <f ca="1">AVERAGE(OFFSET($GD$3,0,0,'Données projet'!$E$17+1,1))-AVERAGE(OFFSET($H$3,0,0,'Données projet'!$E$17+1,1))</f>
        <v>313.51355235711543</v>
      </c>
      <c r="GF156" s="59">
        <f t="shared" si="158"/>
        <v>186.0840067781198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0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0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275.00000000000057</v>
      </c>
      <c r="O157" s="13">
        <f>N157*VLOOKUP('Données projet'!$B$9,Paramètres!$A$1:$I$89,3,0)*VLOOKUP('Données projet'!$B$9,Paramètres!$A$1:$I$89,5,0)</f>
        <v>278.85000000000059</v>
      </c>
      <c r="P157" s="13">
        <f t="shared" si="141"/>
        <v>66.723922641153095</v>
      </c>
      <c r="Q157" s="20">
        <f t="shared" si="162"/>
        <v>601.8745819333426</v>
      </c>
      <c r="R157" s="59">
        <f t="shared" si="109"/>
        <v>889.01653027070529</v>
      </c>
      <c r="S157" s="59">
        <f ca="1">AVERAGE(OFFSET($R$3,0,0,'Données projet'!$E$9+1,1))-AVERAGE(OFFSET($H$3,0,0,'Données projet'!$E$9+1,1))</f>
        <v>452.67426184967104</v>
      </c>
      <c r="T157" s="59">
        <f t="shared" si="142"/>
        <v>310.47823616327639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-3.979039320256561E-13</v>
      </c>
      <c r="AJ157" s="13">
        <f>AI157*VLOOKUP('Données projet'!$B$10,Paramètres!$A$1:$I$89,3,0)*VLOOKUP('Données projet'!$B$10,Paramètres!$A$1:$I$89,5,0)</f>
        <v>-4.158891897532158E-13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528.45201982036087</v>
      </c>
      <c r="AO157" s="59">
        <f t="shared" si="144"/>
        <v>321.23004033257985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2.1418516672224495E-20</v>
      </c>
      <c r="AX157" s="21">
        <f t="shared" si="166"/>
        <v>2.1418516672224495E-20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181.00000000000009</v>
      </c>
      <c r="BE157" s="13">
        <f>BD157*VLOOKUP('Données projet'!$B$11,Paramètres!$A$1:$I$89,3,0)*VLOOKUP('Données projet'!$B$11,Paramètres!$A$1:$I$89,5,0)</f>
        <v>175.06320000000008</v>
      </c>
      <c r="BF157" s="13">
        <f t="shared" si="167"/>
        <v>44.222067746824763</v>
      </c>
      <c r="BG157" s="20">
        <f t="shared" si="168"/>
        <v>381.92184132571992</v>
      </c>
      <c r="BH157" s="59">
        <f t="shared" si="116"/>
        <v>669.06378966308262</v>
      </c>
      <c r="BI157" s="59">
        <f ca="1">AVERAGE(OFFSET($BH$3,0,0,'Données projet'!$E$11+1,1))-AVERAGE(OFFSET($H$3,0,0,'Données projet'!$E$11+1,1))</f>
        <v>289.06522051625166</v>
      </c>
      <c r="BJ157" s="59">
        <f t="shared" si="146"/>
        <v>173.19148969173838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234.00000000000045</v>
      </c>
      <c r="BZ157" s="13">
        <f>BY157*VLOOKUP('Données projet'!$B$12,Paramètres!$A$1:$I$89,3,0)*VLOOKUP('Données projet'!$B$12,Paramètres!$A$1:$I$89,5,0)</f>
        <v>189.82080000000036</v>
      </c>
      <c r="CA157" s="13">
        <f t="shared" si="170"/>
        <v>47.500332100049881</v>
      </c>
      <c r="CB157" s="20">
        <f t="shared" si="171"/>
        <v>413.33430507425419</v>
      </c>
      <c r="CC157" s="59">
        <f t="shared" si="119"/>
        <v>700.47625341161688</v>
      </c>
      <c r="CD157" s="59">
        <f ca="1">AVERAGE(OFFSET($CC$3,0,0,'Données projet'!$E$12+1,1))-AVERAGE(OFFSET($H$3,0,0,'Données projet'!$E$12+1,1))</f>
        <v>306.06916761900357</v>
      </c>
      <c r="CE157" s="59">
        <f t="shared" si="148"/>
        <v>258.90832875500337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3.8898583711586234E-20</v>
      </c>
      <c r="CN157" s="22">
        <f t="shared" si="172"/>
        <v>3.8898583711586234E-20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275.00000000000057</v>
      </c>
      <c r="CU157" s="17">
        <f>CT157*VLOOKUP('Données projet'!$B$13,Paramètres!$A$1:$I$89,3,0)*VLOOKUP('Données projet'!$B$13,Paramètres!$A$1:$I$89,5,0)</f>
        <v>184.4700000000004</v>
      </c>
      <c r="CV157" s="13">
        <f t="shared" si="173"/>
        <v>46.31525458251663</v>
      </c>
      <c r="CW157" s="20">
        <f t="shared" si="174"/>
        <v>401.95098506455048</v>
      </c>
      <c r="CX157" s="59">
        <f t="shared" si="122"/>
        <v>689.09293340191323</v>
      </c>
      <c r="CY157" s="59">
        <f ca="1">AVERAGE(OFFSET($CX$3,0,0,'Données projet'!$E$13+1,1))-AVERAGE(OFFSET($H$3,0,0,'Données projet'!$E$13+1,1))</f>
        <v>324.58754156328285</v>
      </c>
      <c r="CZ157" s="59">
        <f t="shared" si="150"/>
        <v>226.01037731977604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2.3588500122538821E-20</v>
      </c>
      <c r="DI157" s="22">
        <f t="shared" si="175"/>
        <v>2.3588500122538821E-20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3.4106051316484809E-13</v>
      </c>
      <c r="DP157" s="17">
        <f>DO157*VLOOKUP('Données projet'!$B$14,Paramètres!$A$1:$I$89,3,0)*VLOOKUP('Données projet'!$B$14,Paramètres!$A$1:$I$89,5,0)</f>
        <v>1.5961632016114892E-13</v>
      </c>
      <c r="DQ157" s="13">
        <f t="shared" si="176"/>
        <v>2.2708641912150958E-12</v>
      </c>
      <c r="DR157" s="20">
        <f t="shared" si="177"/>
        <v>4.2330868906469593E-12</v>
      </c>
      <c r="DS157" s="59">
        <f t="shared" si="125"/>
        <v>287.14194833736696</v>
      </c>
      <c r="DT157" s="59">
        <f ca="1">AVERAGE(OFFSET($DS$3,0,0,'Données projet'!$E$14+1,1))-AVERAGE(OFFSET($H$3,0,0,'Données projet'!$E$14+1,1))</f>
        <v>325.93182817189722</v>
      </c>
      <c r="DU157" s="59">
        <f t="shared" si="152"/>
        <v>280.04509991782709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5.6843418860808015E-14</v>
      </c>
      <c r="EK157" s="17">
        <f>EJ157*VLOOKUP('Données projet'!$B$15,Paramètres!$A$1:$I$89,3,0)*VLOOKUP('Données projet'!$B$15,Paramètres!$A$1:$I$89,5,0)</f>
        <v>4.5224624045658861E-14</v>
      </c>
      <c r="EL157" s="13">
        <f t="shared" si="179"/>
        <v>7.4514601661523691E-13</v>
      </c>
      <c r="EM157" s="20">
        <f t="shared" si="180"/>
        <v>1.3765621991510601E-12</v>
      </c>
      <c r="EN157" s="59">
        <f t="shared" si="128"/>
        <v>287.14194833736411</v>
      </c>
      <c r="EO157" s="59">
        <f ca="1">AVERAGE(OFFSET($EN$3,0,0,'Données projet'!$E$15+1,1))-AVERAGE(OFFSET($H$3,0,0,'Données projet'!$E$15+1,1))</f>
        <v>333.52903437536651</v>
      </c>
      <c r="EP157" s="59">
        <f t="shared" si="154"/>
        <v>359.47288701414777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0.12153240264017524</v>
      </c>
      <c r="EX157" s="21">
        <f>EXP(-LN(2)/2)*EX156+(1-EXP(-LN(2)/2))/(LN(2)/2)*ER157*EU157*VLOOKUP('Données projet'!$B$15,Paramètres!$A$1:$I$89,3,0)*0.475*44/12</f>
        <v>5.4682432102249086E-20</v>
      </c>
      <c r="EY157" s="22">
        <f t="shared" si="181"/>
        <v>0.12153240264017524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-2.8421709430404007E-13</v>
      </c>
      <c r="FF157" s="17">
        <f>FE157*VLOOKUP('Données projet'!$B$16,Paramètres!$A$1:$I$89,3,0)*VLOOKUP('Données projet'!$B$16,Paramètres!$A$1:$I$89,5,0)</f>
        <v>-1.69961822393816E-13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313.26988717307376</v>
      </c>
      <c r="FK157" s="59">
        <f t="shared" si="156"/>
        <v>248.17359813993201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0.19999458546563204</v>
      </c>
      <c r="FR157" s="21">
        <f>EXP(-LN(2)/25)*FR156+(1-EXP(-LN(2)/25))/(LN(2)/25)*Calculateur!FM157*Calculateur!FO157*VLOOKUP('Données projet'!$B$16,Paramètres!$A$1:$I$89,3,0)*0.475*44/12</f>
        <v>0.24222467469545836</v>
      </c>
      <c r="FS157" s="21">
        <f>EXP(-LN(2)/2)*FS156+(1-EXP(-LN(2)/2))/(LN(2)/2)*FM157*FP157*VLOOKUP('Données projet'!$B$16,Paramètres!$A$1:$I$89,3,0)*0.475*44/12</f>
        <v>9.1296230597070814E-19</v>
      </c>
      <c r="FT157" s="22">
        <f t="shared" si="184"/>
        <v>0.44221926016109037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181.00000000000009</v>
      </c>
      <c r="GA157" s="17">
        <f>FZ157*VLOOKUP('Données projet'!$B$17,Paramètres!$A$1:$I$89,3,0)*VLOOKUP('Données projet'!$B$17,Paramètres!$A$1:$I$89,5,0)</f>
        <v>194.82840000000007</v>
      </c>
      <c r="GB157" s="13">
        <f t="shared" si="185"/>
        <v>48.605879434898576</v>
      </c>
      <c r="GC157" s="20">
        <f t="shared" si="186"/>
        <v>423.98137001578181</v>
      </c>
      <c r="GD157" s="59">
        <f t="shared" si="134"/>
        <v>711.12331835314455</v>
      </c>
      <c r="GE157" s="59">
        <f ca="1">AVERAGE(OFFSET($GD$3,0,0,'Données projet'!$E$17+1,1))-AVERAGE(OFFSET($H$3,0,0,'Données projet'!$E$17+1,1))</f>
        <v>313.51355235711543</v>
      </c>
      <c r="GF157" s="59">
        <f t="shared" si="158"/>
        <v>186.0840067781198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0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0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275.00000000000057</v>
      </c>
      <c r="O158" s="13">
        <f>N158*VLOOKUP('Données projet'!$B$9,Paramètres!$A$1:$I$89,3,0)*VLOOKUP('Données projet'!$B$9,Paramètres!$A$1:$I$89,5,0)</f>
        <v>278.85000000000059</v>
      </c>
      <c r="P158" s="13">
        <f t="shared" si="141"/>
        <v>66.723922641153095</v>
      </c>
      <c r="Q158" s="20">
        <f t="shared" si="162"/>
        <v>601.8745819333426</v>
      </c>
      <c r="R158" s="59">
        <f t="shared" si="109"/>
        <v>889.12393695852234</v>
      </c>
      <c r="S158" s="59">
        <f ca="1">AVERAGE(OFFSET($R$3,0,0,'Données projet'!$E$9+1,1))-AVERAGE(OFFSET($H$3,0,0,'Données projet'!$E$9+1,1))</f>
        <v>452.67426184967104</v>
      </c>
      <c r="T158" s="59">
        <f t="shared" si="142"/>
        <v>310.47823616327639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-3.979039320256561E-13</v>
      </c>
      <c r="AJ158" s="13">
        <f>AI158*VLOOKUP('Données projet'!$B$10,Paramètres!$A$1:$I$89,3,0)*VLOOKUP('Données projet'!$B$10,Paramètres!$A$1:$I$89,5,0)</f>
        <v>-4.158891897532158E-13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528.45201982036087</v>
      </c>
      <c r="AO158" s="59">
        <f t="shared" si="144"/>
        <v>321.23004033257985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1.5145178381887066E-20</v>
      </c>
      <c r="AX158" s="21">
        <f t="shared" si="166"/>
        <v>1.5145178381887066E-20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181.00000000000009</v>
      </c>
      <c r="BE158" s="13">
        <f>BD158*VLOOKUP('Données projet'!$B$11,Paramètres!$A$1:$I$89,3,0)*VLOOKUP('Données projet'!$B$11,Paramètres!$A$1:$I$89,5,0)</f>
        <v>175.06320000000008</v>
      </c>
      <c r="BF158" s="13">
        <f t="shared" si="167"/>
        <v>44.222067746824763</v>
      </c>
      <c r="BG158" s="20">
        <f t="shared" si="168"/>
        <v>381.92184132571992</v>
      </c>
      <c r="BH158" s="59">
        <f t="shared" si="116"/>
        <v>669.17119635089966</v>
      </c>
      <c r="BI158" s="59">
        <f ca="1">AVERAGE(OFFSET($BH$3,0,0,'Données projet'!$E$11+1,1))-AVERAGE(OFFSET($H$3,0,0,'Données projet'!$E$11+1,1))</f>
        <v>289.06522051625166</v>
      </c>
      <c r="BJ158" s="59">
        <f t="shared" si="146"/>
        <v>173.19148969173838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234.00000000000045</v>
      </c>
      <c r="BZ158" s="13">
        <f>BY158*VLOOKUP('Données projet'!$B$12,Paramètres!$A$1:$I$89,3,0)*VLOOKUP('Données projet'!$B$12,Paramètres!$A$1:$I$89,5,0)</f>
        <v>189.82080000000036</v>
      </c>
      <c r="CA158" s="13">
        <f t="shared" si="170"/>
        <v>47.500332100049881</v>
      </c>
      <c r="CB158" s="20">
        <f t="shared" si="171"/>
        <v>413.33430507425419</v>
      </c>
      <c r="CC158" s="59">
        <f t="shared" si="119"/>
        <v>700.58366009943393</v>
      </c>
      <c r="CD158" s="59">
        <f ca="1">AVERAGE(OFFSET($CC$3,0,0,'Données projet'!$E$12+1,1))-AVERAGE(OFFSET($H$3,0,0,'Données projet'!$E$12+1,1))</f>
        <v>306.06916761900357</v>
      </c>
      <c r="CE158" s="59">
        <f t="shared" si="148"/>
        <v>258.90832875500337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2.7505452321015208E-20</v>
      </c>
      <c r="CN158" s="22">
        <f t="shared" si="172"/>
        <v>2.7505452321015208E-20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275.00000000000057</v>
      </c>
      <c r="CU158" s="17">
        <f>CT158*VLOOKUP('Données projet'!$B$13,Paramètres!$A$1:$I$89,3,0)*VLOOKUP('Données projet'!$B$13,Paramètres!$A$1:$I$89,5,0)</f>
        <v>184.4700000000004</v>
      </c>
      <c r="CV158" s="13">
        <f t="shared" si="173"/>
        <v>46.31525458251663</v>
      </c>
      <c r="CW158" s="20">
        <f t="shared" si="174"/>
        <v>401.95098506455048</v>
      </c>
      <c r="CX158" s="59">
        <f t="shared" si="122"/>
        <v>689.20034008973016</v>
      </c>
      <c r="CY158" s="59">
        <f ca="1">AVERAGE(OFFSET($CX$3,0,0,'Données projet'!$E$13+1,1))-AVERAGE(OFFSET($H$3,0,0,'Données projet'!$E$13+1,1))</f>
        <v>324.58754156328285</v>
      </c>
      <c r="CZ158" s="59">
        <f t="shared" si="150"/>
        <v>226.01037731977604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1.6679588394666908E-20</v>
      </c>
      <c r="DI158" s="22">
        <f t="shared" si="175"/>
        <v>1.6679588394666908E-20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3.4106051316484809E-13</v>
      </c>
      <c r="DP158" s="17">
        <f>DO158*VLOOKUP('Données projet'!$B$14,Paramètres!$A$1:$I$89,3,0)*VLOOKUP('Données projet'!$B$14,Paramètres!$A$1:$I$89,5,0)</f>
        <v>1.5961632016114892E-13</v>
      </c>
      <c r="DQ158" s="13">
        <f t="shared" si="176"/>
        <v>2.2708641912150958E-12</v>
      </c>
      <c r="DR158" s="20">
        <f t="shared" si="177"/>
        <v>4.2330868906469593E-12</v>
      </c>
      <c r="DS158" s="59">
        <f t="shared" si="125"/>
        <v>287.24935502518389</v>
      </c>
      <c r="DT158" s="59">
        <f ca="1">AVERAGE(OFFSET($DS$3,0,0,'Données projet'!$E$14+1,1))-AVERAGE(OFFSET($H$3,0,0,'Données projet'!$E$14+1,1))</f>
        <v>325.93182817189722</v>
      </c>
      <c r="DU158" s="59">
        <f t="shared" si="152"/>
        <v>280.04509991782709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5.6843418860808015E-14</v>
      </c>
      <c r="EK158" s="17">
        <f>EJ158*VLOOKUP('Données projet'!$B$15,Paramètres!$A$1:$I$89,3,0)*VLOOKUP('Données projet'!$B$15,Paramètres!$A$1:$I$89,5,0)</f>
        <v>4.5224624045658861E-14</v>
      </c>
      <c r="EL158" s="13">
        <f t="shared" si="179"/>
        <v>7.4514601661523691E-13</v>
      </c>
      <c r="EM158" s="20">
        <f t="shared" si="180"/>
        <v>1.3765621991510601E-12</v>
      </c>
      <c r="EN158" s="59">
        <f t="shared" si="128"/>
        <v>287.24935502518105</v>
      </c>
      <c r="EO158" s="59">
        <f ca="1">AVERAGE(OFFSET($EN$3,0,0,'Données projet'!$E$15+1,1))-AVERAGE(OFFSET($H$3,0,0,'Données projet'!$E$15+1,1))</f>
        <v>333.52903437536651</v>
      </c>
      <c r="EP158" s="59">
        <f t="shared" si="154"/>
        <v>359.47288701414777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0.11820909269886837</v>
      </c>
      <c r="EX158" s="21">
        <f>EXP(-LN(2)/2)*EX157+(1-EXP(-LN(2)/2))/(LN(2)/2)*ER158*EU158*VLOOKUP('Données projet'!$B$15,Paramètres!$A$1:$I$89,3,0)*0.475*44/12</f>
        <v>3.8666318551273288E-20</v>
      </c>
      <c r="EY158" s="22">
        <f t="shared" si="181"/>
        <v>0.11820909269886837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-2.8421709430404007E-13</v>
      </c>
      <c r="FF158" s="17">
        <f>FE158*VLOOKUP('Données projet'!$B$16,Paramètres!$A$1:$I$89,3,0)*VLOOKUP('Données projet'!$B$16,Paramètres!$A$1:$I$89,5,0)</f>
        <v>-1.69961822393816E-13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313.26988717307376</v>
      </c>
      <c r="FK158" s="59">
        <f t="shared" si="156"/>
        <v>248.17359813993201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0.19607281362930315</v>
      </c>
      <c r="FR158" s="21">
        <f>EXP(-LN(2)/25)*FR157+(1-EXP(-LN(2)/25))/(LN(2)/25)*Calculateur!FM158*Calculateur!FO158*VLOOKUP('Données projet'!$B$16,Paramètres!$A$1:$I$89,3,0)*0.475*44/12</f>
        <v>0.23560102822786902</v>
      </c>
      <c r="FS158" s="21">
        <f>EXP(-LN(2)/2)*FS157+(1-EXP(-LN(2)/2))/(LN(2)/2)*FM158*FP158*VLOOKUP('Données projet'!$B$16,Paramètres!$A$1:$I$89,3,0)*0.475*44/12</f>
        <v>6.455618375195954E-19</v>
      </c>
      <c r="FT158" s="22">
        <f t="shared" si="184"/>
        <v>0.43167384185717217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181.00000000000009</v>
      </c>
      <c r="GA158" s="17">
        <f>FZ158*VLOOKUP('Données projet'!$B$17,Paramètres!$A$1:$I$89,3,0)*VLOOKUP('Données projet'!$B$17,Paramètres!$A$1:$I$89,5,0)</f>
        <v>194.82840000000007</v>
      </c>
      <c r="GB158" s="13">
        <f t="shared" si="185"/>
        <v>48.605879434898576</v>
      </c>
      <c r="GC158" s="20">
        <f t="shared" si="186"/>
        <v>423.98137001578181</v>
      </c>
      <c r="GD158" s="59">
        <f t="shared" si="134"/>
        <v>711.23072504096149</v>
      </c>
      <c r="GE158" s="59">
        <f ca="1">AVERAGE(OFFSET($GD$3,0,0,'Données projet'!$E$17+1,1))-AVERAGE(OFFSET($H$3,0,0,'Données projet'!$E$17+1,1))</f>
        <v>313.51355235711543</v>
      </c>
      <c r="GF158" s="59">
        <f t="shared" si="158"/>
        <v>186.0840067781198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0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0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275.00000000000057</v>
      </c>
      <c r="O159" s="13">
        <f>N159*VLOOKUP('Données projet'!$B$9,Paramètres!$A$1:$I$89,3,0)*VLOOKUP('Données projet'!$B$9,Paramètres!$A$1:$I$89,5,0)</f>
        <v>278.85000000000059</v>
      </c>
      <c r="P159" s="13">
        <f t="shared" si="141"/>
        <v>66.723922641153095</v>
      </c>
      <c r="Q159" s="20">
        <f t="shared" si="162"/>
        <v>601.8745819333426</v>
      </c>
      <c r="R159" s="59">
        <f t="shared" si="109"/>
        <v>889.22948038043091</v>
      </c>
      <c r="S159" s="59">
        <f ca="1">AVERAGE(OFFSET($R$3,0,0,'Données projet'!$E$9+1,1))-AVERAGE(OFFSET($H$3,0,0,'Données projet'!$E$9+1,1))</f>
        <v>452.67426184967104</v>
      </c>
      <c r="T159" s="59">
        <f t="shared" si="142"/>
        <v>310.47823616327639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-3.979039320256561E-13</v>
      </c>
      <c r="AJ159" s="13">
        <f>AI159*VLOOKUP('Données projet'!$B$10,Paramètres!$A$1:$I$89,3,0)*VLOOKUP('Données projet'!$B$10,Paramètres!$A$1:$I$89,5,0)</f>
        <v>-4.158891897532158E-13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528.45201982036087</v>
      </c>
      <c r="AO159" s="59">
        <f t="shared" si="144"/>
        <v>321.23004033257985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1.0709258336112248E-20</v>
      </c>
      <c r="AX159" s="21">
        <f t="shared" si="166"/>
        <v>1.0709258336112248E-20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181.00000000000009</v>
      </c>
      <c r="BE159" s="13">
        <f>BD159*VLOOKUP('Données projet'!$B$11,Paramètres!$A$1:$I$89,3,0)*VLOOKUP('Données projet'!$B$11,Paramètres!$A$1:$I$89,5,0)</f>
        <v>175.06320000000008</v>
      </c>
      <c r="BF159" s="13">
        <f t="shared" si="167"/>
        <v>44.222067746824763</v>
      </c>
      <c r="BG159" s="20">
        <f t="shared" si="168"/>
        <v>381.92184132571992</v>
      </c>
      <c r="BH159" s="59">
        <f t="shared" si="116"/>
        <v>669.27673977280824</v>
      </c>
      <c r="BI159" s="59">
        <f ca="1">AVERAGE(OFFSET($BH$3,0,0,'Données projet'!$E$11+1,1))-AVERAGE(OFFSET($H$3,0,0,'Données projet'!$E$11+1,1))</f>
        <v>289.06522051625166</v>
      </c>
      <c r="BJ159" s="59">
        <f t="shared" si="146"/>
        <v>173.19148969173838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234.00000000000045</v>
      </c>
      <c r="BZ159" s="13">
        <f>BY159*VLOOKUP('Données projet'!$B$12,Paramètres!$A$1:$I$89,3,0)*VLOOKUP('Données projet'!$B$12,Paramètres!$A$1:$I$89,5,0)</f>
        <v>189.82080000000036</v>
      </c>
      <c r="CA159" s="13">
        <f t="shared" si="170"/>
        <v>47.500332100049881</v>
      </c>
      <c r="CB159" s="20">
        <f t="shared" si="171"/>
        <v>413.33430507425419</v>
      </c>
      <c r="CC159" s="59">
        <f t="shared" si="119"/>
        <v>700.68920352134251</v>
      </c>
      <c r="CD159" s="59">
        <f ca="1">AVERAGE(OFFSET($CC$3,0,0,'Données projet'!$E$12+1,1))-AVERAGE(OFFSET($H$3,0,0,'Données projet'!$E$12+1,1))</f>
        <v>306.06916761900357</v>
      </c>
      <c r="CE159" s="59">
        <f t="shared" si="148"/>
        <v>258.90832875500337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1.9449291855793117E-20</v>
      </c>
      <c r="CN159" s="22">
        <f t="shared" si="172"/>
        <v>1.9449291855793117E-20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275.00000000000057</v>
      </c>
      <c r="CU159" s="17">
        <f>CT159*VLOOKUP('Données projet'!$B$13,Paramètres!$A$1:$I$89,3,0)*VLOOKUP('Données projet'!$B$13,Paramètres!$A$1:$I$89,5,0)</f>
        <v>184.4700000000004</v>
      </c>
      <c r="CV159" s="13">
        <f t="shared" si="173"/>
        <v>46.31525458251663</v>
      </c>
      <c r="CW159" s="20">
        <f t="shared" si="174"/>
        <v>401.95098506455048</v>
      </c>
      <c r="CX159" s="59">
        <f t="shared" si="122"/>
        <v>689.30588351163874</v>
      </c>
      <c r="CY159" s="59">
        <f ca="1">AVERAGE(OFFSET($CX$3,0,0,'Données projet'!$E$13+1,1))-AVERAGE(OFFSET($H$3,0,0,'Données projet'!$E$13+1,1))</f>
        <v>324.58754156328285</v>
      </c>
      <c r="CZ159" s="59">
        <f t="shared" si="150"/>
        <v>226.01037731977604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1.1794250061269411E-20</v>
      </c>
      <c r="DI159" s="22">
        <f t="shared" si="175"/>
        <v>1.1794250061269411E-20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3.4106051316484809E-13</v>
      </c>
      <c r="DP159" s="17">
        <f>DO159*VLOOKUP('Données projet'!$B$14,Paramètres!$A$1:$I$89,3,0)*VLOOKUP('Données projet'!$B$14,Paramètres!$A$1:$I$89,5,0)</f>
        <v>1.5961632016114892E-13</v>
      </c>
      <c r="DQ159" s="13">
        <f t="shared" si="176"/>
        <v>2.2708641912150958E-12</v>
      </c>
      <c r="DR159" s="20">
        <f t="shared" si="177"/>
        <v>4.2330868906469593E-12</v>
      </c>
      <c r="DS159" s="59">
        <f t="shared" si="125"/>
        <v>287.35489844709252</v>
      </c>
      <c r="DT159" s="59">
        <f ca="1">AVERAGE(OFFSET($DS$3,0,0,'Données projet'!$E$14+1,1))-AVERAGE(OFFSET($H$3,0,0,'Données projet'!$E$14+1,1))</f>
        <v>325.93182817189722</v>
      </c>
      <c r="DU159" s="59">
        <f t="shared" si="152"/>
        <v>280.04509991782709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5.6843418860808015E-14</v>
      </c>
      <c r="EK159" s="17">
        <f>EJ159*VLOOKUP('Données projet'!$B$15,Paramètres!$A$1:$I$89,3,0)*VLOOKUP('Données projet'!$B$15,Paramètres!$A$1:$I$89,5,0)</f>
        <v>4.5224624045658861E-14</v>
      </c>
      <c r="EL159" s="13">
        <f t="shared" si="179"/>
        <v>7.4514601661523691E-13</v>
      </c>
      <c r="EM159" s="20">
        <f t="shared" si="180"/>
        <v>1.3765621991510601E-12</v>
      </c>
      <c r="EN159" s="59">
        <f t="shared" si="128"/>
        <v>287.35489844708968</v>
      </c>
      <c r="EO159" s="59">
        <f ca="1">AVERAGE(OFFSET($EN$3,0,0,'Données projet'!$E$15+1,1))-AVERAGE(OFFSET($H$3,0,0,'Données projet'!$E$15+1,1))</f>
        <v>333.52903437536651</v>
      </c>
      <c r="EP159" s="59">
        <f t="shared" si="154"/>
        <v>359.47288701414777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0.1149766588426718</v>
      </c>
      <c r="EX159" s="21">
        <f>EXP(-LN(2)/2)*EX158+(1-EXP(-LN(2)/2))/(LN(2)/2)*ER159*EU159*VLOOKUP('Données projet'!$B$15,Paramètres!$A$1:$I$89,3,0)*0.475*44/12</f>
        <v>2.7341216051124543E-20</v>
      </c>
      <c r="EY159" s="22">
        <f t="shared" si="181"/>
        <v>0.1149766588426718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-2.8421709430404007E-13</v>
      </c>
      <c r="FF159" s="17">
        <f>FE159*VLOOKUP('Données projet'!$B$16,Paramètres!$A$1:$I$89,3,0)*VLOOKUP('Données projet'!$B$16,Paramètres!$A$1:$I$89,5,0)</f>
        <v>-1.69961822393816E-13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313.26988717307376</v>
      </c>
      <c r="FK159" s="59">
        <f t="shared" si="156"/>
        <v>248.17359813993201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0.19222794534664003</v>
      </c>
      <c r="FR159" s="21">
        <f>EXP(-LN(2)/25)*FR158+(1-EXP(-LN(2)/25))/(LN(2)/25)*Calculateur!FM159*Calculateur!FO159*VLOOKUP('Données projet'!$B$16,Paramètres!$A$1:$I$89,3,0)*0.475*44/12</f>
        <v>0.22915850572125834</v>
      </c>
      <c r="FS159" s="21">
        <f>EXP(-LN(2)/2)*FS158+(1-EXP(-LN(2)/2))/(LN(2)/2)*FM159*FP159*VLOOKUP('Données projet'!$B$16,Paramètres!$A$1:$I$89,3,0)*0.475*44/12</f>
        <v>4.5648115298535407E-19</v>
      </c>
      <c r="FT159" s="22">
        <f t="shared" si="184"/>
        <v>0.4213864510678984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181.00000000000009</v>
      </c>
      <c r="GA159" s="17">
        <f>FZ159*VLOOKUP('Données projet'!$B$17,Paramètres!$A$1:$I$89,3,0)*VLOOKUP('Données projet'!$B$17,Paramètres!$A$1:$I$89,5,0)</f>
        <v>194.82840000000007</v>
      </c>
      <c r="GB159" s="13">
        <f t="shared" si="185"/>
        <v>48.605879434898576</v>
      </c>
      <c r="GC159" s="20">
        <f t="shared" si="186"/>
        <v>423.98137001578181</v>
      </c>
      <c r="GD159" s="59">
        <f t="shared" si="134"/>
        <v>711.33626846287007</v>
      </c>
      <c r="GE159" s="59">
        <f ca="1">AVERAGE(OFFSET($GD$3,0,0,'Données projet'!$E$17+1,1))-AVERAGE(OFFSET($H$3,0,0,'Données projet'!$E$17+1,1))</f>
        <v>313.51355235711543</v>
      </c>
      <c r="GF159" s="59">
        <f t="shared" si="158"/>
        <v>186.0840067781198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0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0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275.00000000000057</v>
      </c>
      <c r="O160" s="13">
        <f>N160*VLOOKUP('Données projet'!$B$9,Paramètres!$A$1:$I$89,3,0)*VLOOKUP('Données projet'!$B$9,Paramètres!$A$1:$I$89,5,0)</f>
        <v>278.85000000000059</v>
      </c>
      <c r="P160" s="13">
        <f t="shared" si="141"/>
        <v>66.723922641153095</v>
      </c>
      <c r="Q160" s="20">
        <f t="shared" si="162"/>
        <v>601.8745819333426</v>
      </c>
      <c r="R160" s="59">
        <f t="shared" si="109"/>
        <v>889.33319285992911</v>
      </c>
      <c r="S160" s="59">
        <f ca="1">AVERAGE(OFFSET($R$3,0,0,'Données projet'!$E$9+1,1))-AVERAGE(OFFSET($H$3,0,0,'Données projet'!$E$9+1,1))</f>
        <v>452.67426184967104</v>
      </c>
      <c r="T160" s="59">
        <f t="shared" si="142"/>
        <v>310.47823616327639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-3.979039320256561E-13</v>
      </c>
      <c r="AJ160" s="13">
        <f>AI160*VLOOKUP('Données projet'!$B$10,Paramètres!$A$1:$I$89,3,0)*VLOOKUP('Données projet'!$B$10,Paramètres!$A$1:$I$89,5,0)</f>
        <v>-4.158891897532158E-13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528.45201982036087</v>
      </c>
      <c r="AO160" s="59">
        <f t="shared" si="144"/>
        <v>321.23004033257985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7.572589190943533E-21</v>
      </c>
      <c r="AX160" s="21">
        <f t="shared" si="166"/>
        <v>7.572589190943533E-21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181.00000000000009</v>
      </c>
      <c r="BE160" s="13">
        <f>BD160*VLOOKUP('Données projet'!$B$11,Paramètres!$A$1:$I$89,3,0)*VLOOKUP('Données projet'!$B$11,Paramètres!$A$1:$I$89,5,0)</f>
        <v>175.06320000000008</v>
      </c>
      <c r="BF160" s="13">
        <f t="shared" si="167"/>
        <v>44.222067746824763</v>
      </c>
      <c r="BG160" s="20">
        <f t="shared" si="168"/>
        <v>381.92184132571992</v>
      </c>
      <c r="BH160" s="59">
        <f t="shared" si="116"/>
        <v>669.38045225230644</v>
      </c>
      <c r="BI160" s="59">
        <f ca="1">AVERAGE(OFFSET($BH$3,0,0,'Données projet'!$E$11+1,1))-AVERAGE(OFFSET($H$3,0,0,'Données projet'!$E$11+1,1))</f>
        <v>289.06522051625166</v>
      </c>
      <c r="BJ160" s="59">
        <f t="shared" si="146"/>
        <v>173.19148969173838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234.00000000000045</v>
      </c>
      <c r="BZ160" s="13">
        <f>BY160*VLOOKUP('Données projet'!$B$12,Paramètres!$A$1:$I$89,3,0)*VLOOKUP('Données projet'!$B$12,Paramètres!$A$1:$I$89,5,0)</f>
        <v>189.82080000000036</v>
      </c>
      <c r="CA160" s="13">
        <f t="shared" si="170"/>
        <v>47.500332100049881</v>
      </c>
      <c r="CB160" s="20">
        <f t="shared" si="171"/>
        <v>413.33430507425419</v>
      </c>
      <c r="CC160" s="59">
        <f t="shared" si="119"/>
        <v>700.79291600084071</v>
      </c>
      <c r="CD160" s="59">
        <f ca="1">AVERAGE(OFFSET($CC$3,0,0,'Données projet'!$E$12+1,1))-AVERAGE(OFFSET($H$3,0,0,'Données projet'!$E$12+1,1))</f>
        <v>306.06916761900357</v>
      </c>
      <c r="CE160" s="59">
        <f t="shared" si="148"/>
        <v>258.90832875500337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1.3752726160507604E-20</v>
      </c>
      <c r="CN160" s="22">
        <f t="shared" si="172"/>
        <v>1.3752726160507604E-20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275.00000000000057</v>
      </c>
      <c r="CU160" s="17">
        <f>CT160*VLOOKUP('Données projet'!$B$13,Paramètres!$A$1:$I$89,3,0)*VLOOKUP('Données projet'!$B$13,Paramètres!$A$1:$I$89,5,0)</f>
        <v>184.4700000000004</v>
      </c>
      <c r="CV160" s="13">
        <f t="shared" si="173"/>
        <v>46.31525458251663</v>
      </c>
      <c r="CW160" s="20">
        <f t="shared" si="174"/>
        <v>401.95098506455048</v>
      </c>
      <c r="CX160" s="59">
        <f t="shared" si="122"/>
        <v>689.40959599113705</v>
      </c>
      <c r="CY160" s="59">
        <f ca="1">AVERAGE(OFFSET($CX$3,0,0,'Données projet'!$E$13+1,1))-AVERAGE(OFFSET($H$3,0,0,'Données projet'!$E$13+1,1))</f>
        <v>324.58754156328285</v>
      </c>
      <c r="CZ160" s="59">
        <f t="shared" si="150"/>
        <v>226.01037731977604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8.3397941973334538E-21</v>
      </c>
      <c r="DI160" s="22">
        <f t="shared" si="175"/>
        <v>8.3397941973334538E-21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3.4106051316484809E-13</v>
      </c>
      <c r="DP160" s="17">
        <f>DO160*VLOOKUP('Données projet'!$B$14,Paramètres!$A$1:$I$89,3,0)*VLOOKUP('Données projet'!$B$14,Paramètres!$A$1:$I$89,5,0)</f>
        <v>1.5961632016114892E-13</v>
      </c>
      <c r="DQ160" s="13">
        <f t="shared" si="176"/>
        <v>2.2708641912150958E-12</v>
      </c>
      <c r="DR160" s="20">
        <f t="shared" si="177"/>
        <v>4.2330868906469593E-12</v>
      </c>
      <c r="DS160" s="59">
        <f t="shared" si="125"/>
        <v>287.45861092659078</v>
      </c>
      <c r="DT160" s="59">
        <f ca="1">AVERAGE(OFFSET($DS$3,0,0,'Données projet'!$E$14+1,1))-AVERAGE(OFFSET($H$3,0,0,'Données projet'!$E$14+1,1))</f>
        <v>325.93182817189722</v>
      </c>
      <c r="DU160" s="59">
        <f t="shared" si="152"/>
        <v>280.04509991782709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5.6843418860808015E-14</v>
      </c>
      <c r="EK160" s="17">
        <f>EJ160*VLOOKUP('Données projet'!$B$15,Paramètres!$A$1:$I$89,3,0)*VLOOKUP('Données projet'!$B$15,Paramètres!$A$1:$I$89,5,0)</f>
        <v>4.5224624045658861E-14</v>
      </c>
      <c r="EL160" s="13">
        <f t="shared" si="179"/>
        <v>7.4514601661523691E-13</v>
      </c>
      <c r="EM160" s="20">
        <f t="shared" si="180"/>
        <v>1.3765621991510601E-12</v>
      </c>
      <c r="EN160" s="59">
        <f t="shared" si="128"/>
        <v>287.45861092658794</v>
      </c>
      <c r="EO160" s="59">
        <f ca="1">AVERAGE(OFFSET($EN$3,0,0,'Données projet'!$E$15+1,1))-AVERAGE(OFFSET($H$3,0,0,'Données projet'!$E$15+1,1))</f>
        <v>333.52903437536651</v>
      </c>
      <c r="EP160" s="59">
        <f t="shared" si="154"/>
        <v>359.47288701414777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0.11183261606025924</v>
      </c>
      <c r="EX160" s="21">
        <f>EXP(-LN(2)/2)*EX159+(1-EXP(-LN(2)/2))/(LN(2)/2)*ER160*EU160*VLOOKUP('Données projet'!$B$15,Paramètres!$A$1:$I$89,3,0)*0.475*44/12</f>
        <v>1.9333159275636644E-20</v>
      </c>
      <c r="EY160" s="22">
        <f t="shared" si="181"/>
        <v>0.11183261606025924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-2.8421709430404007E-13</v>
      </c>
      <c r="FF160" s="17">
        <f>FE160*VLOOKUP('Données projet'!$B$16,Paramètres!$A$1:$I$89,3,0)*VLOOKUP('Données projet'!$B$16,Paramètres!$A$1:$I$89,5,0)</f>
        <v>-1.69961822393816E-13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313.26988717307376</v>
      </c>
      <c r="FK160" s="59">
        <f t="shared" si="156"/>
        <v>248.17359813993201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0.18845847258586185</v>
      </c>
      <c r="FR160" s="21">
        <f>EXP(-LN(2)/25)*FR159+(1-EXP(-LN(2)/25))/(LN(2)/25)*Calculateur!FM160*Calculateur!FO160*VLOOKUP('Données projet'!$B$16,Paramètres!$A$1:$I$89,3,0)*0.475*44/12</f>
        <v>0.22289215433138845</v>
      </c>
      <c r="FS160" s="21">
        <f>EXP(-LN(2)/2)*FS159+(1-EXP(-LN(2)/2))/(LN(2)/2)*FM160*FP160*VLOOKUP('Données projet'!$B$16,Paramètres!$A$1:$I$89,3,0)*0.475*44/12</f>
        <v>3.227809187597977E-19</v>
      </c>
      <c r="FT160" s="22">
        <f t="shared" si="184"/>
        <v>0.41135062691725033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181.00000000000009</v>
      </c>
      <c r="GA160" s="17">
        <f>FZ160*VLOOKUP('Données projet'!$B$17,Paramètres!$A$1:$I$89,3,0)*VLOOKUP('Données projet'!$B$17,Paramètres!$A$1:$I$89,5,0)</f>
        <v>194.82840000000007</v>
      </c>
      <c r="GB160" s="13">
        <f t="shared" si="185"/>
        <v>48.605879434898576</v>
      </c>
      <c r="GC160" s="20">
        <f t="shared" si="186"/>
        <v>423.98137001578181</v>
      </c>
      <c r="GD160" s="59">
        <f t="shared" si="134"/>
        <v>711.43998094236838</v>
      </c>
      <c r="GE160" s="59">
        <f ca="1">AVERAGE(OFFSET($GD$3,0,0,'Données projet'!$E$17+1,1))-AVERAGE(OFFSET($H$3,0,0,'Données projet'!$E$17+1,1))</f>
        <v>313.51355235711543</v>
      </c>
      <c r="GF160" s="59">
        <f t="shared" si="158"/>
        <v>186.0840067781198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0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0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275.00000000000057</v>
      </c>
      <c r="O161" s="13">
        <f>N161*VLOOKUP('Données projet'!$B$9,Paramètres!$A$1:$I$89,3,0)*VLOOKUP('Données projet'!$B$9,Paramètres!$A$1:$I$89,5,0)</f>
        <v>278.85000000000059</v>
      </c>
      <c r="P161" s="13">
        <f t="shared" si="141"/>
        <v>66.723922641153095</v>
      </c>
      <c r="Q161" s="20">
        <f t="shared" si="162"/>
        <v>601.8745819333426</v>
      </c>
      <c r="R161" s="59">
        <f t="shared" si="109"/>
        <v>889.43510615977459</v>
      </c>
      <c r="S161" s="59">
        <f ca="1">AVERAGE(OFFSET($R$3,0,0,'Données projet'!$E$9+1,1))-AVERAGE(OFFSET($H$3,0,0,'Données projet'!$E$9+1,1))</f>
        <v>452.67426184967104</v>
      </c>
      <c r="T161" s="59">
        <f t="shared" si="142"/>
        <v>310.47823616327639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-3.979039320256561E-13</v>
      </c>
      <c r="AJ161" s="13">
        <f>AI161*VLOOKUP('Données projet'!$B$10,Paramètres!$A$1:$I$89,3,0)*VLOOKUP('Données projet'!$B$10,Paramètres!$A$1:$I$89,5,0)</f>
        <v>-4.158891897532158E-13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528.45201982036087</v>
      </c>
      <c r="AO161" s="59">
        <f t="shared" si="144"/>
        <v>321.23004033257985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5.3546291680561239E-21</v>
      </c>
      <c r="AX161" s="21">
        <f t="shared" si="166"/>
        <v>5.3546291680561239E-21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181.00000000000009</v>
      </c>
      <c r="BE161" s="13">
        <f>BD161*VLOOKUP('Données projet'!$B$11,Paramètres!$A$1:$I$89,3,0)*VLOOKUP('Données projet'!$B$11,Paramètres!$A$1:$I$89,5,0)</f>
        <v>175.06320000000008</v>
      </c>
      <c r="BF161" s="13">
        <f t="shared" si="167"/>
        <v>44.222067746824763</v>
      </c>
      <c r="BG161" s="20">
        <f t="shared" si="168"/>
        <v>381.92184132571992</v>
      </c>
      <c r="BH161" s="59">
        <f t="shared" si="116"/>
        <v>669.48236555215192</v>
      </c>
      <c r="BI161" s="59">
        <f ca="1">AVERAGE(OFFSET($BH$3,0,0,'Données projet'!$E$11+1,1))-AVERAGE(OFFSET($H$3,0,0,'Données projet'!$E$11+1,1))</f>
        <v>289.06522051625166</v>
      </c>
      <c r="BJ161" s="59">
        <f t="shared" si="146"/>
        <v>173.19148969173838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234.00000000000045</v>
      </c>
      <c r="BZ161" s="13">
        <f>BY161*VLOOKUP('Données projet'!$B$12,Paramètres!$A$1:$I$89,3,0)*VLOOKUP('Données projet'!$B$12,Paramètres!$A$1:$I$89,5,0)</f>
        <v>189.82080000000036</v>
      </c>
      <c r="CA161" s="13">
        <f t="shared" si="170"/>
        <v>47.500332100049881</v>
      </c>
      <c r="CB161" s="20">
        <f t="shared" si="171"/>
        <v>413.33430507425419</v>
      </c>
      <c r="CC161" s="59">
        <f t="shared" si="119"/>
        <v>700.89482930068618</v>
      </c>
      <c r="CD161" s="59">
        <f ca="1">AVERAGE(OFFSET($CC$3,0,0,'Données projet'!$E$12+1,1))-AVERAGE(OFFSET($H$3,0,0,'Données projet'!$E$12+1,1))</f>
        <v>306.06916761900357</v>
      </c>
      <c r="CE161" s="59">
        <f t="shared" si="148"/>
        <v>258.90832875500337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9.7246459278965585E-21</v>
      </c>
      <c r="CN161" s="22">
        <f t="shared" si="172"/>
        <v>9.7246459278965585E-21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275.00000000000057</v>
      </c>
      <c r="CU161" s="17">
        <f>CT161*VLOOKUP('Données projet'!$B$13,Paramètres!$A$1:$I$89,3,0)*VLOOKUP('Données projet'!$B$13,Paramètres!$A$1:$I$89,5,0)</f>
        <v>184.4700000000004</v>
      </c>
      <c r="CV161" s="13">
        <f t="shared" si="173"/>
        <v>46.31525458251663</v>
      </c>
      <c r="CW161" s="20">
        <f t="shared" si="174"/>
        <v>401.95098506455048</v>
      </c>
      <c r="CX161" s="59">
        <f t="shared" si="122"/>
        <v>689.51150929098253</v>
      </c>
      <c r="CY161" s="59">
        <f ca="1">AVERAGE(OFFSET($CX$3,0,0,'Données projet'!$E$13+1,1))-AVERAGE(OFFSET($H$3,0,0,'Données projet'!$E$13+1,1))</f>
        <v>324.58754156328285</v>
      </c>
      <c r="CZ161" s="59">
        <f t="shared" si="150"/>
        <v>226.01037731977604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5.8971250306347053E-21</v>
      </c>
      <c r="DI161" s="22">
        <f t="shared" si="175"/>
        <v>5.8971250306347053E-21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3.4106051316484809E-13</v>
      </c>
      <c r="DP161" s="17">
        <f>DO161*VLOOKUP('Données projet'!$B$14,Paramètres!$A$1:$I$89,3,0)*VLOOKUP('Données projet'!$B$14,Paramètres!$A$1:$I$89,5,0)</f>
        <v>1.5961632016114892E-13</v>
      </c>
      <c r="DQ161" s="13">
        <f t="shared" si="176"/>
        <v>2.2708641912150958E-12</v>
      </c>
      <c r="DR161" s="20">
        <f t="shared" si="177"/>
        <v>4.2330868906469593E-12</v>
      </c>
      <c r="DS161" s="59">
        <f t="shared" si="125"/>
        <v>287.5605242264362</v>
      </c>
      <c r="DT161" s="59">
        <f ca="1">AVERAGE(OFFSET($DS$3,0,0,'Données projet'!$E$14+1,1))-AVERAGE(OFFSET($H$3,0,0,'Données projet'!$E$14+1,1))</f>
        <v>325.93182817189722</v>
      </c>
      <c r="DU161" s="59">
        <f t="shared" si="152"/>
        <v>280.04509991782709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5.6843418860808015E-14</v>
      </c>
      <c r="EK161" s="17">
        <f>EJ161*VLOOKUP('Données projet'!$B$15,Paramètres!$A$1:$I$89,3,0)*VLOOKUP('Données projet'!$B$15,Paramètres!$A$1:$I$89,5,0)</f>
        <v>4.5224624045658861E-14</v>
      </c>
      <c r="EL161" s="13">
        <f t="shared" si="179"/>
        <v>7.4514601661523691E-13</v>
      </c>
      <c r="EM161" s="20">
        <f t="shared" si="180"/>
        <v>1.3765621991510601E-12</v>
      </c>
      <c r="EN161" s="59">
        <f t="shared" si="128"/>
        <v>287.56052422643336</v>
      </c>
      <c r="EO161" s="59">
        <f ca="1">AVERAGE(OFFSET($EN$3,0,0,'Données projet'!$E$15+1,1))-AVERAGE(OFFSET($H$3,0,0,'Données projet'!$E$15+1,1))</f>
        <v>333.52903437536651</v>
      </c>
      <c r="EP161" s="59">
        <f t="shared" si="154"/>
        <v>359.47288701414777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0.10877454729306976</v>
      </c>
      <c r="EX161" s="21">
        <f>EXP(-LN(2)/2)*EX160+(1-EXP(-LN(2)/2))/(LN(2)/2)*ER161*EU161*VLOOKUP('Données projet'!$B$15,Paramètres!$A$1:$I$89,3,0)*0.475*44/12</f>
        <v>1.3670608025562271E-20</v>
      </c>
      <c r="EY161" s="22">
        <f t="shared" si="181"/>
        <v>0.10877454729306976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-2.8421709430404007E-13</v>
      </c>
      <c r="FF161" s="17">
        <f>FE161*VLOOKUP('Données projet'!$B$16,Paramètres!$A$1:$I$89,3,0)*VLOOKUP('Données projet'!$B$16,Paramètres!$A$1:$I$89,5,0)</f>
        <v>-1.69961822393816E-13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313.26988717307376</v>
      </c>
      <c r="FK161" s="59">
        <f t="shared" si="156"/>
        <v>248.17359813993201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0.18476291688677118</v>
      </c>
      <c r="FR161" s="21">
        <f>EXP(-LN(2)/25)*FR160+(1-EXP(-LN(2)/25))/(LN(2)/25)*Calculateur!FM161*Calculateur!FO161*VLOOKUP('Données projet'!$B$16,Paramètres!$A$1:$I$89,3,0)*0.475*44/12</f>
        <v>0.21679715664980767</v>
      </c>
      <c r="FS161" s="21">
        <f>EXP(-LN(2)/2)*FS160+(1-EXP(-LN(2)/2))/(LN(2)/2)*FM161*FP161*VLOOKUP('Données projet'!$B$16,Paramètres!$A$1:$I$89,3,0)*0.475*44/12</f>
        <v>2.2824057649267704E-19</v>
      </c>
      <c r="FT161" s="22">
        <f t="shared" si="184"/>
        <v>0.40156007353657885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181.00000000000009</v>
      </c>
      <c r="GA161" s="17">
        <f>FZ161*VLOOKUP('Données projet'!$B$17,Paramètres!$A$1:$I$89,3,0)*VLOOKUP('Données projet'!$B$17,Paramètres!$A$1:$I$89,5,0)</f>
        <v>194.82840000000007</v>
      </c>
      <c r="GB161" s="13">
        <f t="shared" si="185"/>
        <v>48.605879434898576</v>
      </c>
      <c r="GC161" s="20">
        <f t="shared" si="186"/>
        <v>423.98137001578181</v>
      </c>
      <c r="GD161" s="59">
        <f t="shared" si="134"/>
        <v>711.54189424221386</v>
      </c>
      <c r="GE161" s="59">
        <f ca="1">AVERAGE(OFFSET($GD$3,0,0,'Données projet'!$E$17+1,1))-AVERAGE(OFFSET($H$3,0,0,'Données projet'!$E$17+1,1))</f>
        <v>313.51355235711543</v>
      </c>
      <c r="GF161" s="59">
        <f t="shared" si="158"/>
        <v>186.0840067781198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0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0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275.00000000000057</v>
      </c>
      <c r="O162" s="13">
        <f>N162*VLOOKUP('Données projet'!$B$9,Paramètres!$A$1:$I$89,3,0)*VLOOKUP('Données projet'!$B$9,Paramètres!$A$1:$I$89,5,0)</f>
        <v>278.85000000000059</v>
      </c>
      <c r="P162" s="13">
        <f t="shared" si="141"/>
        <v>66.723922641153095</v>
      </c>
      <c r="Q162" s="20">
        <f t="shared" si="162"/>
        <v>601.8745819333426</v>
      </c>
      <c r="R162" s="59">
        <f t="shared" si="109"/>
        <v>889.53525149171151</v>
      </c>
      <c r="S162" s="59">
        <f ca="1">AVERAGE(OFFSET($R$3,0,0,'Données projet'!$E$9+1,1))-AVERAGE(OFFSET($H$3,0,0,'Données projet'!$E$9+1,1))</f>
        <v>452.67426184967104</v>
      </c>
      <c r="T162" s="59">
        <f t="shared" si="142"/>
        <v>310.47823616327639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-3.979039320256561E-13</v>
      </c>
      <c r="AJ162" s="13">
        <f>AI162*VLOOKUP('Données projet'!$B$10,Paramètres!$A$1:$I$89,3,0)*VLOOKUP('Données projet'!$B$10,Paramètres!$A$1:$I$89,5,0)</f>
        <v>-4.158891897532158E-13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528.45201982036087</v>
      </c>
      <c r="AO162" s="59">
        <f t="shared" si="144"/>
        <v>321.23004033257985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3.7862945954717665E-21</v>
      </c>
      <c r="AX162" s="21">
        <f t="shared" si="166"/>
        <v>3.7862945954717665E-21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181.00000000000009</v>
      </c>
      <c r="BE162" s="13">
        <f>BD162*VLOOKUP('Données projet'!$B$11,Paramètres!$A$1:$I$89,3,0)*VLOOKUP('Données projet'!$B$11,Paramètres!$A$1:$I$89,5,0)</f>
        <v>175.06320000000008</v>
      </c>
      <c r="BF162" s="13">
        <f t="shared" si="167"/>
        <v>44.222067746824763</v>
      </c>
      <c r="BG162" s="20">
        <f t="shared" si="168"/>
        <v>381.92184132571992</v>
      </c>
      <c r="BH162" s="59">
        <f t="shared" si="116"/>
        <v>669.58251088408883</v>
      </c>
      <c r="BI162" s="59">
        <f ca="1">AVERAGE(OFFSET($BH$3,0,0,'Données projet'!$E$11+1,1))-AVERAGE(OFFSET($H$3,0,0,'Données projet'!$E$11+1,1))</f>
        <v>289.06522051625166</v>
      </c>
      <c r="BJ162" s="59">
        <f t="shared" si="146"/>
        <v>173.19148969173838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234.00000000000045</v>
      </c>
      <c r="BZ162" s="13">
        <f>BY162*VLOOKUP('Données projet'!$B$12,Paramètres!$A$1:$I$89,3,0)*VLOOKUP('Données projet'!$B$12,Paramètres!$A$1:$I$89,5,0)</f>
        <v>189.82080000000036</v>
      </c>
      <c r="CA162" s="13">
        <f t="shared" si="170"/>
        <v>47.500332100049881</v>
      </c>
      <c r="CB162" s="20">
        <f t="shared" si="171"/>
        <v>413.33430507425419</v>
      </c>
      <c r="CC162" s="59">
        <f t="shared" si="119"/>
        <v>700.9949746326231</v>
      </c>
      <c r="CD162" s="59">
        <f ca="1">AVERAGE(OFFSET($CC$3,0,0,'Données projet'!$E$12+1,1))-AVERAGE(OFFSET($H$3,0,0,'Données projet'!$E$12+1,1))</f>
        <v>306.06916761900357</v>
      </c>
      <c r="CE162" s="59">
        <f t="shared" si="148"/>
        <v>258.90832875500337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6.8763630802538021E-21</v>
      </c>
      <c r="CN162" s="22">
        <f t="shared" si="172"/>
        <v>6.8763630802538021E-21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275.00000000000057</v>
      </c>
      <c r="CU162" s="17">
        <f>CT162*VLOOKUP('Données projet'!$B$13,Paramètres!$A$1:$I$89,3,0)*VLOOKUP('Données projet'!$B$13,Paramètres!$A$1:$I$89,5,0)</f>
        <v>184.4700000000004</v>
      </c>
      <c r="CV162" s="13">
        <f t="shared" si="173"/>
        <v>46.31525458251663</v>
      </c>
      <c r="CW162" s="20">
        <f t="shared" si="174"/>
        <v>401.95098506455048</v>
      </c>
      <c r="CX162" s="59">
        <f t="shared" si="122"/>
        <v>689.61165462291945</v>
      </c>
      <c r="CY162" s="59">
        <f ca="1">AVERAGE(OFFSET($CX$3,0,0,'Données projet'!$E$13+1,1))-AVERAGE(OFFSET($H$3,0,0,'Données projet'!$E$13+1,1))</f>
        <v>324.58754156328285</v>
      </c>
      <c r="CZ162" s="59">
        <f t="shared" si="150"/>
        <v>226.01037731977604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4.1698970986667269E-21</v>
      </c>
      <c r="DI162" s="22">
        <f t="shared" si="175"/>
        <v>4.1698970986667269E-21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3.4106051316484809E-13</v>
      </c>
      <c r="DP162" s="17">
        <f>DO162*VLOOKUP('Données projet'!$B$14,Paramètres!$A$1:$I$89,3,0)*VLOOKUP('Données projet'!$B$14,Paramètres!$A$1:$I$89,5,0)</f>
        <v>1.5961632016114892E-13</v>
      </c>
      <c r="DQ162" s="13">
        <f t="shared" si="176"/>
        <v>2.2708641912150958E-12</v>
      </c>
      <c r="DR162" s="20">
        <f t="shared" si="177"/>
        <v>4.2330868906469593E-12</v>
      </c>
      <c r="DS162" s="59">
        <f t="shared" si="125"/>
        <v>287.66066955837317</v>
      </c>
      <c r="DT162" s="59">
        <f ca="1">AVERAGE(OFFSET($DS$3,0,0,'Données projet'!$E$14+1,1))-AVERAGE(OFFSET($H$3,0,0,'Données projet'!$E$14+1,1))</f>
        <v>325.93182817189722</v>
      </c>
      <c r="DU162" s="59">
        <f t="shared" si="152"/>
        <v>280.04509991782709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5.6843418860808015E-14</v>
      </c>
      <c r="EK162" s="17">
        <f>EJ162*VLOOKUP('Données projet'!$B$15,Paramètres!$A$1:$I$89,3,0)*VLOOKUP('Données projet'!$B$15,Paramètres!$A$1:$I$89,5,0)</f>
        <v>4.5224624045658861E-14</v>
      </c>
      <c r="EL162" s="13">
        <f t="shared" si="179"/>
        <v>7.4514601661523691E-13</v>
      </c>
      <c r="EM162" s="20">
        <f t="shared" si="180"/>
        <v>1.3765621991510601E-12</v>
      </c>
      <c r="EN162" s="59">
        <f t="shared" si="128"/>
        <v>287.66066955837033</v>
      </c>
      <c r="EO162" s="59">
        <f ca="1">AVERAGE(OFFSET($EN$3,0,0,'Données projet'!$E$15+1,1))-AVERAGE(OFFSET($H$3,0,0,'Données projet'!$E$15+1,1))</f>
        <v>333.52903437536651</v>
      </c>
      <c r="EP162" s="59">
        <f t="shared" si="154"/>
        <v>359.47288701414777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0.10580010157713593</v>
      </c>
      <c r="EX162" s="21">
        <f>EXP(-LN(2)/2)*EX161+(1-EXP(-LN(2)/2))/(LN(2)/2)*ER162*EU162*VLOOKUP('Données projet'!$B$15,Paramètres!$A$1:$I$89,3,0)*0.475*44/12</f>
        <v>9.6665796378183219E-21</v>
      </c>
      <c r="EY162" s="22">
        <f t="shared" si="181"/>
        <v>0.10580010157713593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-2.8421709430404007E-13</v>
      </c>
      <c r="FF162" s="17">
        <f>FE162*VLOOKUP('Données projet'!$B$16,Paramètres!$A$1:$I$89,3,0)*VLOOKUP('Données projet'!$B$16,Paramètres!$A$1:$I$89,5,0)</f>
        <v>-1.69961822393816E-13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313.26988717307376</v>
      </c>
      <c r="FK162" s="59">
        <f t="shared" si="156"/>
        <v>248.17359813993201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0.18113982878087326</v>
      </c>
      <c r="FR162" s="21">
        <f>EXP(-LN(2)/25)*FR161+(1-EXP(-LN(2)/25))/(LN(2)/25)*Calculateur!FM162*Calculateur!FO162*VLOOKUP('Données projet'!$B$16,Paramètres!$A$1:$I$89,3,0)*0.475*44/12</f>
        <v>0.2108688270003517</v>
      </c>
      <c r="FS162" s="21">
        <f>EXP(-LN(2)/2)*FS161+(1-EXP(-LN(2)/2))/(LN(2)/2)*FM162*FP162*VLOOKUP('Données projet'!$B$16,Paramètres!$A$1:$I$89,3,0)*0.475*44/12</f>
        <v>1.6139045937989885E-19</v>
      </c>
      <c r="FT162" s="22">
        <f t="shared" si="184"/>
        <v>0.39200865578122496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181.00000000000009</v>
      </c>
      <c r="GA162" s="17">
        <f>FZ162*VLOOKUP('Données projet'!$B$17,Paramètres!$A$1:$I$89,3,0)*VLOOKUP('Données projet'!$B$17,Paramètres!$A$1:$I$89,5,0)</f>
        <v>194.82840000000007</v>
      </c>
      <c r="GB162" s="13">
        <f t="shared" si="185"/>
        <v>48.605879434898576</v>
      </c>
      <c r="GC162" s="20">
        <f t="shared" si="186"/>
        <v>423.98137001578181</v>
      </c>
      <c r="GD162" s="59">
        <f t="shared" si="134"/>
        <v>711.64203957415077</v>
      </c>
      <c r="GE162" s="59">
        <f ca="1">AVERAGE(OFFSET($GD$3,0,0,'Données projet'!$E$17+1,1))-AVERAGE(OFFSET($H$3,0,0,'Données projet'!$E$17+1,1))</f>
        <v>313.51355235711543</v>
      </c>
      <c r="GF162" s="59">
        <f t="shared" si="158"/>
        <v>186.0840067781198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0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0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275.00000000000057</v>
      </c>
      <c r="O163" s="13">
        <f>N163*VLOOKUP('Données projet'!$B$9,Paramètres!$A$1:$I$89,3,0)*VLOOKUP('Données projet'!$B$9,Paramètres!$A$1:$I$89,5,0)</f>
        <v>278.85000000000059</v>
      </c>
      <c r="P163" s="13">
        <f t="shared" si="141"/>
        <v>66.723922641153095</v>
      </c>
      <c r="Q163" s="20">
        <f t="shared" si="162"/>
        <v>601.8745819333426</v>
      </c>
      <c r="R163" s="59">
        <f t="shared" si="109"/>
        <v>889.6336595260309</v>
      </c>
      <c r="S163" s="59">
        <f ca="1">AVERAGE(OFFSET($R$3,0,0,'Données projet'!$E$9+1,1))-AVERAGE(OFFSET($H$3,0,0,'Données projet'!$E$9+1,1))</f>
        <v>452.67426184967104</v>
      </c>
      <c r="T163" s="59">
        <f t="shared" si="142"/>
        <v>310.47823616327639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-3.979039320256561E-13</v>
      </c>
      <c r="AJ163" s="13">
        <f>AI163*VLOOKUP('Données projet'!$B$10,Paramètres!$A$1:$I$89,3,0)*VLOOKUP('Données projet'!$B$10,Paramètres!$A$1:$I$89,5,0)</f>
        <v>-4.158891897532158E-13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528.45201982036087</v>
      </c>
      <c r="AO163" s="59">
        <f t="shared" si="144"/>
        <v>321.23004033257985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2.6773145840280619E-21</v>
      </c>
      <c r="AX163" s="21">
        <f t="shared" si="166"/>
        <v>2.6773145840280619E-21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181.00000000000009</v>
      </c>
      <c r="BE163" s="13">
        <f>BD163*VLOOKUP('Données projet'!$B$11,Paramètres!$A$1:$I$89,3,0)*VLOOKUP('Données projet'!$B$11,Paramètres!$A$1:$I$89,5,0)</f>
        <v>175.06320000000008</v>
      </c>
      <c r="BF163" s="13">
        <f t="shared" si="167"/>
        <v>44.222067746824763</v>
      </c>
      <c r="BG163" s="20">
        <f t="shared" si="168"/>
        <v>381.92184132571992</v>
      </c>
      <c r="BH163" s="59">
        <f t="shared" si="116"/>
        <v>669.68091891840822</v>
      </c>
      <c r="BI163" s="59">
        <f ca="1">AVERAGE(OFFSET($BH$3,0,0,'Données projet'!$E$11+1,1))-AVERAGE(OFFSET($H$3,0,0,'Données projet'!$E$11+1,1))</f>
        <v>289.06522051625166</v>
      </c>
      <c r="BJ163" s="59">
        <f t="shared" si="146"/>
        <v>173.19148969173838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234.00000000000045</v>
      </c>
      <c r="BZ163" s="13">
        <f>BY163*VLOOKUP('Données projet'!$B$12,Paramètres!$A$1:$I$89,3,0)*VLOOKUP('Données projet'!$B$12,Paramètres!$A$1:$I$89,5,0)</f>
        <v>189.82080000000036</v>
      </c>
      <c r="CA163" s="13">
        <f t="shared" si="170"/>
        <v>47.500332100049881</v>
      </c>
      <c r="CB163" s="20">
        <f t="shared" si="171"/>
        <v>413.33430507425419</v>
      </c>
      <c r="CC163" s="59">
        <f t="shared" si="119"/>
        <v>701.09338266694249</v>
      </c>
      <c r="CD163" s="59">
        <f ca="1">AVERAGE(OFFSET($CC$3,0,0,'Données projet'!$E$12+1,1))-AVERAGE(OFFSET($H$3,0,0,'Données projet'!$E$12+1,1))</f>
        <v>306.06916761900357</v>
      </c>
      <c r="CE163" s="59">
        <f t="shared" si="148"/>
        <v>258.90832875500337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4.8623229639482793E-21</v>
      </c>
      <c r="CN163" s="22">
        <f t="shared" si="172"/>
        <v>4.8623229639482793E-21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275.00000000000057</v>
      </c>
      <c r="CU163" s="17">
        <f>CT163*VLOOKUP('Données projet'!$B$13,Paramètres!$A$1:$I$89,3,0)*VLOOKUP('Données projet'!$B$13,Paramètres!$A$1:$I$89,5,0)</f>
        <v>184.4700000000004</v>
      </c>
      <c r="CV163" s="13">
        <f t="shared" si="173"/>
        <v>46.31525458251663</v>
      </c>
      <c r="CW163" s="20">
        <f t="shared" si="174"/>
        <v>401.95098506455048</v>
      </c>
      <c r="CX163" s="59">
        <f t="shared" si="122"/>
        <v>689.71006265723884</v>
      </c>
      <c r="CY163" s="59">
        <f ca="1">AVERAGE(OFFSET($CX$3,0,0,'Données projet'!$E$13+1,1))-AVERAGE(OFFSET($H$3,0,0,'Données projet'!$E$13+1,1))</f>
        <v>324.58754156328285</v>
      </c>
      <c r="CZ163" s="59">
        <f t="shared" si="150"/>
        <v>226.01037731977604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2.9485625153173527E-21</v>
      </c>
      <c r="DI163" s="22">
        <f t="shared" si="175"/>
        <v>2.9485625153173527E-21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3.4106051316484809E-13</v>
      </c>
      <c r="DP163" s="17">
        <f>DO163*VLOOKUP('Données projet'!$B$14,Paramètres!$A$1:$I$89,3,0)*VLOOKUP('Données projet'!$B$14,Paramètres!$A$1:$I$89,5,0)</f>
        <v>1.5961632016114892E-13</v>
      </c>
      <c r="DQ163" s="13">
        <f t="shared" si="176"/>
        <v>2.2708641912150958E-12</v>
      </c>
      <c r="DR163" s="20">
        <f t="shared" si="177"/>
        <v>4.2330868906469593E-12</v>
      </c>
      <c r="DS163" s="59">
        <f t="shared" si="125"/>
        <v>287.75907759269256</v>
      </c>
      <c r="DT163" s="59">
        <f ca="1">AVERAGE(OFFSET($DS$3,0,0,'Données projet'!$E$14+1,1))-AVERAGE(OFFSET($H$3,0,0,'Données projet'!$E$14+1,1))</f>
        <v>325.93182817189722</v>
      </c>
      <c r="DU163" s="59">
        <f t="shared" si="152"/>
        <v>280.04509991782709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5.6843418860808015E-14</v>
      </c>
      <c r="EK163" s="17">
        <f>EJ163*VLOOKUP('Données projet'!$B$15,Paramètres!$A$1:$I$89,3,0)*VLOOKUP('Données projet'!$B$15,Paramètres!$A$1:$I$89,5,0)</f>
        <v>4.5224624045658861E-14</v>
      </c>
      <c r="EL163" s="13">
        <f t="shared" si="179"/>
        <v>7.4514601661523691E-13</v>
      </c>
      <c r="EM163" s="20">
        <f t="shared" si="180"/>
        <v>1.3765621991510601E-12</v>
      </c>
      <c r="EN163" s="59">
        <f t="shared" si="128"/>
        <v>287.75907759268972</v>
      </c>
      <c r="EO163" s="59">
        <f ca="1">AVERAGE(OFFSET($EN$3,0,0,'Données projet'!$E$15+1,1))-AVERAGE(OFFSET($H$3,0,0,'Données projet'!$E$15+1,1))</f>
        <v>333.52903437536651</v>
      </c>
      <c r="EP163" s="59">
        <f t="shared" si="154"/>
        <v>359.47288701414777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0.10290699223572361</v>
      </c>
      <c r="EX163" s="21">
        <f>EXP(-LN(2)/2)*EX162+(1-EXP(-LN(2)/2))/(LN(2)/2)*ER163*EU163*VLOOKUP('Données projet'!$B$15,Paramètres!$A$1:$I$89,3,0)*0.475*44/12</f>
        <v>6.8353040127811357E-21</v>
      </c>
      <c r="EY163" s="22">
        <f t="shared" si="181"/>
        <v>0.10290699223572361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-2.8421709430404007E-13</v>
      </c>
      <c r="FF163" s="17">
        <f>FE163*VLOOKUP('Données projet'!$B$16,Paramètres!$A$1:$I$89,3,0)*VLOOKUP('Données projet'!$B$16,Paramètres!$A$1:$I$89,5,0)</f>
        <v>-1.69961822393816E-13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313.26988717307376</v>
      </c>
      <c r="FK163" s="59">
        <f t="shared" si="156"/>
        <v>248.17359813993201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0.17758778722286647</v>
      </c>
      <c r="FR163" s="21">
        <f>EXP(-LN(2)/25)*FR162+(1-EXP(-LN(2)/25))/(LN(2)/25)*Calculateur!FM163*Calculateur!FO163*VLOOKUP('Données projet'!$B$16,Paramètres!$A$1:$I$89,3,0)*0.475*44/12</f>
        <v>0.20510260783691742</v>
      </c>
      <c r="FS163" s="21">
        <f>EXP(-LN(2)/2)*FS162+(1-EXP(-LN(2)/2))/(LN(2)/2)*FM163*FP163*VLOOKUP('Données projet'!$B$16,Paramètres!$A$1:$I$89,3,0)*0.475*44/12</f>
        <v>1.1412028824633852E-19</v>
      </c>
      <c r="FT163" s="22">
        <f t="shared" si="184"/>
        <v>0.38269039505978386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181.00000000000009</v>
      </c>
      <c r="GA163" s="17">
        <f>FZ163*VLOOKUP('Données projet'!$B$17,Paramètres!$A$1:$I$89,3,0)*VLOOKUP('Données projet'!$B$17,Paramètres!$A$1:$I$89,5,0)</f>
        <v>194.82840000000007</v>
      </c>
      <c r="GB163" s="13">
        <f t="shared" si="185"/>
        <v>48.605879434898576</v>
      </c>
      <c r="GC163" s="20">
        <f t="shared" si="186"/>
        <v>423.98137001578181</v>
      </c>
      <c r="GD163" s="59">
        <f t="shared" si="134"/>
        <v>711.74044760847016</v>
      </c>
      <c r="GE163" s="59">
        <f ca="1">AVERAGE(OFFSET($GD$3,0,0,'Données projet'!$E$17+1,1))-AVERAGE(OFFSET($H$3,0,0,'Données projet'!$E$17+1,1))</f>
        <v>313.51355235711543</v>
      </c>
      <c r="GF163" s="59">
        <f t="shared" si="158"/>
        <v>186.0840067781198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0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0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275.00000000000057</v>
      </c>
      <c r="O164" s="13">
        <f>N164*VLOOKUP('Données projet'!$B$9,Paramètres!$A$1:$I$89,3,0)*VLOOKUP('Données projet'!$B$9,Paramètres!$A$1:$I$89,5,0)</f>
        <v>278.85000000000059</v>
      </c>
      <c r="P164" s="13">
        <f t="shared" si="141"/>
        <v>66.723922641153095</v>
      </c>
      <c r="Q164" s="20">
        <f t="shared" si="162"/>
        <v>601.8745819333426</v>
      </c>
      <c r="R164" s="59">
        <f t="shared" si="109"/>
        <v>889.73036040096235</v>
      </c>
      <c r="S164" s="59">
        <f ca="1">AVERAGE(OFFSET($R$3,0,0,'Données projet'!$E$9+1,1))-AVERAGE(OFFSET($H$3,0,0,'Données projet'!$E$9+1,1))</f>
        <v>452.67426184967104</v>
      </c>
      <c r="T164" s="59">
        <f t="shared" si="142"/>
        <v>310.47823616327639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-3.979039320256561E-13</v>
      </c>
      <c r="AJ164" s="13">
        <f>AI164*VLOOKUP('Données projet'!$B$10,Paramètres!$A$1:$I$89,3,0)*VLOOKUP('Données projet'!$B$10,Paramètres!$A$1:$I$89,5,0)</f>
        <v>-4.158891897532158E-13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528.45201982036087</v>
      </c>
      <c r="AO164" s="59">
        <f t="shared" si="144"/>
        <v>321.23004033257985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1.8931472977358833E-21</v>
      </c>
      <c r="AX164" s="21">
        <f t="shared" si="166"/>
        <v>1.8931472977358833E-21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181.00000000000009</v>
      </c>
      <c r="BE164" s="13">
        <f>BD164*VLOOKUP('Données projet'!$B$11,Paramètres!$A$1:$I$89,3,0)*VLOOKUP('Données projet'!$B$11,Paramètres!$A$1:$I$89,5,0)</f>
        <v>175.06320000000008</v>
      </c>
      <c r="BF164" s="13">
        <f t="shared" si="167"/>
        <v>44.222067746824763</v>
      </c>
      <c r="BG164" s="20">
        <f t="shared" si="168"/>
        <v>381.92184132571992</v>
      </c>
      <c r="BH164" s="59">
        <f t="shared" si="116"/>
        <v>669.77761979333968</v>
      </c>
      <c r="BI164" s="59">
        <f ca="1">AVERAGE(OFFSET($BH$3,0,0,'Données projet'!$E$11+1,1))-AVERAGE(OFFSET($H$3,0,0,'Données projet'!$E$11+1,1))</f>
        <v>289.06522051625166</v>
      </c>
      <c r="BJ164" s="59">
        <f t="shared" si="146"/>
        <v>173.19148969173838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234.00000000000045</v>
      </c>
      <c r="BZ164" s="13">
        <f>BY164*VLOOKUP('Données projet'!$B$12,Paramètres!$A$1:$I$89,3,0)*VLOOKUP('Données projet'!$B$12,Paramètres!$A$1:$I$89,5,0)</f>
        <v>189.82080000000036</v>
      </c>
      <c r="CA164" s="13">
        <f t="shared" si="170"/>
        <v>47.500332100049881</v>
      </c>
      <c r="CB164" s="20">
        <f t="shared" si="171"/>
        <v>413.33430507425419</v>
      </c>
      <c r="CC164" s="59">
        <f t="shared" si="119"/>
        <v>701.19008354187395</v>
      </c>
      <c r="CD164" s="59">
        <f ca="1">AVERAGE(OFFSET($CC$3,0,0,'Données projet'!$E$12+1,1))-AVERAGE(OFFSET($H$3,0,0,'Données projet'!$E$12+1,1))</f>
        <v>306.06916761900357</v>
      </c>
      <c r="CE164" s="59">
        <f t="shared" si="148"/>
        <v>258.90832875500337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3.4381815401269011E-21</v>
      </c>
      <c r="CN164" s="22">
        <f t="shared" si="172"/>
        <v>3.4381815401269011E-21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275.00000000000057</v>
      </c>
      <c r="CU164" s="17">
        <f>CT164*VLOOKUP('Données projet'!$B$13,Paramètres!$A$1:$I$89,3,0)*VLOOKUP('Données projet'!$B$13,Paramètres!$A$1:$I$89,5,0)</f>
        <v>184.4700000000004</v>
      </c>
      <c r="CV164" s="13">
        <f t="shared" si="173"/>
        <v>46.31525458251663</v>
      </c>
      <c r="CW164" s="20">
        <f t="shared" si="174"/>
        <v>401.95098506455048</v>
      </c>
      <c r="CX164" s="59">
        <f t="shared" si="122"/>
        <v>689.80676353217018</v>
      </c>
      <c r="CY164" s="59">
        <f ca="1">AVERAGE(OFFSET($CX$3,0,0,'Données projet'!$E$13+1,1))-AVERAGE(OFFSET($H$3,0,0,'Données projet'!$E$13+1,1))</f>
        <v>324.58754156328285</v>
      </c>
      <c r="CZ164" s="59">
        <f t="shared" si="150"/>
        <v>226.01037731977604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2.0849485493333635E-21</v>
      </c>
      <c r="DI164" s="22">
        <f t="shared" si="175"/>
        <v>2.0849485493333635E-21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3.4106051316484809E-13</v>
      </c>
      <c r="DP164" s="17">
        <f>DO164*VLOOKUP('Données projet'!$B$14,Paramètres!$A$1:$I$89,3,0)*VLOOKUP('Données projet'!$B$14,Paramètres!$A$1:$I$89,5,0)</f>
        <v>1.5961632016114892E-13</v>
      </c>
      <c r="DQ164" s="13">
        <f t="shared" si="176"/>
        <v>2.2708641912150958E-12</v>
      </c>
      <c r="DR164" s="20">
        <f t="shared" si="177"/>
        <v>4.2330868906469593E-12</v>
      </c>
      <c r="DS164" s="59">
        <f t="shared" si="125"/>
        <v>287.85577846762391</v>
      </c>
      <c r="DT164" s="59">
        <f ca="1">AVERAGE(OFFSET($DS$3,0,0,'Données projet'!$E$14+1,1))-AVERAGE(OFFSET($H$3,0,0,'Données projet'!$E$14+1,1))</f>
        <v>325.93182817189722</v>
      </c>
      <c r="DU164" s="59">
        <f t="shared" si="152"/>
        <v>280.04509991782709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5.6843418860808015E-14</v>
      </c>
      <c r="EK164" s="17">
        <f>EJ164*VLOOKUP('Données projet'!$B$15,Paramètres!$A$1:$I$89,3,0)*VLOOKUP('Données projet'!$B$15,Paramètres!$A$1:$I$89,5,0)</f>
        <v>4.5224624045658861E-14</v>
      </c>
      <c r="EL164" s="13">
        <f t="shared" si="179"/>
        <v>7.4514601661523691E-13</v>
      </c>
      <c r="EM164" s="20">
        <f t="shared" si="180"/>
        <v>1.3765621991510601E-12</v>
      </c>
      <c r="EN164" s="59">
        <f t="shared" si="128"/>
        <v>287.85577846762106</v>
      </c>
      <c r="EO164" s="59">
        <f ca="1">AVERAGE(OFFSET($EN$3,0,0,'Données projet'!$E$15+1,1))-AVERAGE(OFFSET($H$3,0,0,'Données projet'!$E$15+1,1))</f>
        <v>333.52903437536651</v>
      </c>
      <c r="EP164" s="59">
        <f t="shared" si="154"/>
        <v>359.47288701414777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0.10009299512139422</v>
      </c>
      <c r="EX164" s="21">
        <f>EXP(-LN(2)/2)*EX163+(1-EXP(-LN(2)/2))/(LN(2)/2)*ER164*EU164*VLOOKUP('Données projet'!$B$15,Paramètres!$A$1:$I$89,3,0)*0.475*44/12</f>
        <v>4.833289818909161E-21</v>
      </c>
      <c r="EY164" s="22">
        <f t="shared" si="181"/>
        <v>0.10009299512139422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-2.8421709430404007E-13</v>
      </c>
      <c r="FF164" s="17">
        <f>FE164*VLOOKUP('Données projet'!$B$16,Paramètres!$A$1:$I$89,3,0)*VLOOKUP('Données projet'!$B$16,Paramètres!$A$1:$I$89,5,0)</f>
        <v>-1.69961822393816E-13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313.26988717307376</v>
      </c>
      <c r="FK164" s="59">
        <f t="shared" si="156"/>
        <v>248.17359813993201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0.17410539903328076</v>
      </c>
      <c r="FR164" s="21">
        <f>EXP(-LN(2)/25)*FR163+(1-EXP(-LN(2)/25))/(LN(2)/25)*Calculateur!FM164*Calculateur!FO164*VLOOKUP('Données projet'!$B$16,Paramètres!$A$1:$I$89,3,0)*0.475*44/12</f>
        <v>0.19949406623973953</v>
      </c>
      <c r="FS164" s="21">
        <f>EXP(-LN(2)/2)*FS163+(1-EXP(-LN(2)/2))/(LN(2)/2)*FM164*FP164*VLOOKUP('Données projet'!$B$16,Paramètres!$A$1:$I$89,3,0)*0.475*44/12</f>
        <v>8.0695229689949425E-20</v>
      </c>
      <c r="FT164" s="22">
        <f t="shared" si="184"/>
        <v>0.37359946527302029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181.00000000000009</v>
      </c>
      <c r="GA164" s="17">
        <f>FZ164*VLOOKUP('Données projet'!$B$17,Paramètres!$A$1:$I$89,3,0)*VLOOKUP('Données projet'!$B$17,Paramètres!$A$1:$I$89,5,0)</f>
        <v>194.82840000000007</v>
      </c>
      <c r="GB164" s="13">
        <f t="shared" si="185"/>
        <v>48.605879434898576</v>
      </c>
      <c r="GC164" s="20">
        <f t="shared" si="186"/>
        <v>423.98137001578181</v>
      </c>
      <c r="GD164" s="59">
        <f t="shared" si="134"/>
        <v>711.83714848340151</v>
      </c>
      <c r="GE164" s="59">
        <f ca="1">AVERAGE(OFFSET($GD$3,0,0,'Données projet'!$E$17+1,1))-AVERAGE(OFFSET($H$3,0,0,'Données projet'!$E$17+1,1))</f>
        <v>313.51355235711543</v>
      </c>
      <c r="GF164" s="59">
        <f t="shared" si="158"/>
        <v>186.0840067781198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0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0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275.00000000000057</v>
      </c>
      <c r="O165" s="13">
        <f>N165*VLOOKUP('Données projet'!$B$9,Paramètres!$A$1:$I$89,3,0)*VLOOKUP('Données projet'!$B$9,Paramètres!$A$1:$I$89,5,0)</f>
        <v>278.85000000000059</v>
      </c>
      <c r="P165" s="13">
        <f t="shared" si="141"/>
        <v>66.723922641153095</v>
      </c>
      <c r="Q165" s="20">
        <f t="shared" si="162"/>
        <v>601.8745819333426</v>
      </c>
      <c r="R165" s="59">
        <f t="shared" si="109"/>
        <v>889.82538373190437</v>
      </c>
      <c r="S165" s="59">
        <f ca="1">AVERAGE(OFFSET($R$3,0,0,'Données projet'!$E$9+1,1))-AVERAGE(OFFSET($H$3,0,0,'Données projet'!$E$9+1,1))</f>
        <v>452.67426184967104</v>
      </c>
      <c r="T165" s="59">
        <f t="shared" si="142"/>
        <v>310.47823616327639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-3.979039320256561E-13</v>
      </c>
      <c r="AJ165" s="13">
        <f>AI165*VLOOKUP('Données projet'!$B$10,Paramètres!$A$1:$I$89,3,0)*VLOOKUP('Données projet'!$B$10,Paramètres!$A$1:$I$89,5,0)</f>
        <v>-4.158891897532158E-13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528.45201982036087</v>
      </c>
      <c r="AO165" s="59">
        <f t="shared" si="144"/>
        <v>321.23004033257985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1.338657292014031E-21</v>
      </c>
      <c r="AX165" s="21">
        <f t="shared" si="166"/>
        <v>1.338657292014031E-21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181.00000000000009</v>
      </c>
      <c r="BE165" s="13">
        <f>BD165*VLOOKUP('Données projet'!$B$11,Paramètres!$A$1:$I$89,3,0)*VLOOKUP('Données projet'!$B$11,Paramètres!$A$1:$I$89,5,0)</f>
        <v>175.06320000000008</v>
      </c>
      <c r="BF165" s="13">
        <f t="shared" si="167"/>
        <v>44.222067746824763</v>
      </c>
      <c r="BG165" s="20">
        <f t="shared" si="168"/>
        <v>381.92184132571992</v>
      </c>
      <c r="BH165" s="59">
        <f t="shared" si="116"/>
        <v>669.87264312428169</v>
      </c>
      <c r="BI165" s="59">
        <f ca="1">AVERAGE(OFFSET($BH$3,0,0,'Données projet'!$E$11+1,1))-AVERAGE(OFFSET($H$3,0,0,'Données projet'!$E$11+1,1))</f>
        <v>289.06522051625166</v>
      </c>
      <c r="BJ165" s="59">
        <f t="shared" si="146"/>
        <v>173.19148969173838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234.00000000000045</v>
      </c>
      <c r="BZ165" s="13">
        <f>BY165*VLOOKUP('Données projet'!$B$12,Paramètres!$A$1:$I$89,3,0)*VLOOKUP('Données projet'!$B$12,Paramètres!$A$1:$I$89,5,0)</f>
        <v>189.82080000000036</v>
      </c>
      <c r="CA165" s="13">
        <f t="shared" si="170"/>
        <v>47.500332100049881</v>
      </c>
      <c r="CB165" s="20">
        <f t="shared" si="171"/>
        <v>413.33430507425419</v>
      </c>
      <c r="CC165" s="59">
        <f t="shared" si="119"/>
        <v>701.28510687281596</v>
      </c>
      <c r="CD165" s="59">
        <f ca="1">AVERAGE(OFFSET($CC$3,0,0,'Données projet'!$E$12+1,1))-AVERAGE(OFFSET($H$3,0,0,'Données projet'!$E$12+1,1))</f>
        <v>306.06916761900357</v>
      </c>
      <c r="CE165" s="59">
        <f t="shared" si="148"/>
        <v>258.90832875500337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2.4311614819741396E-21</v>
      </c>
      <c r="CN165" s="22">
        <f t="shared" si="172"/>
        <v>2.4311614819741396E-21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275.00000000000057</v>
      </c>
      <c r="CU165" s="17">
        <f>CT165*VLOOKUP('Données projet'!$B$13,Paramètres!$A$1:$I$89,3,0)*VLOOKUP('Données projet'!$B$13,Paramètres!$A$1:$I$89,5,0)</f>
        <v>184.4700000000004</v>
      </c>
      <c r="CV165" s="13">
        <f t="shared" si="173"/>
        <v>46.31525458251663</v>
      </c>
      <c r="CW165" s="20">
        <f t="shared" si="174"/>
        <v>401.95098506455048</v>
      </c>
      <c r="CX165" s="59">
        <f t="shared" si="122"/>
        <v>689.90178686311219</v>
      </c>
      <c r="CY165" s="59">
        <f ca="1">AVERAGE(OFFSET($CX$3,0,0,'Données projet'!$E$13+1,1))-AVERAGE(OFFSET($H$3,0,0,'Données projet'!$E$13+1,1))</f>
        <v>324.58754156328285</v>
      </c>
      <c r="CZ165" s="59">
        <f t="shared" si="150"/>
        <v>226.01037731977604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1.4742812576586763E-21</v>
      </c>
      <c r="DI165" s="22">
        <f t="shared" si="175"/>
        <v>1.4742812576586763E-21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3.4106051316484809E-13</v>
      </c>
      <c r="DP165" s="17">
        <f>DO165*VLOOKUP('Données projet'!$B$14,Paramètres!$A$1:$I$89,3,0)*VLOOKUP('Données projet'!$B$14,Paramètres!$A$1:$I$89,5,0)</f>
        <v>1.5961632016114892E-13</v>
      </c>
      <c r="DQ165" s="13">
        <f t="shared" si="176"/>
        <v>2.2708641912150958E-12</v>
      </c>
      <c r="DR165" s="20">
        <f t="shared" si="177"/>
        <v>4.2330868906469593E-12</v>
      </c>
      <c r="DS165" s="59">
        <f t="shared" si="125"/>
        <v>287.95080179856592</v>
      </c>
      <c r="DT165" s="59">
        <f ca="1">AVERAGE(OFFSET($DS$3,0,0,'Données projet'!$E$14+1,1))-AVERAGE(OFFSET($H$3,0,0,'Données projet'!$E$14+1,1))</f>
        <v>325.93182817189722</v>
      </c>
      <c r="DU165" s="59">
        <f t="shared" si="152"/>
        <v>280.04509991782709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5.6843418860808015E-14</v>
      </c>
      <c r="EK165" s="17">
        <f>EJ165*VLOOKUP('Données projet'!$B$15,Paramètres!$A$1:$I$89,3,0)*VLOOKUP('Données projet'!$B$15,Paramètres!$A$1:$I$89,5,0)</f>
        <v>4.5224624045658861E-14</v>
      </c>
      <c r="EL165" s="13">
        <f t="shared" si="179"/>
        <v>7.4514601661523691E-13</v>
      </c>
      <c r="EM165" s="20">
        <f t="shared" si="180"/>
        <v>1.3765621991510601E-12</v>
      </c>
      <c r="EN165" s="59">
        <f t="shared" si="128"/>
        <v>287.95080179856308</v>
      </c>
      <c r="EO165" s="59">
        <f ca="1">AVERAGE(OFFSET($EN$3,0,0,'Données projet'!$E$15+1,1))-AVERAGE(OFFSET($H$3,0,0,'Données projet'!$E$15+1,1))</f>
        <v>333.52903437536651</v>
      </c>
      <c r="EP165" s="59">
        <f t="shared" si="154"/>
        <v>359.47288701414777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9.7355946906137844E-2</v>
      </c>
      <c r="EX165" s="21">
        <f>EXP(-LN(2)/2)*EX164+(1-EXP(-LN(2)/2))/(LN(2)/2)*ER165*EU165*VLOOKUP('Données projet'!$B$15,Paramètres!$A$1:$I$89,3,0)*0.475*44/12</f>
        <v>3.4176520063905679E-21</v>
      </c>
      <c r="EY165" s="22">
        <f t="shared" si="181"/>
        <v>9.7355946906137844E-2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-2.8421709430404007E-13</v>
      </c>
      <c r="FF165" s="17">
        <f>FE165*VLOOKUP('Données projet'!$B$16,Paramètres!$A$1:$I$89,3,0)*VLOOKUP('Données projet'!$B$16,Paramètres!$A$1:$I$89,5,0)</f>
        <v>-1.69961822393816E-13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313.26988717307376</v>
      </c>
      <c r="FK165" s="59">
        <f t="shared" si="156"/>
        <v>248.17359813993201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0.17069129835204577</v>
      </c>
      <c r="FR165" s="21">
        <f>EXP(-LN(2)/25)*FR164+(1-EXP(-LN(2)/25))/(LN(2)/25)*Calculateur!FM165*Calculateur!FO165*VLOOKUP('Données projet'!$B$16,Paramètres!$A$1:$I$89,3,0)*0.475*44/12</f>
        <v>0.19403889050747686</v>
      </c>
      <c r="FS165" s="21">
        <f>EXP(-LN(2)/2)*FS164+(1-EXP(-LN(2)/2))/(LN(2)/2)*FM165*FP165*VLOOKUP('Données projet'!$B$16,Paramètres!$A$1:$I$89,3,0)*0.475*44/12</f>
        <v>5.7060144123169259E-20</v>
      </c>
      <c r="FT165" s="22">
        <f t="shared" si="184"/>
        <v>0.36473018885952263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181.00000000000009</v>
      </c>
      <c r="GA165" s="17">
        <f>FZ165*VLOOKUP('Données projet'!$B$17,Paramètres!$A$1:$I$89,3,0)*VLOOKUP('Données projet'!$B$17,Paramètres!$A$1:$I$89,5,0)</f>
        <v>194.82840000000007</v>
      </c>
      <c r="GB165" s="13">
        <f t="shared" si="185"/>
        <v>48.605879434898576</v>
      </c>
      <c r="GC165" s="20">
        <f t="shared" si="186"/>
        <v>423.98137001578181</v>
      </c>
      <c r="GD165" s="59">
        <f t="shared" si="134"/>
        <v>711.93217181434352</v>
      </c>
      <c r="GE165" s="59">
        <f ca="1">AVERAGE(OFFSET($GD$3,0,0,'Données projet'!$E$17+1,1))-AVERAGE(OFFSET($H$3,0,0,'Données projet'!$E$17+1,1))</f>
        <v>313.51355235711543</v>
      </c>
      <c r="GF165" s="59">
        <f t="shared" si="158"/>
        <v>186.0840067781198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0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0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275.00000000000057</v>
      </c>
      <c r="O166" s="13">
        <f>N166*VLOOKUP('Données projet'!$B$9,Paramètres!$A$1:$I$89,3,0)*VLOOKUP('Données projet'!$B$9,Paramètres!$A$1:$I$89,5,0)</f>
        <v>278.85000000000059</v>
      </c>
      <c r="P166" s="13">
        <f t="shared" si="141"/>
        <v>66.723922641153095</v>
      </c>
      <c r="Q166" s="20">
        <f t="shared" si="162"/>
        <v>601.8745819333426</v>
      </c>
      <c r="R166" s="59">
        <f t="shared" si="109"/>
        <v>889.91875862049483</v>
      </c>
      <c r="S166" s="59">
        <f ca="1">AVERAGE(OFFSET($R$3,0,0,'Données projet'!$E$9+1,1))-AVERAGE(OFFSET($H$3,0,0,'Données projet'!$E$9+1,1))</f>
        <v>452.67426184967104</v>
      </c>
      <c r="T166" s="59">
        <f t="shared" si="142"/>
        <v>310.47823616327639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-3.979039320256561E-13</v>
      </c>
      <c r="AJ166" s="13">
        <f>AI166*VLOOKUP('Données projet'!$B$10,Paramètres!$A$1:$I$89,3,0)*VLOOKUP('Données projet'!$B$10,Paramètres!$A$1:$I$89,5,0)</f>
        <v>-4.158891897532158E-13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528.45201982036087</v>
      </c>
      <c r="AO166" s="59">
        <f t="shared" si="144"/>
        <v>321.23004033257985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9.4657364886794163E-22</v>
      </c>
      <c r="AX166" s="21">
        <f t="shared" si="166"/>
        <v>9.4657364886794163E-22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181.00000000000009</v>
      </c>
      <c r="BE166" s="13">
        <f>BD166*VLOOKUP('Données projet'!$B$11,Paramètres!$A$1:$I$89,3,0)*VLOOKUP('Données projet'!$B$11,Paramètres!$A$1:$I$89,5,0)</f>
        <v>175.06320000000008</v>
      </c>
      <c r="BF166" s="13">
        <f t="shared" si="167"/>
        <v>44.222067746824763</v>
      </c>
      <c r="BG166" s="20">
        <f t="shared" si="168"/>
        <v>381.92184132571992</v>
      </c>
      <c r="BH166" s="59">
        <f t="shared" si="116"/>
        <v>669.96601801287215</v>
      </c>
      <c r="BI166" s="59">
        <f ca="1">AVERAGE(OFFSET($BH$3,0,0,'Données projet'!$E$11+1,1))-AVERAGE(OFFSET($H$3,0,0,'Données projet'!$E$11+1,1))</f>
        <v>289.06522051625166</v>
      </c>
      <c r="BJ166" s="59">
        <f t="shared" si="146"/>
        <v>173.19148969173838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234.00000000000045</v>
      </c>
      <c r="BZ166" s="13">
        <f>BY166*VLOOKUP('Données projet'!$B$12,Paramètres!$A$1:$I$89,3,0)*VLOOKUP('Données projet'!$B$12,Paramètres!$A$1:$I$89,5,0)</f>
        <v>189.82080000000036</v>
      </c>
      <c r="CA166" s="13">
        <f t="shared" si="170"/>
        <v>47.500332100049881</v>
      </c>
      <c r="CB166" s="20">
        <f t="shared" si="171"/>
        <v>413.33430507425419</v>
      </c>
      <c r="CC166" s="59">
        <f t="shared" si="119"/>
        <v>701.37848176140642</v>
      </c>
      <c r="CD166" s="59">
        <f ca="1">AVERAGE(OFFSET($CC$3,0,0,'Données projet'!$E$12+1,1))-AVERAGE(OFFSET($H$3,0,0,'Données projet'!$E$12+1,1))</f>
        <v>306.06916761900357</v>
      </c>
      <c r="CE166" s="59">
        <f t="shared" si="148"/>
        <v>258.90832875500337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1.7190907700634505E-21</v>
      </c>
      <c r="CN166" s="22">
        <f t="shared" si="172"/>
        <v>1.7190907700634505E-21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275.00000000000057</v>
      </c>
      <c r="CU166" s="17">
        <f>CT166*VLOOKUP('Données projet'!$B$13,Paramètres!$A$1:$I$89,3,0)*VLOOKUP('Données projet'!$B$13,Paramètres!$A$1:$I$89,5,0)</f>
        <v>184.4700000000004</v>
      </c>
      <c r="CV166" s="13">
        <f t="shared" si="173"/>
        <v>46.31525458251663</v>
      </c>
      <c r="CW166" s="20">
        <f t="shared" si="174"/>
        <v>401.95098506455048</v>
      </c>
      <c r="CX166" s="59">
        <f t="shared" si="122"/>
        <v>689.99516175170265</v>
      </c>
      <c r="CY166" s="59">
        <f ca="1">AVERAGE(OFFSET($CX$3,0,0,'Données projet'!$E$13+1,1))-AVERAGE(OFFSET($H$3,0,0,'Données projet'!$E$13+1,1))</f>
        <v>324.58754156328285</v>
      </c>
      <c r="CZ166" s="59">
        <f t="shared" si="150"/>
        <v>226.01037731977604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1.0424742746666817E-21</v>
      </c>
      <c r="DI166" s="22">
        <f t="shared" si="175"/>
        <v>1.0424742746666817E-21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3.4106051316484809E-13</v>
      </c>
      <c r="DP166" s="17">
        <f>DO166*VLOOKUP('Données projet'!$B$14,Paramètres!$A$1:$I$89,3,0)*VLOOKUP('Données projet'!$B$14,Paramètres!$A$1:$I$89,5,0)</f>
        <v>1.5961632016114892E-13</v>
      </c>
      <c r="DQ166" s="13">
        <f t="shared" si="176"/>
        <v>2.2708641912150958E-12</v>
      </c>
      <c r="DR166" s="20">
        <f t="shared" si="177"/>
        <v>4.2330868906469593E-12</v>
      </c>
      <c r="DS166" s="59">
        <f t="shared" si="125"/>
        <v>288.04417668715644</v>
      </c>
      <c r="DT166" s="59">
        <f ca="1">AVERAGE(OFFSET($DS$3,0,0,'Données projet'!$E$14+1,1))-AVERAGE(OFFSET($H$3,0,0,'Données projet'!$E$14+1,1))</f>
        <v>325.93182817189722</v>
      </c>
      <c r="DU166" s="59">
        <f t="shared" si="152"/>
        <v>280.04509991782709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5.6843418860808015E-14</v>
      </c>
      <c r="EK166" s="17">
        <f>EJ166*VLOOKUP('Données projet'!$B$15,Paramètres!$A$1:$I$89,3,0)*VLOOKUP('Données projet'!$B$15,Paramètres!$A$1:$I$89,5,0)</f>
        <v>4.5224624045658861E-14</v>
      </c>
      <c r="EL166" s="13">
        <f t="shared" si="179"/>
        <v>7.4514601661523691E-13</v>
      </c>
      <c r="EM166" s="20">
        <f t="shared" si="180"/>
        <v>1.3765621991510601E-12</v>
      </c>
      <c r="EN166" s="59">
        <f t="shared" si="128"/>
        <v>288.04417668715359</v>
      </c>
      <c r="EO166" s="59">
        <f ca="1">AVERAGE(OFFSET($EN$3,0,0,'Données projet'!$E$15+1,1))-AVERAGE(OFFSET($H$3,0,0,'Données projet'!$E$15+1,1))</f>
        <v>333.52903437536651</v>
      </c>
      <c r="EP166" s="59">
        <f t="shared" si="154"/>
        <v>359.47288701414777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9.4693743418262769E-2</v>
      </c>
      <c r="EX166" s="21">
        <f>EXP(-LN(2)/2)*EX165+(1-EXP(-LN(2)/2))/(LN(2)/2)*ER166*EU166*VLOOKUP('Données projet'!$B$15,Paramètres!$A$1:$I$89,3,0)*0.475*44/12</f>
        <v>2.4166449094545805E-21</v>
      </c>
      <c r="EY166" s="22">
        <f t="shared" si="181"/>
        <v>9.4693743418262769E-2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-2.8421709430404007E-13</v>
      </c>
      <c r="FF166" s="17">
        <f>FE166*VLOOKUP('Données projet'!$B$16,Paramètres!$A$1:$I$89,3,0)*VLOOKUP('Données projet'!$B$16,Paramètres!$A$1:$I$89,5,0)</f>
        <v>-1.69961822393816E-13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313.26988717307376</v>
      </c>
      <c r="FK166" s="59">
        <f t="shared" si="156"/>
        <v>248.17359813993201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0.16734414610277401</v>
      </c>
      <c r="FR166" s="21">
        <f>EXP(-LN(2)/25)*FR165+(1-EXP(-LN(2)/25))/(LN(2)/25)*Calculateur!FM166*Calculateur!FO166*VLOOKUP('Données projet'!$B$16,Paramètres!$A$1:$I$89,3,0)*0.475*44/12</f>
        <v>0.18873288684248812</v>
      </c>
      <c r="FS166" s="21">
        <f>EXP(-LN(2)/2)*FS165+(1-EXP(-LN(2)/2))/(LN(2)/2)*FM166*FP166*VLOOKUP('Données projet'!$B$16,Paramètres!$A$1:$I$89,3,0)*0.475*44/12</f>
        <v>4.0347614844974712E-20</v>
      </c>
      <c r="FT166" s="22">
        <f t="shared" si="184"/>
        <v>0.35607703294526216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181.00000000000009</v>
      </c>
      <c r="GA166" s="17">
        <f>FZ166*VLOOKUP('Données projet'!$B$17,Paramètres!$A$1:$I$89,3,0)*VLOOKUP('Données projet'!$B$17,Paramètres!$A$1:$I$89,5,0)</f>
        <v>194.82840000000007</v>
      </c>
      <c r="GB166" s="13">
        <f t="shared" si="185"/>
        <v>48.605879434898576</v>
      </c>
      <c r="GC166" s="20">
        <f t="shared" si="186"/>
        <v>423.98137001578181</v>
      </c>
      <c r="GD166" s="59">
        <f t="shared" si="134"/>
        <v>712.02554670293398</v>
      </c>
      <c r="GE166" s="59">
        <f ca="1">AVERAGE(OFFSET($GD$3,0,0,'Données projet'!$E$17+1,1))-AVERAGE(OFFSET($H$3,0,0,'Données projet'!$E$17+1,1))</f>
        <v>313.51355235711543</v>
      </c>
      <c r="GF166" s="59">
        <f t="shared" si="158"/>
        <v>186.0840067781198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0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0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275.00000000000057</v>
      </c>
      <c r="O167" s="13">
        <f>N167*VLOOKUP('Données projet'!$B$9,Paramètres!$A$1:$I$89,3,0)*VLOOKUP('Données projet'!$B$9,Paramètres!$A$1:$I$89,5,0)</f>
        <v>278.85000000000059</v>
      </c>
      <c r="P167" s="13">
        <f t="shared" si="141"/>
        <v>66.723922641153095</v>
      </c>
      <c r="Q167" s="20">
        <f t="shared" si="162"/>
        <v>601.8745819333426</v>
      </c>
      <c r="R167" s="59">
        <f t="shared" si="109"/>
        <v>890.01051366352328</v>
      </c>
      <c r="S167" s="59">
        <f ca="1">AVERAGE(OFFSET($R$3,0,0,'Données projet'!$E$9+1,1))-AVERAGE(OFFSET($H$3,0,0,'Données projet'!$E$9+1,1))</f>
        <v>452.67426184967104</v>
      </c>
      <c r="T167" s="59">
        <f t="shared" si="142"/>
        <v>310.47823616327639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-3.979039320256561E-13</v>
      </c>
      <c r="AJ167" s="13">
        <f>AI167*VLOOKUP('Données projet'!$B$10,Paramètres!$A$1:$I$89,3,0)*VLOOKUP('Données projet'!$B$10,Paramètres!$A$1:$I$89,5,0)</f>
        <v>-4.158891897532158E-13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528.45201982036087</v>
      </c>
      <c r="AO167" s="59">
        <f t="shared" si="144"/>
        <v>321.23004033257985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6.6932864600701548E-22</v>
      </c>
      <c r="AX167" s="21">
        <f t="shared" si="166"/>
        <v>6.6932864600701548E-22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181.00000000000009</v>
      </c>
      <c r="BE167" s="13">
        <f>BD167*VLOOKUP('Données projet'!$B$11,Paramètres!$A$1:$I$89,3,0)*VLOOKUP('Données projet'!$B$11,Paramètres!$A$1:$I$89,5,0)</f>
        <v>175.06320000000008</v>
      </c>
      <c r="BF167" s="13">
        <f t="shared" si="167"/>
        <v>44.222067746824763</v>
      </c>
      <c r="BG167" s="20">
        <f t="shared" si="168"/>
        <v>381.92184132571992</v>
      </c>
      <c r="BH167" s="59">
        <f t="shared" si="116"/>
        <v>670.05777305590061</v>
      </c>
      <c r="BI167" s="59">
        <f ca="1">AVERAGE(OFFSET($BH$3,0,0,'Données projet'!$E$11+1,1))-AVERAGE(OFFSET($H$3,0,0,'Données projet'!$E$11+1,1))</f>
        <v>289.06522051625166</v>
      </c>
      <c r="BJ167" s="59">
        <f t="shared" si="146"/>
        <v>173.19148969173838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234.00000000000045</v>
      </c>
      <c r="BZ167" s="13">
        <f>BY167*VLOOKUP('Données projet'!$B$12,Paramètres!$A$1:$I$89,3,0)*VLOOKUP('Données projet'!$B$12,Paramètres!$A$1:$I$89,5,0)</f>
        <v>189.82080000000036</v>
      </c>
      <c r="CA167" s="13">
        <f t="shared" si="170"/>
        <v>47.500332100049881</v>
      </c>
      <c r="CB167" s="20">
        <f t="shared" si="171"/>
        <v>413.33430507425419</v>
      </c>
      <c r="CC167" s="59">
        <f t="shared" si="119"/>
        <v>701.47023680443488</v>
      </c>
      <c r="CD167" s="59">
        <f ca="1">AVERAGE(OFFSET($CC$3,0,0,'Données projet'!$E$12+1,1))-AVERAGE(OFFSET($H$3,0,0,'Données projet'!$E$12+1,1))</f>
        <v>306.06916761900357</v>
      </c>
      <c r="CE167" s="59">
        <f t="shared" si="148"/>
        <v>258.90832875500337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1.2155807409870698E-21</v>
      </c>
      <c r="CN167" s="22">
        <f t="shared" si="172"/>
        <v>1.2155807409870698E-21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275.00000000000057</v>
      </c>
      <c r="CU167" s="17">
        <f>CT167*VLOOKUP('Données projet'!$B$13,Paramètres!$A$1:$I$89,3,0)*VLOOKUP('Données projet'!$B$13,Paramètres!$A$1:$I$89,5,0)</f>
        <v>184.4700000000004</v>
      </c>
      <c r="CV167" s="13">
        <f t="shared" si="173"/>
        <v>46.31525458251663</v>
      </c>
      <c r="CW167" s="20">
        <f t="shared" si="174"/>
        <v>401.95098506455048</v>
      </c>
      <c r="CX167" s="59">
        <f t="shared" si="122"/>
        <v>690.08691679473122</v>
      </c>
      <c r="CY167" s="59">
        <f ca="1">AVERAGE(OFFSET($CX$3,0,0,'Données projet'!$E$13+1,1))-AVERAGE(OFFSET($H$3,0,0,'Données projet'!$E$13+1,1))</f>
        <v>324.58754156328285</v>
      </c>
      <c r="CZ167" s="59">
        <f t="shared" si="150"/>
        <v>226.01037731977604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7.3714062882933817E-22</v>
      </c>
      <c r="DI167" s="22">
        <f t="shared" si="175"/>
        <v>7.3714062882933817E-22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3.4106051316484809E-13</v>
      </c>
      <c r="DP167" s="17">
        <f>DO167*VLOOKUP('Données projet'!$B$14,Paramètres!$A$1:$I$89,3,0)*VLOOKUP('Données projet'!$B$14,Paramètres!$A$1:$I$89,5,0)</f>
        <v>1.5961632016114892E-13</v>
      </c>
      <c r="DQ167" s="13">
        <f t="shared" si="176"/>
        <v>2.2708641912150958E-12</v>
      </c>
      <c r="DR167" s="20">
        <f t="shared" si="177"/>
        <v>4.2330868906469593E-12</v>
      </c>
      <c r="DS167" s="59">
        <f t="shared" si="125"/>
        <v>288.13593173018489</v>
      </c>
      <c r="DT167" s="59">
        <f ca="1">AVERAGE(OFFSET($DS$3,0,0,'Données projet'!$E$14+1,1))-AVERAGE(OFFSET($H$3,0,0,'Données projet'!$E$14+1,1))</f>
        <v>325.93182817189722</v>
      </c>
      <c r="DU167" s="59">
        <f t="shared" si="152"/>
        <v>280.04509991782709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5.6843418860808015E-14</v>
      </c>
      <c r="EK167" s="17">
        <f>EJ167*VLOOKUP('Données projet'!$B$15,Paramètres!$A$1:$I$89,3,0)*VLOOKUP('Données projet'!$B$15,Paramètres!$A$1:$I$89,5,0)</f>
        <v>4.5224624045658861E-14</v>
      </c>
      <c r="EL167" s="13">
        <f t="shared" si="179"/>
        <v>7.4514601661523691E-13</v>
      </c>
      <c r="EM167" s="20">
        <f t="shared" si="180"/>
        <v>1.3765621991510601E-12</v>
      </c>
      <c r="EN167" s="59">
        <f t="shared" si="128"/>
        <v>288.13593173018205</v>
      </c>
      <c r="EO167" s="59">
        <f ca="1">AVERAGE(OFFSET($EN$3,0,0,'Données projet'!$E$15+1,1))-AVERAGE(OFFSET($H$3,0,0,'Données projet'!$E$15+1,1))</f>
        <v>333.52903437536651</v>
      </c>
      <c r="EP167" s="59">
        <f t="shared" si="154"/>
        <v>359.47288701414777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9.2104338024762838E-2</v>
      </c>
      <c r="EX167" s="21">
        <f>EXP(-LN(2)/2)*EX166+(1-EXP(-LN(2)/2))/(LN(2)/2)*ER167*EU167*VLOOKUP('Données projet'!$B$15,Paramètres!$A$1:$I$89,3,0)*0.475*44/12</f>
        <v>1.7088260031952839E-21</v>
      </c>
      <c r="EY167" s="22">
        <f t="shared" si="181"/>
        <v>9.2104338024762838E-2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-2.8421709430404007E-13</v>
      </c>
      <c r="FF167" s="17">
        <f>FE167*VLOOKUP('Données projet'!$B$16,Paramètres!$A$1:$I$89,3,0)*VLOOKUP('Données projet'!$B$16,Paramètres!$A$1:$I$89,5,0)</f>
        <v>-1.69961822393816E-13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313.26988717307376</v>
      </c>
      <c r="FK167" s="59">
        <f t="shared" si="156"/>
        <v>248.17359813993201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0.16406262946754918</v>
      </c>
      <c r="FR167" s="21">
        <f>EXP(-LN(2)/25)*FR166+(1-EXP(-LN(2)/25))/(LN(2)/25)*Calculateur!FM167*Calculateur!FO167*VLOOKUP('Données projet'!$B$16,Paramètres!$A$1:$I$89,3,0)*0.475*44/12</f>
        <v>0.18357197612674911</v>
      </c>
      <c r="FS167" s="21">
        <f>EXP(-LN(2)/2)*FS166+(1-EXP(-LN(2)/2))/(LN(2)/2)*FM167*FP167*VLOOKUP('Données projet'!$B$16,Paramètres!$A$1:$I$89,3,0)*0.475*44/12</f>
        <v>2.8530072061584629E-20</v>
      </c>
      <c r="FT167" s="22">
        <f t="shared" si="184"/>
        <v>0.34763460559429826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181.00000000000009</v>
      </c>
      <c r="GA167" s="17">
        <f>FZ167*VLOOKUP('Données projet'!$B$17,Paramètres!$A$1:$I$89,3,0)*VLOOKUP('Données projet'!$B$17,Paramètres!$A$1:$I$89,5,0)</f>
        <v>194.82840000000007</v>
      </c>
      <c r="GB167" s="13">
        <f t="shared" si="185"/>
        <v>48.605879434898576</v>
      </c>
      <c r="GC167" s="20">
        <f t="shared" si="186"/>
        <v>423.98137001578181</v>
      </c>
      <c r="GD167" s="59">
        <f t="shared" si="134"/>
        <v>712.11730174596255</v>
      </c>
      <c r="GE167" s="59">
        <f ca="1">AVERAGE(OFFSET($GD$3,0,0,'Données projet'!$E$17+1,1))-AVERAGE(OFFSET($H$3,0,0,'Données projet'!$E$17+1,1))</f>
        <v>313.51355235711543</v>
      </c>
      <c r="GF167" s="59">
        <f t="shared" si="158"/>
        <v>186.0840067781198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0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0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275.00000000000057</v>
      </c>
      <c r="O168" s="13">
        <f>N168*VLOOKUP('Données projet'!$B$9,Paramètres!$A$1:$I$89,3,0)*VLOOKUP('Données projet'!$B$9,Paramètres!$A$1:$I$89,5,0)</f>
        <v>278.85000000000059</v>
      </c>
      <c r="P168" s="13">
        <f t="shared" si="141"/>
        <v>66.723922641153095</v>
      </c>
      <c r="Q168" s="20">
        <f t="shared" si="162"/>
        <v>601.8745819333426</v>
      </c>
      <c r="R168" s="59">
        <f t="shared" si="109"/>
        <v>890.10067696168881</v>
      </c>
      <c r="S168" s="59">
        <f ca="1">AVERAGE(OFFSET($R$3,0,0,'Données projet'!$E$9+1,1))-AVERAGE(OFFSET($H$3,0,0,'Données projet'!$E$9+1,1))</f>
        <v>452.67426184967104</v>
      </c>
      <c r="T168" s="59">
        <f t="shared" si="142"/>
        <v>310.47823616327639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-3.979039320256561E-13</v>
      </c>
      <c r="AJ168" s="13">
        <f>AI168*VLOOKUP('Données projet'!$B$10,Paramètres!$A$1:$I$89,3,0)*VLOOKUP('Données projet'!$B$10,Paramètres!$A$1:$I$89,5,0)</f>
        <v>-4.158891897532158E-13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528.45201982036087</v>
      </c>
      <c r="AO168" s="59">
        <f t="shared" si="144"/>
        <v>321.23004033257985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4.7328682443397081E-22</v>
      </c>
      <c r="AX168" s="21">
        <f t="shared" si="166"/>
        <v>4.7328682443397081E-22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181.00000000000009</v>
      </c>
      <c r="BE168" s="13">
        <f>BD168*VLOOKUP('Données projet'!$B$11,Paramètres!$A$1:$I$89,3,0)*VLOOKUP('Données projet'!$B$11,Paramètres!$A$1:$I$89,5,0)</f>
        <v>175.06320000000008</v>
      </c>
      <c r="BF168" s="13">
        <f t="shared" si="167"/>
        <v>44.222067746824763</v>
      </c>
      <c r="BG168" s="20">
        <f t="shared" si="168"/>
        <v>381.92184132571992</v>
      </c>
      <c r="BH168" s="59">
        <f t="shared" si="116"/>
        <v>670.14793635406613</v>
      </c>
      <c r="BI168" s="59">
        <f ca="1">AVERAGE(OFFSET($BH$3,0,0,'Données projet'!$E$11+1,1))-AVERAGE(OFFSET($H$3,0,0,'Données projet'!$E$11+1,1))</f>
        <v>289.06522051625166</v>
      </c>
      <c r="BJ168" s="59">
        <f t="shared" si="146"/>
        <v>173.19148969173838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234.00000000000045</v>
      </c>
      <c r="BZ168" s="13">
        <f>BY168*VLOOKUP('Données projet'!$B$12,Paramètres!$A$1:$I$89,3,0)*VLOOKUP('Données projet'!$B$12,Paramètres!$A$1:$I$89,5,0)</f>
        <v>189.82080000000036</v>
      </c>
      <c r="CA168" s="13">
        <f t="shared" si="170"/>
        <v>47.500332100049881</v>
      </c>
      <c r="CB168" s="20">
        <f t="shared" si="171"/>
        <v>413.33430507425419</v>
      </c>
      <c r="CC168" s="59">
        <f t="shared" si="119"/>
        <v>701.5604001026004</v>
      </c>
      <c r="CD168" s="59">
        <f ca="1">AVERAGE(OFFSET($CC$3,0,0,'Données projet'!$E$12+1,1))-AVERAGE(OFFSET($H$3,0,0,'Données projet'!$E$12+1,1))</f>
        <v>306.06916761900357</v>
      </c>
      <c r="CE168" s="59">
        <f t="shared" si="148"/>
        <v>258.90832875500337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8.5954538503172526E-22</v>
      </c>
      <c r="CN168" s="22">
        <f t="shared" si="172"/>
        <v>8.5954538503172526E-22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275.00000000000057</v>
      </c>
      <c r="CU168" s="17">
        <f>CT168*VLOOKUP('Données projet'!$B$13,Paramètres!$A$1:$I$89,3,0)*VLOOKUP('Données projet'!$B$13,Paramètres!$A$1:$I$89,5,0)</f>
        <v>184.4700000000004</v>
      </c>
      <c r="CV168" s="13">
        <f t="shared" si="173"/>
        <v>46.31525458251663</v>
      </c>
      <c r="CW168" s="20">
        <f t="shared" si="174"/>
        <v>401.95098506455048</v>
      </c>
      <c r="CX168" s="59">
        <f t="shared" si="122"/>
        <v>690.17708009289663</v>
      </c>
      <c r="CY168" s="59">
        <f ca="1">AVERAGE(OFFSET($CX$3,0,0,'Données projet'!$E$13+1,1))-AVERAGE(OFFSET($H$3,0,0,'Données projet'!$E$13+1,1))</f>
        <v>324.58754156328285</v>
      </c>
      <c r="CZ168" s="59">
        <f t="shared" si="150"/>
        <v>226.01037731977604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5.2123713733334086E-22</v>
      </c>
      <c r="DI168" s="22">
        <f t="shared" si="175"/>
        <v>5.2123713733334086E-22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3.4106051316484809E-13</v>
      </c>
      <c r="DP168" s="17">
        <f>DO168*VLOOKUP('Données projet'!$B$14,Paramètres!$A$1:$I$89,3,0)*VLOOKUP('Données projet'!$B$14,Paramètres!$A$1:$I$89,5,0)</f>
        <v>1.5961632016114892E-13</v>
      </c>
      <c r="DQ168" s="13">
        <f t="shared" si="176"/>
        <v>2.2708641912150958E-12</v>
      </c>
      <c r="DR168" s="20">
        <f t="shared" si="177"/>
        <v>4.2330868906469593E-12</v>
      </c>
      <c r="DS168" s="59">
        <f t="shared" si="125"/>
        <v>288.22609502835036</v>
      </c>
      <c r="DT168" s="59">
        <f ca="1">AVERAGE(OFFSET($DS$3,0,0,'Données projet'!$E$14+1,1))-AVERAGE(OFFSET($H$3,0,0,'Données projet'!$E$14+1,1))</f>
        <v>325.93182817189722</v>
      </c>
      <c r="DU168" s="59">
        <f t="shared" si="152"/>
        <v>280.04509991782709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5.6843418860808015E-14</v>
      </c>
      <c r="EK168" s="17">
        <f>EJ168*VLOOKUP('Données projet'!$B$15,Paramètres!$A$1:$I$89,3,0)*VLOOKUP('Données projet'!$B$15,Paramètres!$A$1:$I$89,5,0)</f>
        <v>4.5224624045658861E-14</v>
      </c>
      <c r="EL168" s="13">
        <f t="shared" si="179"/>
        <v>7.4514601661523691E-13</v>
      </c>
      <c r="EM168" s="20">
        <f t="shared" si="180"/>
        <v>1.3765621991510601E-12</v>
      </c>
      <c r="EN168" s="59">
        <f t="shared" si="128"/>
        <v>288.22609502834752</v>
      </c>
      <c r="EO168" s="59">
        <f ca="1">AVERAGE(OFFSET($EN$3,0,0,'Données projet'!$E$15+1,1))-AVERAGE(OFFSET($H$3,0,0,'Données projet'!$E$15+1,1))</f>
        <v>333.52903437536651</v>
      </c>
      <c r="EP168" s="59">
        <f t="shared" si="154"/>
        <v>359.47288701414777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8.9585740057919069E-2</v>
      </c>
      <c r="EX168" s="21">
        <f>EXP(-LN(2)/2)*EX167+(1-EXP(-LN(2)/2))/(LN(2)/2)*ER168*EU168*VLOOKUP('Données projet'!$B$15,Paramètres!$A$1:$I$89,3,0)*0.475*44/12</f>
        <v>1.2083224547272902E-21</v>
      </c>
      <c r="EY168" s="22">
        <f t="shared" si="181"/>
        <v>8.9585740057919069E-2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-2.8421709430404007E-13</v>
      </c>
      <c r="FF168" s="17">
        <f>FE168*VLOOKUP('Données projet'!$B$16,Paramètres!$A$1:$I$89,3,0)*VLOOKUP('Données projet'!$B$16,Paramètres!$A$1:$I$89,5,0)</f>
        <v>-1.69961822393816E-13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313.26988717307376</v>
      </c>
      <c r="FK168" s="59">
        <f t="shared" si="156"/>
        <v>248.17359813993201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0.16084546137201358</v>
      </c>
      <c r="FR168" s="21">
        <f>EXP(-LN(2)/25)*FR167+(1-EXP(-LN(2)/25))/(LN(2)/25)*Calculateur!FM168*Calculateur!FO168*VLOOKUP('Données projet'!$B$16,Paramètres!$A$1:$I$89,3,0)*0.475*44/12</f>
        <v>0.17855219078593249</v>
      </c>
      <c r="FS168" s="21">
        <f>EXP(-LN(2)/2)*FS167+(1-EXP(-LN(2)/2))/(LN(2)/2)*FM168*FP168*VLOOKUP('Données projet'!$B$16,Paramètres!$A$1:$I$89,3,0)*0.475*44/12</f>
        <v>2.0173807422487356E-20</v>
      </c>
      <c r="FT168" s="22">
        <f t="shared" si="184"/>
        <v>0.33939765215794604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181.00000000000009</v>
      </c>
      <c r="GA168" s="17">
        <f>FZ168*VLOOKUP('Données projet'!$B$17,Paramètres!$A$1:$I$89,3,0)*VLOOKUP('Données projet'!$B$17,Paramètres!$A$1:$I$89,5,0)</f>
        <v>194.82840000000007</v>
      </c>
      <c r="GB168" s="13">
        <f t="shared" si="185"/>
        <v>48.605879434898576</v>
      </c>
      <c r="GC168" s="20">
        <f t="shared" si="186"/>
        <v>423.98137001578181</v>
      </c>
      <c r="GD168" s="59">
        <f t="shared" si="134"/>
        <v>712.20746504412796</v>
      </c>
      <c r="GE168" s="59">
        <f ca="1">AVERAGE(OFFSET($GD$3,0,0,'Données projet'!$E$17+1,1))-AVERAGE(OFFSET($H$3,0,0,'Données projet'!$E$17+1,1))</f>
        <v>313.51355235711543</v>
      </c>
      <c r="GF168" s="59">
        <f t="shared" si="158"/>
        <v>186.0840067781198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0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0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275.00000000000057</v>
      </c>
      <c r="O169" s="13">
        <f>N169*VLOOKUP('Données projet'!$B$9,Paramètres!$A$1:$I$89,3,0)*VLOOKUP('Données projet'!$B$9,Paramètres!$A$1:$I$89,5,0)</f>
        <v>278.85000000000059</v>
      </c>
      <c r="P169" s="13">
        <f t="shared" si="141"/>
        <v>66.723922641153095</v>
      </c>
      <c r="Q169" s="20">
        <f t="shared" si="162"/>
        <v>601.8745819333426</v>
      </c>
      <c r="R169" s="59">
        <f t="shared" si="109"/>
        <v>890.18927612820607</v>
      </c>
      <c r="S169" s="59">
        <f ca="1">AVERAGE(OFFSET($R$3,0,0,'Données projet'!$E$9+1,1))-AVERAGE(OFFSET($H$3,0,0,'Données projet'!$E$9+1,1))</f>
        <v>452.67426184967104</v>
      </c>
      <c r="T169" s="59">
        <f t="shared" si="142"/>
        <v>310.47823616327639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-3.979039320256561E-13</v>
      </c>
      <c r="AJ169" s="13">
        <f>AI169*VLOOKUP('Données projet'!$B$10,Paramètres!$A$1:$I$89,3,0)*VLOOKUP('Données projet'!$B$10,Paramètres!$A$1:$I$89,5,0)</f>
        <v>-4.158891897532158E-13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528.45201982036087</v>
      </c>
      <c r="AO169" s="59">
        <f t="shared" si="144"/>
        <v>321.23004033257985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3.3466432300350774E-22</v>
      </c>
      <c r="AX169" s="21">
        <f t="shared" si="166"/>
        <v>3.3466432300350774E-22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181.00000000000009</v>
      </c>
      <c r="BE169" s="13">
        <f>BD169*VLOOKUP('Données projet'!$B$11,Paramètres!$A$1:$I$89,3,0)*VLOOKUP('Données projet'!$B$11,Paramètres!$A$1:$I$89,5,0)</f>
        <v>175.06320000000008</v>
      </c>
      <c r="BF169" s="13">
        <f t="shared" si="167"/>
        <v>44.222067746824763</v>
      </c>
      <c r="BG169" s="20">
        <f t="shared" si="168"/>
        <v>381.92184132571992</v>
      </c>
      <c r="BH169" s="59">
        <f t="shared" si="116"/>
        <v>670.2365355205834</v>
      </c>
      <c r="BI169" s="59">
        <f ca="1">AVERAGE(OFFSET($BH$3,0,0,'Données projet'!$E$11+1,1))-AVERAGE(OFFSET($H$3,0,0,'Données projet'!$E$11+1,1))</f>
        <v>289.06522051625166</v>
      </c>
      <c r="BJ169" s="59">
        <f t="shared" si="146"/>
        <v>173.19148969173838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234.00000000000045</v>
      </c>
      <c r="BZ169" s="13">
        <f>BY169*VLOOKUP('Données projet'!$B$12,Paramètres!$A$1:$I$89,3,0)*VLOOKUP('Données projet'!$B$12,Paramètres!$A$1:$I$89,5,0)</f>
        <v>189.82080000000036</v>
      </c>
      <c r="CA169" s="13">
        <f t="shared" si="170"/>
        <v>47.500332100049881</v>
      </c>
      <c r="CB169" s="20">
        <f t="shared" si="171"/>
        <v>413.33430507425419</v>
      </c>
      <c r="CC169" s="59">
        <f t="shared" si="119"/>
        <v>701.64899926911767</v>
      </c>
      <c r="CD169" s="59">
        <f ca="1">AVERAGE(OFFSET($CC$3,0,0,'Données projet'!$E$12+1,1))-AVERAGE(OFFSET($H$3,0,0,'Données projet'!$E$12+1,1))</f>
        <v>306.06916761900357</v>
      </c>
      <c r="CE169" s="59">
        <f t="shared" si="148"/>
        <v>258.90832875500337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6.0779037049353491E-22</v>
      </c>
      <c r="CN169" s="22">
        <f t="shared" si="172"/>
        <v>6.0779037049353491E-22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275.00000000000057</v>
      </c>
      <c r="CU169" s="17">
        <f>CT169*VLOOKUP('Données projet'!$B$13,Paramètres!$A$1:$I$89,3,0)*VLOOKUP('Données projet'!$B$13,Paramètres!$A$1:$I$89,5,0)</f>
        <v>184.4700000000004</v>
      </c>
      <c r="CV169" s="13">
        <f t="shared" si="173"/>
        <v>46.31525458251663</v>
      </c>
      <c r="CW169" s="20">
        <f t="shared" si="174"/>
        <v>401.95098506455048</v>
      </c>
      <c r="CX169" s="59">
        <f t="shared" si="122"/>
        <v>690.2656792594139</v>
      </c>
      <c r="CY169" s="59">
        <f ca="1">AVERAGE(OFFSET($CX$3,0,0,'Données projet'!$E$13+1,1))-AVERAGE(OFFSET($H$3,0,0,'Données projet'!$E$13+1,1))</f>
        <v>324.58754156328285</v>
      </c>
      <c r="CZ169" s="59">
        <f t="shared" si="150"/>
        <v>226.01037731977604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3.6857031441466908E-22</v>
      </c>
      <c r="DI169" s="22">
        <f t="shared" si="175"/>
        <v>3.6857031441466908E-22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3.4106051316484809E-13</v>
      </c>
      <c r="DP169" s="17">
        <f>DO169*VLOOKUP('Données projet'!$B$14,Paramètres!$A$1:$I$89,3,0)*VLOOKUP('Données projet'!$B$14,Paramètres!$A$1:$I$89,5,0)</f>
        <v>1.5961632016114892E-13</v>
      </c>
      <c r="DQ169" s="13">
        <f t="shared" si="176"/>
        <v>2.2708641912150958E-12</v>
      </c>
      <c r="DR169" s="20">
        <f t="shared" si="177"/>
        <v>4.2330868906469593E-12</v>
      </c>
      <c r="DS169" s="59">
        <f t="shared" si="125"/>
        <v>288.31469419486763</v>
      </c>
      <c r="DT169" s="59">
        <f ca="1">AVERAGE(OFFSET($DS$3,0,0,'Données projet'!$E$14+1,1))-AVERAGE(OFFSET($H$3,0,0,'Données projet'!$E$14+1,1))</f>
        <v>325.93182817189722</v>
      </c>
      <c r="DU169" s="59">
        <f t="shared" si="152"/>
        <v>280.04509991782709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5.6843418860808015E-14</v>
      </c>
      <c r="EK169" s="17">
        <f>EJ169*VLOOKUP('Données projet'!$B$15,Paramètres!$A$1:$I$89,3,0)*VLOOKUP('Données projet'!$B$15,Paramètres!$A$1:$I$89,5,0)</f>
        <v>4.5224624045658861E-14</v>
      </c>
      <c r="EL169" s="13">
        <f t="shared" si="179"/>
        <v>7.4514601661523691E-13</v>
      </c>
      <c r="EM169" s="20">
        <f t="shared" si="180"/>
        <v>1.3765621991510601E-12</v>
      </c>
      <c r="EN169" s="59">
        <f t="shared" si="128"/>
        <v>288.31469419486479</v>
      </c>
      <c r="EO169" s="59">
        <f ca="1">AVERAGE(OFFSET($EN$3,0,0,'Données projet'!$E$15+1,1))-AVERAGE(OFFSET($H$3,0,0,'Données projet'!$E$15+1,1))</f>
        <v>333.52903437536651</v>
      </c>
      <c r="EP169" s="59">
        <f t="shared" si="154"/>
        <v>359.47288701414777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8.7136013284925956E-2</v>
      </c>
      <c r="EX169" s="21">
        <f>EXP(-LN(2)/2)*EX168+(1-EXP(-LN(2)/2))/(LN(2)/2)*ER169*EU169*VLOOKUP('Données projet'!$B$15,Paramètres!$A$1:$I$89,3,0)*0.475*44/12</f>
        <v>8.5441300159764196E-22</v>
      </c>
      <c r="EY169" s="22">
        <f t="shared" si="181"/>
        <v>8.7136013284925956E-2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-2.8421709430404007E-13</v>
      </c>
      <c r="FF169" s="17">
        <f>FE169*VLOOKUP('Données projet'!$B$16,Paramètres!$A$1:$I$89,3,0)*VLOOKUP('Données projet'!$B$16,Paramètres!$A$1:$I$89,5,0)</f>
        <v>-1.69961822393816E-13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313.26988717307376</v>
      </c>
      <c r="FK169" s="59">
        <f t="shared" si="156"/>
        <v>248.17359813993201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0.15769137998055266</v>
      </c>
      <c r="FR169" s="21">
        <f>EXP(-LN(2)/25)*FR168+(1-EXP(-LN(2)/25))/(LN(2)/25)*Calculateur!FM169*Calculateur!FO169*VLOOKUP('Données projet'!$B$16,Paramètres!$A$1:$I$89,3,0)*0.475*44/12</f>
        <v>0.17366967173923953</v>
      </c>
      <c r="FS169" s="21">
        <f>EXP(-LN(2)/2)*FS168+(1-EXP(-LN(2)/2))/(LN(2)/2)*FM169*FP169*VLOOKUP('Données projet'!$B$16,Paramètres!$A$1:$I$89,3,0)*0.475*44/12</f>
        <v>1.4265036030792315E-20</v>
      </c>
      <c r="FT169" s="22">
        <f t="shared" si="184"/>
        <v>0.33136105171979219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181.00000000000009</v>
      </c>
      <c r="GA169" s="17">
        <f>FZ169*VLOOKUP('Données projet'!$B$17,Paramètres!$A$1:$I$89,3,0)*VLOOKUP('Données projet'!$B$17,Paramètres!$A$1:$I$89,5,0)</f>
        <v>194.82840000000007</v>
      </c>
      <c r="GB169" s="13">
        <f t="shared" si="185"/>
        <v>48.605879434898576</v>
      </c>
      <c r="GC169" s="20">
        <f t="shared" si="186"/>
        <v>423.98137001578181</v>
      </c>
      <c r="GD169" s="59">
        <f t="shared" si="134"/>
        <v>712.29606421064523</v>
      </c>
      <c r="GE169" s="59">
        <f ca="1">AVERAGE(OFFSET($GD$3,0,0,'Données projet'!$E$17+1,1))-AVERAGE(OFFSET($H$3,0,0,'Données projet'!$E$17+1,1))</f>
        <v>313.51355235711543</v>
      </c>
      <c r="GF169" s="59">
        <f t="shared" si="158"/>
        <v>186.0840067781198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0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0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275.00000000000057</v>
      </c>
      <c r="O170" s="13">
        <f>N170*VLOOKUP('Données projet'!$B$9,Paramètres!$A$1:$I$89,3,0)*VLOOKUP('Données projet'!$B$9,Paramètres!$A$1:$I$89,5,0)</f>
        <v>278.85000000000059</v>
      </c>
      <c r="P170" s="13">
        <f t="shared" si="141"/>
        <v>66.723922641153095</v>
      </c>
      <c r="Q170" s="20">
        <f t="shared" si="162"/>
        <v>601.8745819333426</v>
      </c>
      <c r="R170" s="59">
        <f t="shared" si="109"/>
        <v>890.27633829726221</v>
      </c>
      <c r="S170" s="59">
        <f ca="1">AVERAGE(OFFSET($R$3,0,0,'Données projet'!$E$9+1,1))-AVERAGE(OFFSET($H$3,0,0,'Données projet'!$E$9+1,1))</f>
        <v>452.67426184967104</v>
      </c>
      <c r="T170" s="59">
        <f t="shared" si="142"/>
        <v>310.47823616327639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-3.979039320256561E-13</v>
      </c>
      <c r="AJ170" s="13">
        <f>AI170*VLOOKUP('Données projet'!$B$10,Paramètres!$A$1:$I$89,3,0)*VLOOKUP('Données projet'!$B$10,Paramètres!$A$1:$I$89,5,0)</f>
        <v>-4.158891897532158E-13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528.45201982036087</v>
      </c>
      <c r="AO170" s="59">
        <f t="shared" si="144"/>
        <v>321.23004033257985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2.3664341221698541E-22</v>
      </c>
      <c r="AX170" s="21">
        <f t="shared" si="166"/>
        <v>2.3664341221698541E-22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181.00000000000009</v>
      </c>
      <c r="BE170" s="13">
        <f>BD170*VLOOKUP('Données projet'!$B$11,Paramètres!$A$1:$I$89,3,0)*VLOOKUP('Données projet'!$B$11,Paramètres!$A$1:$I$89,5,0)</f>
        <v>175.06320000000008</v>
      </c>
      <c r="BF170" s="13">
        <f t="shared" si="167"/>
        <v>44.222067746824763</v>
      </c>
      <c r="BG170" s="20">
        <f t="shared" si="168"/>
        <v>381.92184132571992</v>
      </c>
      <c r="BH170" s="59">
        <f t="shared" si="116"/>
        <v>670.32359768963954</v>
      </c>
      <c r="BI170" s="59">
        <f ca="1">AVERAGE(OFFSET($BH$3,0,0,'Données projet'!$E$11+1,1))-AVERAGE(OFFSET($H$3,0,0,'Données projet'!$E$11+1,1))</f>
        <v>289.06522051625166</v>
      </c>
      <c r="BJ170" s="59">
        <f t="shared" si="146"/>
        <v>173.19148969173838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234.00000000000045</v>
      </c>
      <c r="BZ170" s="13">
        <f>BY170*VLOOKUP('Données projet'!$B$12,Paramètres!$A$1:$I$89,3,0)*VLOOKUP('Données projet'!$B$12,Paramètres!$A$1:$I$89,5,0)</f>
        <v>189.82080000000036</v>
      </c>
      <c r="CA170" s="13">
        <f t="shared" si="170"/>
        <v>47.500332100049881</v>
      </c>
      <c r="CB170" s="20">
        <f t="shared" si="171"/>
        <v>413.33430507425419</v>
      </c>
      <c r="CC170" s="59">
        <f t="shared" si="119"/>
        <v>701.73606143817381</v>
      </c>
      <c r="CD170" s="59">
        <f ca="1">AVERAGE(OFFSET($CC$3,0,0,'Données projet'!$E$12+1,1))-AVERAGE(OFFSET($H$3,0,0,'Données projet'!$E$12+1,1))</f>
        <v>306.06916761900357</v>
      </c>
      <c r="CE170" s="59">
        <f t="shared" si="148"/>
        <v>258.90832875500337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4.2977269251586263E-22</v>
      </c>
      <c r="CN170" s="22">
        <f t="shared" si="172"/>
        <v>4.2977269251586263E-22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275.00000000000057</v>
      </c>
      <c r="CU170" s="17">
        <f>CT170*VLOOKUP('Données projet'!$B$13,Paramètres!$A$1:$I$89,3,0)*VLOOKUP('Données projet'!$B$13,Paramètres!$A$1:$I$89,5,0)</f>
        <v>184.4700000000004</v>
      </c>
      <c r="CV170" s="13">
        <f t="shared" si="173"/>
        <v>46.31525458251663</v>
      </c>
      <c r="CW170" s="20">
        <f t="shared" si="174"/>
        <v>401.95098506455048</v>
      </c>
      <c r="CX170" s="59">
        <f t="shared" si="122"/>
        <v>690.35274142847015</v>
      </c>
      <c r="CY170" s="59">
        <f ca="1">AVERAGE(OFFSET($CX$3,0,0,'Données projet'!$E$13+1,1))-AVERAGE(OFFSET($H$3,0,0,'Données projet'!$E$13+1,1))</f>
        <v>324.58754156328285</v>
      </c>
      <c r="CZ170" s="59">
        <f t="shared" si="150"/>
        <v>226.01037731977604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2.6061856866667043E-22</v>
      </c>
      <c r="DI170" s="22">
        <f t="shared" si="175"/>
        <v>2.6061856866667043E-22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3.4106051316484809E-13</v>
      </c>
      <c r="DP170" s="17">
        <f>DO170*VLOOKUP('Données projet'!$B$14,Paramètres!$A$1:$I$89,3,0)*VLOOKUP('Données projet'!$B$14,Paramètres!$A$1:$I$89,5,0)</f>
        <v>1.5961632016114892E-13</v>
      </c>
      <c r="DQ170" s="13">
        <f t="shared" si="176"/>
        <v>2.2708641912150958E-12</v>
      </c>
      <c r="DR170" s="20">
        <f t="shared" si="177"/>
        <v>4.2330868906469593E-12</v>
      </c>
      <c r="DS170" s="59">
        <f t="shared" si="125"/>
        <v>288.40175636392382</v>
      </c>
      <c r="DT170" s="59">
        <f ca="1">AVERAGE(OFFSET($DS$3,0,0,'Données projet'!$E$14+1,1))-AVERAGE(OFFSET($H$3,0,0,'Données projet'!$E$14+1,1))</f>
        <v>325.93182817189722</v>
      </c>
      <c r="DU170" s="59">
        <f t="shared" si="152"/>
        <v>280.04509991782709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5.6843418860808015E-14</v>
      </c>
      <c r="EK170" s="17">
        <f>EJ170*VLOOKUP('Données projet'!$B$15,Paramètres!$A$1:$I$89,3,0)*VLOOKUP('Données projet'!$B$15,Paramètres!$A$1:$I$89,5,0)</f>
        <v>4.5224624045658861E-14</v>
      </c>
      <c r="EL170" s="13">
        <f t="shared" si="179"/>
        <v>7.4514601661523691E-13</v>
      </c>
      <c r="EM170" s="20">
        <f t="shared" si="180"/>
        <v>1.3765621991510601E-12</v>
      </c>
      <c r="EN170" s="59">
        <f t="shared" si="128"/>
        <v>288.40175636392098</v>
      </c>
      <c r="EO170" s="59">
        <f ca="1">AVERAGE(OFFSET($EN$3,0,0,'Données projet'!$E$15+1,1))-AVERAGE(OFFSET($H$3,0,0,'Données projet'!$E$15+1,1))</f>
        <v>333.52903437536651</v>
      </c>
      <c r="EP170" s="59">
        <f t="shared" si="154"/>
        <v>359.47288701414777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8.4753274419365865E-2</v>
      </c>
      <c r="EX170" s="21">
        <f>EXP(-LN(2)/2)*EX169+(1-EXP(-LN(2)/2))/(LN(2)/2)*ER170*EU170*VLOOKUP('Données projet'!$B$15,Paramètres!$A$1:$I$89,3,0)*0.475*44/12</f>
        <v>6.0416122736364512E-22</v>
      </c>
      <c r="EY170" s="22">
        <f t="shared" si="181"/>
        <v>8.4753274419365865E-2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-2.8421709430404007E-13</v>
      </c>
      <c r="FF170" s="17">
        <f>FE170*VLOOKUP('Données projet'!$B$16,Paramètres!$A$1:$I$89,3,0)*VLOOKUP('Données projet'!$B$16,Paramètres!$A$1:$I$89,5,0)</f>
        <v>-1.69961822393816E-13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313.26988717307376</v>
      </c>
      <c r="FK170" s="59">
        <f t="shared" si="156"/>
        <v>248.17359813993201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0.1545991482013786</v>
      </c>
      <c r="FR170" s="21">
        <f>EXP(-LN(2)/25)*FR169+(1-EXP(-LN(2)/25))/(LN(2)/25)*Calculateur!FM170*Calculateur!FO170*VLOOKUP('Données projet'!$B$16,Paramètres!$A$1:$I$89,3,0)*0.475*44/12</f>
        <v>0.16892066543263892</v>
      </c>
      <c r="FS170" s="21">
        <f>EXP(-LN(2)/2)*FS169+(1-EXP(-LN(2)/2))/(LN(2)/2)*FM170*FP170*VLOOKUP('Données projet'!$B$16,Paramètres!$A$1:$I$89,3,0)*0.475*44/12</f>
        <v>1.0086903711243678E-20</v>
      </c>
      <c r="FT170" s="22">
        <f t="shared" si="184"/>
        <v>0.32351981363401749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181.00000000000009</v>
      </c>
      <c r="GA170" s="17">
        <f>FZ170*VLOOKUP('Données projet'!$B$17,Paramètres!$A$1:$I$89,3,0)*VLOOKUP('Données projet'!$B$17,Paramètres!$A$1:$I$89,5,0)</f>
        <v>194.82840000000007</v>
      </c>
      <c r="GB170" s="13">
        <f t="shared" si="185"/>
        <v>48.605879434898576</v>
      </c>
      <c r="GC170" s="20">
        <f t="shared" si="186"/>
        <v>423.98137001578181</v>
      </c>
      <c r="GD170" s="59">
        <f t="shared" si="134"/>
        <v>712.38312637970148</v>
      </c>
      <c r="GE170" s="59">
        <f ca="1">AVERAGE(OFFSET($GD$3,0,0,'Données projet'!$E$17+1,1))-AVERAGE(OFFSET($H$3,0,0,'Données projet'!$E$17+1,1))</f>
        <v>313.51355235711543</v>
      </c>
      <c r="GF170" s="59">
        <f t="shared" si="158"/>
        <v>186.0840067781198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0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0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275.00000000000057</v>
      </c>
      <c r="O171" s="13">
        <f>N171*VLOOKUP('Données projet'!$B$9,Paramètres!$A$1:$I$89,3,0)*VLOOKUP('Données projet'!$B$9,Paramètres!$A$1:$I$89,5,0)</f>
        <v>278.85000000000059</v>
      </c>
      <c r="P171" s="13">
        <f t="shared" si="141"/>
        <v>66.723922641153095</v>
      </c>
      <c r="Q171" s="20">
        <f t="shared" si="162"/>
        <v>601.8745819333426</v>
      </c>
      <c r="R171" s="59">
        <f t="shared" si="109"/>
        <v>890.36189013232706</v>
      </c>
      <c r="S171" s="59">
        <f ca="1">AVERAGE(OFFSET($R$3,0,0,'Données projet'!$E$9+1,1))-AVERAGE(OFFSET($H$3,0,0,'Données projet'!$E$9+1,1))</f>
        <v>452.67426184967104</v>
      </c>
      <c r="T171" s="59">
        <f t="shared" si="142"/>
        <v>310.47823616327639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-3.979039320256561E-13</v>
      </c>
      <c r="AJ171" s="13">
        <f>AI171*VLOOKUP('Données projet'!$B$10,Paramètres!$A$1:$I$89,3,0)*VLOOKUP('Données projet'!$B$10,Paramètres!$A$1:$I$89,5,0)</f>
        <v>-4.158891897532158E-13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528.45201982036087</v>
      </c>
      <c r="AO171" s="59">
        <f t="shared" si="144"/>
        <v>321.23004033257985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1.6733216150175387E-22</v>
      </c>
      <c r="AX171" s="21">
        <f t="shared" si="166"/>
        <v>1.6733216150175387E-22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181.00000000000009</v>
      </c>
      <c r="BE171" s="13">
        <f>BD171*VLOOKUP('Données projet'!$B$11,Paramètres!$A$1:$I$89,3,0)*VLOOKUP('Données projet'!$B$11,Paramètres!$A$1:$I$89,5,0)</f>
        <v>175.06320000000008</v>
      </c>
      <c r="BF171" s="13">
        <f t="shared" si="167"/>
        <v>44.222067746824763</v>
      </c>
      <c r="BG171" s="20">
        <f t="shared" si="168"/>
        <v>381.92184132571992</v>
      </c>
      <c r="BH171" s="59">
        <f t="shared" si="116"/>
        <v>670.40914952470439</v>
      </c>
      <c r="BI171" s="59">
        <f ca="1">AVERAGE(OFFSET($BH$3,0,0,'Données projet'!$E$11+1,1))-AVERAGE(OFFSET($H$3,0,0,'Données projet'!$E$11+1,1))</f>
        <v>289.06522051625166</v>
      </c>
      <c r="BJ171" s="59">
        <f t="shared" si="146"/>
        <v>173.19148969173838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234.00000000000045</v>
      </c>
      <c r="BZ171" s="13">
        <f>BY171*VLOOKUP('Données projet'!$B$12,Paramètres!$A$1:$I$89,3,0)*VLOOKUP('Données projet'!$B$12,Paramètres!$A$1:$I$89,5,0)</f>
        <v>189.82080000000036</v>
      </c>
      <c r="CA171" s="13">
        <f t="shared" si="170"/>
        <v>47.500332100049881</v>
      </c>
      <c r="CB171" s="20">
        <f t="shared" si="171"/>
        <v>413.33430507425419</v>
      </c>
      <c r="CC171" s="59">
        <f t="shared" si="119"/>
        <v>701.82161327323865</v>
      </c>
      <c r="CD171" s="59">
        <f ca="1">AVERAGE(OFFSET($CC$3,0,0,'Données projet'!$E$12+1,1))-AVERAGE(OFFSET($H$3,0,0,'Données projet'!$E$12+1,1))</f>
        <v>306.06916761900357</v>
      </c>
      <c r="CE171" s="59">
        <f t="shared" si="148"/>
        <v>258.90832875500337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3.0389518524676745E-22</v>
      </c>
      <c r="CN171" s="22">
        <f t="shared" si="172"/>
        <v>3.0389518524676745E-22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275.00000000000057</v>
      </c>
      <c r="CU171" s="17">
        <f>CT171*VLOOKUP('Données projet'!$B$13,Paramètres!$A$1:$I$89,3,0)*VLOOKUP('Données projet'!$B$13,Paramètres!$A$1:$I$89,5,0)</f>
        <v>184.4700000000004</v>
      </c>
      <c r="CV171" s="13">
        <f t="shared" si="173"/>
        <v>46.31525458251663</v>
      </c>
      <c r="CW171" s="20">
        <f t="shared" si="174"/>
        <v>401.95098506455048</v>
      </c>
      <c r="CX171" s="59">
        <f t="shared" si="122"/>
        <v>690.438293263535</v>
      </c>
      <c r="CY171" s="59">
        <f ca="1">AVERAGE(OFFSET($CX$3,0,0,'Données projet'!$E$13+1,1))-AVERAGE(OFFSET($H$3,0,0,'Données projet'!$E$13+1,1))</f>
        <v>324.58754156328285</v>
      </c>
      <c r="CZ171" s="59">
        <f t="shared" si="150"/>
        <v>226.01037731977604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1.8428515720733454E-22</v>
      </c>
      <c r="DI171" s="22">
        <f t="shared" si="175"/>
        <v>1.8428515720733454E-22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3.4106051316484809E-13</v>
      </c>
      <c r="DP171" s="17">
        <f>DO171*VLOOKUP('Données projet'!$B$14,Paramètres!$A$1:$I$89,3,0)*VLOOKUP('Données projet'!$B$14,Paramètres!$A$1:$I$89,5,0)</f>
        <v>1.5961632016114892E-13</v>
      </c>
      <c r="DQ171" s="13">
        <f t="shared" si="176"/>
        <v>2.2708641912150958E-12</v>
      </c>
      <c r="DR171" s="20">
        <f t="shared" si="177"/>
        <v>4.2330868906469593E-12</v>
      </c>
      <c r="DS171" s="59">
        <f t="shared" si="125"/>
        <v>288.48730819898873</v>
      </c>
      <c r="DT171" s="59">
        <f ca="1">AVERAGE(OFFSET($DS$3,0,0,'Données projet'!$E$14+1,1))-AVERAGE(OFFSET($H$3,0,0,'Données projet'!$E$14+1,1))</f>
        <v>325.93182817189722</v>
      </c>
      <c r="DU171" s="59">
        <f t="shared" si="152"/>
        <v>280.04509991782709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5.6843418860808015E-14</v>
      </c>
      <c r="EK171" s="17">
        <f>EJ171*VLOOKUP('Données projet'!$B$15,Paramètres!$A$1:$I$89,3,0)*VLOOKUP('Données projet'!$B$15,Paramètres!$A$1:$I$89,5,0)</f>
        <v>4.5224624045658861E-14</v>
      </c>
      <c r="EL171" s="13">
        <f t="shared" si="179"/>
        <v>7.4514601661523691E-13</v>
      </c>
      <c r="EM171" s="20">
        <f t="shared" si="180"/>
        <v>1.3765621991510601E-12</v>
      </c>
      <c r="EN171" s="59">
        <f t="shared" si="128"/>
        <v>288.48730819898589</v>
      </c>
      <c r="EO171" s="59">
        <f ca="1">AVERAGE(OFFSET($EN$3,0,0,'Données projet'!$E$15+1,1))-AVERAGE(OFFSET($H$3,0,0,'Données projet'!$E$15+1,1))</f>
        <v>333.52903437536651</v>
      </c>
      <c r="EP171" s="59">
        <f t="shared" si="154"/>
        <v>359.47288701414777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8.243569167338731E-2</v>
      </c>
      <c r="EX171" s="21">
        <f>EXP(-LN(2)/2)*EX170+(1-EXP(-LN(2)/2))/(LN(2)/2)*ER171*EU171*VLOOKUP('Données projet'!$B$15,Paramètres!$A$1:$I$89,3,0)*0.475*44/12</f>
        <v>4.2720650079882098E-22</v>
      </c>
      <c r="EY171" s="22">
        <f t="shared" si="181"/>
        <v>8.243569167338731E-2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-2.8421709430404007E-13</v>
      </c>
      <c r="FF171" s="17">
        <f>FE171*VLOOKUP('Données projet'!$B$16,Paramètres!$A$1:$I$89,3,0)*VLOOKUP('Données projet'!$B$16,Paramètres!$A$1:$I$89,5,0)</f>
        <v>-1.69961822393816E-13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313.26988717307376</v>
      </c>
      <c r="FK171" s="59">
        <f t="shared" si="156"/>
        <v>248.17359813993201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0.15156755320131898</v>
      </c>
      <c r="FR171" s="21">
        <f>EXP(-LN(2)/25)*FR170+(1-EXP(-LN(2)/25))/(LN(2)/25)*Calculateur!FM171*Calculateur!FO171*VLOOKUP('Données projet'!$B$16,Paramètres!$A$1:$I$89,3,0)*0.475*44/12</f>
        <v>0.16430152095323169</v>
      </c>
      <c r="FS171" s="21">
        <f>EXP(-LN(2)/2)*FS170+(1-EXP(-LN(2)/2))/(LN(2)/2)*FM171*FP171*VLOOKUP('Données projet'!$B$16,Paramètres!$A$1:$I$89,3,0)*0.475*44/12</f>
        <v>7.1325180153961574E-21</v>
      </c>
      <c r="FT171" s="22">
        <f t="shared" si="184"/>
        <v>0.31586907415455068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181.00000000000009</v>
      </c>
      <c r="GA171" s="17">
        <f>FZ171*VLOOKUP('Données projet'!$B$17,Paramètres!$A$1:$I$89,3,0)*VLOOKUP('Données projet'!$B$17,Paramètres!$A$1:$I$89,5,0)</f>
        <v>194.82840000000007</v>
      </c>
      <c r="GB171" s="13">
        <f t="shared" si="185"/>
        <v>48.605879434898576</v>
      </c>
      <c r="GC171" s="20">
        <f t="shared" si="186"/>
        <v>423.98137001578181</v>
      </c>
      <c r="GD171" s="59">
        <f t="shared" si="134"/>
        <v>712.46867821476633</v>
      </c>
      <c r="GE171" s="59">
        <f ca="1">AVERAGE(OFFSET($GD$3,0,0,'Données projet'!$E$17+1,1))-AVERAGE(OFFSET($H$3,0,0,'Données projet'!$E$17+1,1))</f>
        <v>313.51355235711543</v>
      </c>
      <c r="GF171" s="59">
        <f t="shared" si="158"/>
        <v>186.0840067781198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0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0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275.00000000000057</v>
      </c>
      <c r="O172" s="13">
        <f>N172*VLOOKUP('Données projet'!$B$9,Paramètres!$A$1:$I$89,3,0)*VLOOKUP('Données projet'!$B$9,Paramètres!$A$1:$I$89,5,0)</f>
        <v>278.85000000000059</v>
      </c>
      <c r="P172" s="13">
        <f t="shared" si="141"/>
        <v>66.723922641153095</v>
      </c>
      <c r="Q172" s="20">
        <f t="shared" si="162"/>
        <v>601.8745819333426</v>
      </c>
      <c r="R172" s="59">
        <f t="shared" si="109"/>
        <v>890.44595783431896</v>
      </c>
      <c r="S172" s="59">
        <f ca="1">AVERAGE(OFFSET($R$3,0,0,'Données projet'!$E$9+1,1))-AVERAGE(OFFSET($H$3,0,0,'Données projet'!$E$9+1,1))</f>
        <v>452.67426184967104</v>
      </c>
      <c r="T172" s="59">
        <f t="shared" si="142"/>
        <v>310.47823616327639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-3.979039320256561E-13</v>
      </c>
      <c r="AJ172" s="13">
        <f>AI172*VLOOKUP('Données projet'!$B$10,Paramètres!$A$1:$I$89,3,0)*VLOOKUP('Données projet'!$B$10,Paramètres!$A$1:$I$89,5,0)</f>
        <v>-4.158891897532158E-13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528.45201982036087</v>
      </c>
      <c r="AO172" s="59">
        <f t="shared" si="144"/>
        <v>321.23004033257985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1.183217061084927E-22</v>
      </c>
      <c r="AX172" s="21">
        <f t="shared" si="166"/>
        <v>1.183217061084927E-22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181.00000000000009</v>
      </c>
      <c r="BE172" s="13">
        <f>BD172*VLOOKUP('Données projet'!$B$11,Paramètres!$A$1:$I$89,3,0)*VLOOKUP('Données projet'!$B$11,Paramètres!$A$1:$I$89,5,0)</f>
        <v>175.06320000000008</v>
      </c>
      <c r="BF172" s="13">
        <f t="shared" si="167"/>
        <v>44.222067746824763</v>
      </c>
      <c r="BG172" s="20">
        <f t="shared" si="168"/>
        <v>381.92184132571992</v>
      </c>
      <c r="BH172" s="59">
        <f t="shared" si="116"/>
        <v>670.49321722669629</v>
      </c>
      <c r="BI172" s="59">
        <f ca="1">AVERAGE(OFFSET($BH$3,0,0,'Données projet'!$E$11+1,1))-AVERAGE(OFFSET($H$3,0,0,'Données projet'!$E$11+1,1))</f>
        <v>289.06522051625166</v>
      </c>
      <c r="BJ172" s="59">
        <f t="shared" si="146"/>
        <v>173.19148969173838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234.00000000000045</v>
      </c>
      <c r="BZ172" s="13">
        <f>BY172*VLOOKUP('Données projet'!$B$12,Paramètres!$A$1:$I$89,3,0)*VLOOKUP('Données projet'!$B$12,Paramètres!$A$1:$I$89,5,0)</f>
        <v>189.82080000000036</v>
      </c>
      <c r="CA172" s="13">
        <f t="shared" si="170"/>
        <v>47.500332100049881</v>
      </c>
      <c r="CB172" s="20">
        <f t="shared" si="171"/>
        <v>413.33430507425419</v>
      </c>
      <c r="CC172" s="59">
        <f t="shared" si="119"/>
        <v>701.90568097523055</v>
      </c>
      <c r="CD172" s="59">
        <f ca="1">AVERAGE(OFFSET($CC$3,0,0,'Données projet'!$E$12+1,1))-AVERAGE(OFFSET($H$3,0,0,'Données projet'!$E$12+1,1))</f>
        <v>306.06916761900357</v>
      </c>
      <c r="CE172" s="59">
        <f t="shared" si="148"/>
        <v>258.90832875500337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2.1488634625793132E-22</v>
      </c>
      <c r="CN172" s="22">
        <f t="shared" si="172"/>
        <v>2.1488634625793132E-22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275.00000000000057</v>
      </c>
      <c r="CU172" s="17">
        <f>CT172*VLOOKUP('Données projet'!$B$13,Paramètres!$A$1:$I$89,3,0)*VLOOKUP('Données projet'!$B$13,Paramètres!$A$1:$I$89,5,0)</f>
        <v>184.4700000000004</v>
      </c>
      <c r="CV172" s="13">
        <f t="shared" si="173"/>
        <v>46.31525458251663</v>
      </c>
      <c r="CW172" s="20">
        <f t="shared" si="174"/>
        <v>401.95098506455048</v>
      </c>
      <c r="CX172" s="59">
        <f t="shared" si="122"/>
        <v>690.5223609655269</v>
      </c>
      <c r="CY172" s="59">
        <f ca="1">AVERAGE(OFFSET($CX$3,0,0,'Données projet'!$E$13+1,1))-AVERAGE(OFFSET($H$3,0,0,'Données projet'!$E$13+1,1))</f>
        <v>324.58754156328285</v>
      </c>
      <c r="CZ172" s="59">
        <f t="shared" si="150"/>
        <v>226.01037731977604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1.3030928433333522E-22</v>
      </c>
      <c r="DI172" s="22">
        <f t="shared" si="175"/>
        <v>1.3030928433333522E-22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3.4106051316484809E-13</v>
      </c>
      <c r="DP172" s="17">
        <f>DO172*VLOOKUP('Données projet'!$B$14,Paramètres!$A$1:$I$89,3,0)*VLOOKUP('Données projet'!$B$14,Paramètres!$A$1:$I$89,5,0)</f>
        <v>1.5961632016114892E-13</v>
      </c>
      <c r="DQ172" s="13">
        <f t="shared" si="176"/>
        <v>2.2708641912150958E-12</v>
      </c>
      <c r="DR172" s="20">
        <f t="shared" si="177"/>
        <v>4.2330868906469593E-12</v>
      </c>
      <c r="DS172" s="59">
        <f t="shared" si="125"/>
        <v>288.57137590098063</v>
      </c>
      <c r="DT172" s="59">
        <f ca="1">AVERAGE(OFFSET($DS$3,0,0,'Données projet'!$E$14+1,1))-AVERAGE(OFFSET($H$3,0,0,'Données projet'!$E$14+1,1))</f>
        <v>325.93182817189722</v>
      </c>
      <c r="DU172" s="59">
        <f t="shared" si="152"/>
        <v>280.04509991782709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5.6843418860808015E-14</v>
      </c>
      <c r="EK172" s="17">
        <f>EJ172*VLOOKUP('Données projet'!$B$15,Paramètres!$A$1:$I$89,3,0)*VLOOKUP('Données projet'!$B$15,Paramètres!$A$1:$I$89,5,0)</f>
        <v>4.5224624045658861E-14</v>
      </c>
      <c r="EL172" s="13">
        <f t="shared" si="179"/>
        <v>7.4514601661523691E-13</v>
      </c>
      <c r="EM172" s="20">
        <f t="shared" si="180"/>
        <v>1.3765621991510601E-12</v>
      </c>
      <c r="EN172" s="59">
        <f t="shared" si="128"/>
        <v>288.57137590097778</v>
      </c>
      <c r="EO172" s="59">
        <f ca="1">AVERAGE(OFFSET($EN$3,0,0,'Données projet'!$E$15+1,1))-AVERAGE(OFFSET($H$3,0,0,'Données projet'!$E$15+1,1))</f>
        <v>333.52903437536651</v>
      </c>
      <c r="EP172" s="59">
        <f t="shared" si="154"/>
        <v>359.47288701414777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8.018148334947392E-2</v>
      </c>
      <c r="EX172" s="21">
        <f>EXP(-LN(2)/2)*EX171+(1-EXP(-LN(2)/2))/(LN(2)/2)*ER172*EU172*VLOOKUP('Données projet'!$B$15,Paramètres!$A$1:$I$89,3,0)*0.475*44/12</f>
        <v>3.0208061368182256E-22</v>
      </c>
      <c r="EY172" s="22">
        <f t="shared" si="181"/>
        <v>8.018148334947392E-2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-2.8421709430404007E-13</v>
      </c>
      <c r="FF172" s="17">
        <f>FE172*VLOOKUP('Données projet'!$B$16,Paramètres!$A$1:$I$89,3,0)*VLOOKUP('Données projet'!$B$16,Paramètres!$A$1:$I$89,5,0)</f>
        <v>-1.69961822393816E-13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313.26988717307376</v>
      </c>
      <c r="FK172" s="59">
        <f t="shared" si="156"/>
        <v>248.17359813993201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0.14859540593012019</v>
      </c>
      <c r="FR172" s="21">
        <f>EXP(-LN(2)/25)*FR171+(1-EXP(-LN(2)/25))/(LN(2)/25)*Calculateur!FM172*Calculateur!FO172*VLOOKUP('Données projet'!$B$16,Paramètres!$A$1:$I$89,3,0)*0.475*44/12</f>
        <v>0.15980868722252412</v>
      </c>
      <c r="FS172" s="21">
        <f>EXP(-LN(2)/2)*FS171+(1-EXP(-LN(2)/2))/(LN(2)/2)*FM172*FP172*VLOOKUP('Données projet'!$B$16,Paramètres!$A$1:$I$89,3,0)*0.475*44/12</f>
        <v>5.043451855621839E-21</v>
      </c>
      <c r="FT172" s="22">
        <f t="shared" si="184"/>
        <v>0.30840409315264428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181.00000000000009</v>
      </c>
      <c r="GA172" s="17">
        <f>FZ172*VLOOKUP('Données projet'!$B$17,Paramètres!$A$1:$I$89,3,0)*VLOOKUP('Données projet'!$B$17,Paramètres!$A$1:$I$89,5,0)</f>
        <v>194.82840000000007</v>
      </c>
      <c r="GB172" s="13">
        <f t="shared" si="185"/>
        <v>48.605879434898576</v>
      </c>
      <c r="GC172" s="20">
        <f t="shared" si="186"/>
        <v>423.98137001578181</v>
      </c>
      <c r="GD172" s="59">
        <f t="shared" si="134"/>
        <v>712.55274591675823</v>
      </c>
      <c r="GE172" s="59">
        <f ca="1">AVERAGE(OFFSET($GD$3,0,0,'Données projet'!$E$17+1,1))-AVERAGE(OFFSET($H$3,0,0,'Données projet'!$E$17+1,1))</f>
        <v>313.51355235711543</v>
      </c>
      <c r="GF172" s="59">
        <f t="shared" si="158"/>
        <v>186.0840067781198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0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0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275.00000000000057</v>
      </c>
      <c r="O173" s="13">
        <f>N173*VLOOKUP('Données projet'!$B$9,Paramètres!$A$1:$I$89,3,0)*VLOOKUP('Données projet'!$B$9,Paramètres!$A$1:$I$89,5,0)</f>
        <v>278.85000000000059</v>
      </c>
      <c r="P173" s="13">
        <f t="shared" si="141"/>
        <v>66.723922641153095</v>
      </c>
      <c r="Q173" s="20">
        <f t="shared" si="162"/>
        <v>601.8745819333426</v>
      </c>
      <c r="R173" s="59">
        <f t="shared" si="109"/>
        <v>890.52856714962854</v>
      </c>
      <c r="S173" s="59">
        <f ca="1">AVERAGE(OFFSET($R$3,0,0,'Données projet'!$E$9+1,1))-AVERAGE(OFFSET($H$3,0,0,'Données projet'!$E$9+1,1))</f>
        <v>452.67426184967104</v>
      </c>
      <c r="T173" s="59">
        <f t="shared" si="142"/>
        <v>310.47823616327639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-3.979039320256561E-13</v>
      </c>
      <c r="AJ173" s="13">
        <f>AI173*VLOOKUP('Données projet'!$B$10,Paramètres!$A$1:$I$89,3,0)*VLOOKUP('Données projet'!$B$10,Paramètres!$A$1:$I$89,5,0)</f>
        <v>-4.158891897532158E-13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528.45201982036087</v>
      </c>
      <c r="AO173" s="59">
        <f t="shared" si="144"/>
        <v>321.23004033257985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8.3666080750876935E-23</v>
      </c>
      <c r="AX173" s="21">
        <f t="shared" si="166"/>
        <v>8.3666080750876935E-23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181.00000000000009</v>
      </c>
      <c r="BE173" s="13">
        <f>BD173*VLOOKUP('Données projet'!$B$11,Paramètres!$A$1:$I$89,3,0)*VLOOKUP('Données projet'!$B$11,Paramètres!$A$1:$I$89,5,0)</f>
        <v>175.06320000000008</v>
      </c>
      <c r="BF173" s="13">
        <f t="shared" si="167"/>
        <v>44.222067746824763</v>
      </c>
      <c r="BG173" s="20">
        <f t="shared" si="168"/>
        <v>381.92184132571992</v>
      </c>
      <c r="BH173" s="59">
        <f t="shared" si="116"/>
        <v>670.57582654200587</v>
      </c>
      <c r="BI173" s="59">
        <f ca="1">AVERAGE(OFFSET($BH$3,0,0,'Données projet'!$E$11+1,1))-AVERAGE(OFFSET($H$3,0,0,'Données projet'!$E$11+1,1))</f>
        <v>289.06522051625166</v>
      </c>
      <c r="BJ173" s="59">
        <f t="shared" si="146"/>
        <v>173.19148969173838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234.00000000000045</v>
      </c>
      <c r="BZ173" s="13">
        <f>BY173*VLOOKUP('Données projet'!$B$12,Paramètres!$A$1:$I$89,3,0)*VLOOKUP('Données projet'!$B$12,Paramètres!$A$1:$I$89,5,0)</f>
        <v>189.82080000000036</v>
      </c>
      <c r="CA173" s="13">
        <f t="shared" si="170"/>
        <v>47.500332100049881</v>
      </c>
      <c r="CB173" s="20">
        <f t="shared" si="171"/>
        <v>413.33430507425419</v>
      </c>
      <c r="CC173" s="59">
        <f t="shared" si="119"/>
        <v>701.98829029054014</v>
      </c>
      <c r="CD173" s="59">
        <f ca="1">AVERAGE(OFFSET($CC$3,0,0,'Données projet'!$E$12+1,1))-AVERAGE(OFFSET($H$3,0,0,'Données projet'!$E$12+1,1))</f>
        <v>306.06916761900357</v>
      </c>
      <c r="CE173" s="59">
        <f t="shared" si="148"/>
        <v>258.90832875500337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1.5194759262338373E-22</v>
      </c>
      <c r="CN173" s="22">
        <f t="shared" si="172"/>
        <v>1.5194759262338373E-22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275.00000000000057</v>
      </c>
      <c r="CU173" s="17">
        <f>CT173*VLOOKUP('Données projet'!$B$13,Paramètres!$A$1:$I$89,3,0)*VLOOKUP('Données projet'!$B$13,Paramètres!$A$1:$I$89,5,0)</f>
        <v>184.4700000000004</v>
      </c>
      <c r="CV173" s="13">
        <f t="shared" si="173"/>
        <v>46.31525458251663</v>
      </c>
      <c r="CW173" s="20">
        <f t="shared" si="174"/>
        <v>401.95098506455048</v>
      </c>
      <c r="CX173" s="59">
        <f t="shared" si="122"/>
        <v>690.60497028083637</v>
      </c>
      <c r="CY173" s="59">
        <f ca="1">AVERAGE(OFFSET($CX$3,0,0,'Données projet'!$E$13+1,1))-AVERAGE(OFFSET($H$3,0,0,'Données projet'!$E$13+1,1))</f>
        <v>324.58754156328285</v>
      </c>
      <c r="CZ173" s="59">
        <f t="shared" si="150"/>
        <v>226.01037731977604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9.2142578603667271E-23</v>
      </c>
      <c r="DI173" s="22">
        <f t="shared" si="175"/>
        <v>9.2142578603667271E-23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3.4106051316484809E-13</v>
      </c>
      <c r="DP173" s="17">
        <f>DO173*VLOOKUP('Données projet'!$B$14,Paramètres!$A$1:$I$89,3,0)*VLOOKUP('Données projet'!$B$14,Paramètres!$A$1:$I$89,5,0)</f>
        <v>1.5961632016114892E-13</v>
      </c>
      <c r="DQ173" s="13">
        <f t="shared" si="176"/>
        <v>2.2708641912150958E-12</v>
      </c>
      <c r="DR173" s="20">
        <f t="shared" si="177"/>
        <v>4.2330868906469593E-12</v>
      </c>
      <c r="DS173" s="59">
        <f t="shared" si="125"/>
        <v>288.6539852162901</v>
      </c>
      <c r="DT173" s="59">
        <f ca="1">AVERAGE(OFFSET($DS$3,0,0,'Données projet'!$E$14+1,1))-AVERAGE(OFFSET($H$3,0,0,'Données projet'!$E$14+1,1))</f>
        <v>325.93182817189722</v>
      </c>
      <c r="DU173" s="59">
        <f t="shared" si="152"/>
        <v>280.04509991782709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5.6843418860808015E-14</v>
      </c>
      <c r="EK173" s="17">
        <f>EJ173*VLOOKUP('Données projet'!$B$15,Paramètres!$A$1:$I$89,3,0)*VLOOKUP('Données projet'!$B$15,Paramètres!$A$1:$I$89,5,0)</f>
        <v>4.5224624045658861E-14</v>
      </c>
      <c r="EL173" s="13">
        <f t="shared" si="179"/>
        <v>7.4514601661523691E-13</v>
      </c>
      <c r="EM173" s="20">
        <f t="shared" si="180"/>
        <v>1.3765621991510601E-12</v>
      </c>
      <c r="EN173" s="59">
        <f t="shared" si="128"/>
        <v>288.65398521628725</v>
      </c>
      <c r="EO173" s="59">
        <f ca="1">AVERAGE(OFFSET($EN$3,0,0,'Données projet'!$E$15+1,1))-AVERAGE(OFFSET($H$3,0,0,'Données projet'!$E$15+1,1))</f>
        <v>333.52903437536651</v>
      </c>
      <c r="EP173" s="59">
        <f t="shared" si="154"/>
        <v>359.47288701414777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7.7988916470721606E-2</v>
      </c>
      <c r="EX173" s="21">
        <f>EXP(-LN(2)/2)*EX172+(1-EXP(-LN(2)/2))/(LN(2)/2)*ER173*EU173*VLOOKUP('Données projet'!$B$15,Paramètres!$A$1:$I$89,3,0)*0.475*44/12</f>
        <v>2.1360325039941049E-22</v>
      </c>
      <c r="EY173" s="22">
        <f t="shared" si="181"/>
        <v>7.7988916470721606E-2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-2.8421709430404007E-13</v>
      </c>
      <c r="FF173" s="17">
        <f>FE173*VLOOKUP('Données projet'!$B$16,Paramètres!$A$1:$I$89,3,0)*VLOOKUP('Données projet'!$B$16,Paramètres!$A$1:$I$89,5,0)</f>
        <v>-1.69961822393816E-13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313.26988717307376</v>
      </c>
      <c r="FK173" s="59">
        <f t="shared" si="156"/>
        <v>248.17359813993201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0.14568154065407876</v>
      </c>
      <c r="FR173" s="21">
        <f>EXP(-LN(2)/25)*FR172+(1-EXP(-LN(2)/25))/(LN(2)/25)*Calculateur!FM173*Calculateur!FO173*VLOOKUP('Données projet'!$B$16,Paramètres!$A$1:$I$89,3,0)*0.475*44/12</f>
        <v>0.15543871026645059</v>
      </c>
      <c r="FS173" s="21">
        <f>EXP(-LN(2)/2)*FS172+(1-EXP(-LN(2)/2))/(LN(2)/2)*FM173*FP173*VLOOKUP('Données projet'!$B$16,Paramètres!$A$1:$I$89,3,0)*0.475*44/12</f>
        <v>3.5662590076980787E-21</v>
      </c>
      <c r="FT173" s="22">
        <f t="shared" si="184"/>
        <v>0.30112025092052935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181.00000000000009</v>
      </c>
      <c r="GA173" s="17">
        <f>FZ173*VLOOKUP('Données projet'!$B$17,Paramètres!$A$1:$I$89,3,0)*VLOOKUP('Données projet'!$B$17,Paramètres!$A$1:$I$89,5,0)</f>
        <v>194.82840000000007</v>
      </c>
      <c r="GB173" s="13">
        <f t="shared" si="185"/>
        <v>48.605879434898576</v>
      </c>
      <c r="GC173" s="20">
        <f t="shared" si="186"/>
        <v>423.98137001578181</v>
      </c>
      <c r="GD173" s="59">
        <f t="shared" si="134"/>
        <v>712.6353552320677</v>
      </c>
      <c r="GE173" s="59">
        <f ca="1">AVERAGE(OFFSET($GD$3,0,0,'Données projet'!$E$17+1,1))-AVERAGE(OFFSET($H$3,0,0,'Données projet'!$E$17+1,1))</f>
        <v>313.51355235711543</v>
      </c>
      <c r="GF173" s="59">
        <f t="shared" si="158"/>
        <v>186.0840067781198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0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0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275.00000000000057</v>
      </c>
      <c r="O174" s="13">
        <f>N174*VLOOKUP('Données projet'!$B$9,Paramètres!$A$1:$I$89,3,0)*VLOOKUP('Données projet'!$B$9,Paramètres!$A$1:$I$89,5,0)</f>
        <v>278.85000000000059</v>
      </c>
      <c r="P174" s="13">
        <f t="shared" si="141"/>
        <v>66.723922641153095</v>
      </c>
      <c r="Q174" s="20">
        <f t="shared" si="162"/>
        <v>601.8745819333426</v>
      </c>
      <c r="R174" s="59">
        <f t="shared" si="109"/>
        <v>890.60974337800417</v>
      </c>
      <c r="S174" s="59">
        <f ca="1">AVERAGE(OFFSET($R$3,0,0,'Données projet'!$E$9+1,1))-AVERAGE(OFFSET($H$3,0,0,'Données projet'!$E$9+1,1))</f>
        <v>452.67426184967104</v>
      </c>
      <c r="T174" s="59">
        <f t="shared" si="142"/>
        <v>310.47823616327639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-3.979039320256561E-13</v>
      </c>
      <c r="AJ174" s="13">
        <f>AI174*VLOOKUP('Données projet'!$B$10,Paramètres!$A$1:$I$89,3,0)*VLOOKUP('Données projet'!$B$10,Paramètres!$A$1:$I$89,5,0)</f>
        <v>-4.158891897532158E-13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528.45201982036087</v>
      </c>
      <c r="AO174" s="59">
        <f t="shared" si="144"/>
        <v>321.23004033257985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5.9160853054246352E-23</v>
      </c>
      <c r="AX174" s="21">
        <f t="shared" si="166"/>
        <v>5.9160853054246352E-23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181.00000000000009</v>
      </c>
      <c r="BE174" s="13">
        <f>BD174*VLOOKUP('Données projet'!$B$11,Paramètres!$A$1:$I$89,3,0)*VLOOKUP('Données projet'!$B$11,Paramètres!$A$1:$I$89,5,0)</f>
        <v>175.06320000000008</v>
      </c>
      <c r="BF174" s="13">
        <f t="shared" si="167"/>
        <v>44.222067746824763</v>
      </c>
      <c r="BG174" s="20">
        <f t="shared" si="168"/>
        <v>381.92184132571992</v>
      </c>
      <c r="BH174" s="59">
        <f t="shared" si="116"/>
        <v>670.6570027703815</v>
      </c>
      <c r="BI174" s="59">
        <f ca="1">AVERAGE(OFFSET($BH$3,0,0,'Données projet'!$E$11+1,1))-AVERAGE(OFFSET($H$3,0,0,'Données projet'!$E$11+1,1))</f>
        <v>289.06522051625166</v>
      </c>
      <c r="BJ174" s="59">
        <f t="shared" si="146"/>
        <v>173.19148969173838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234.00000000000045</v>
      </c>
      <c r="BZ174" s="13">
        <f>BY174*VLOOKUP('Données projet'!$B$12,Paramètres!$A$1:$I$89,3,0)*VLOOKUP('Données projet'!$B$12,Paramètres!$A$1:$I$89,5,0)</f>
        <v>189.82080000000036</v>
      </c>
      <c r="CA174" s="13">
        <f t="shared" si="170"/>
        <v>47.500332100049881</v>
      </c>
      <c r="CB174" s="20">
        <f t="shared" si="171"/>
        <v>413.33430507425419</v>
      </c>
      <c r="CC174" s="59">
        <f t="shared" si="119"/>
        <v>702.06946651891576</v>
      </c>
      <c r="CD174" s="59">
        <f ca="1">AVERAGE(OFFSET($CC$3,0,0,'Données projet'!$E$12+1,1))-AVERAGE(OFFSET($H$3,0,0,'Données projet'!$E$12+1,1))</f>
        <v>306.06916761900357</v>
      </c>
      <c r="CE174" s="59">
        <f t="shared" si="148"/>
        <v>258.90832875500337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1.0744317312896566E-22</v>
      </c>
      <c r="CN174" s="22">
        <f t="shared" si="172"/>
        <v>1.0744317312896566E-22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275.00000000000057</v>
      </c>
      <c r="CU174" s="17">
        <f>CT174*VLOOKUP('Données projet'!$B$13,Paramètres!$A$1:$I$89,3,0)*VLOOKUP('Données projet'!$B$13,Paramètres!$A$1:$I$89,5,0)</f>
        <v>184.4700000000004</v>
      </c>
      <c r="CV174" s="13">
        <f t="shared" si="173"/>
        <v>46.31525458251663</v>
      </c>
      <c r="CW174" s="20">
        <f t="shared" si="174"/>
        <v>401.95098506455048</v>
      </c>
      <c r="CX174" s="59">
        <f t="shared" si="122"/>
        <v>690.68614650921199</v>
      </c>
      <c r="CY174" s="59">
        <f ca="1">AVERAGE(OFFSET($CX$3,0,0,'Données projet'!$E$13+1,1))-AVERAGE(OFFSET($H$3,0,0,'Données projet'!$E$13+1,1))</f>
        <v>324.58754156328285</v>
      </c>
      <c r="CZ174" s="59">
        <f t="shared" si="150"/>
        <v>226.01037731977604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6.5154642166667608E-23</v>
      </c>
      <c r="DI174" s="22">
        <f t="shared" si="175"/>
        <v>6.5154642166667608E-23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3.4106051316484809E-13</v>
      </c>
      <c r="DP174" s="17">
        <f>DO174*VLOOKUP('Données projet'!$B$14,Paramètres!$A$1:$I$89,3,0)*VLOOKUP('Données projet'!$B$14,Paramètres!$A$1:$I$89,5,0)</f>
        <v>1.5961632016114892E-13</v>
      </c>
      <c r="DQ174" s="13">
        <f t="shared" si="176"/>
        <v>2.2708641912150958E-12</v>
      </c>
      <c r="DR174" s="20">
        <f t="shared" si="177"/>
        <v>4.2330868906469593E-12</v>
      </c>
      <c r="DS174" s="59">
        <f t="shared" si="125"/>
        <v>288.73516144466572</v>
      </c>
      <c r="DT174" s="59">
        <f ca="1">AVERAGE(OFFSET($DS$3,0,0,'Données projet'!$E$14+1,1))-AVERAGE(OFFSET($H$3,0,0,'Données projet'!$E$14+1,1))</f>
        <v>325.93182817189722</v>
      </c>
      <c r="DU174" s="59">
        <f t="shared" si="152"/>
        <v>280.04509991782709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5.6843418860808015E-14</v>
      </c>
      <c r="EK174" s="17">
        <f>EJ174*VLOOKUP('Données projet'!$B$15,Paramètres!$A$1:$I$89,3,0)*VLOOKUP('Données projet'!$B$15,Paramètres!$A$1:$I$89,5,0)</f>
        <v>4.5224624045658861E-14</v>
      </c>
      <c r="EL174" s="13">
        <f t="shared" si="179"/>
        <v>7.4514601661523691E-13</v>
      </c>
      <c r="EM174" s="20">
        <f t="shared" si="180"/>
        <v>1.3765621991510601E-12</v>
      </c>
      <c r="EN174" s="59">
        <f t="shared" si="128"/>
        <v>288.73516144466288</v>
      </c>
      <c r="EO174" s="59">
        <f ca="1">AVERAGE(OFFSET($EN$3,0,0,'Données projet'!$E$15+1,1))-AVERAGE(OFFSET($H$3,0,0,'Données projet'!$E$15+1,1))</f>
        <v>333.52903437536651</v>
      </c>
      <c r="EP174" s="59">
        <f t="shared" si="154"/>
        <v>359.47288701414777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7.5856305448570846E-2</v>
      </c>
      <c r="EX174" s="21">
        <f>EXP(-LN(2)/2)*EX173+(1-EXP(-LN(2)/2))/(LN(2)/2)*ER174*EU174*VLOOKUP('Données projet'!$B$15,Paramètres!$A$1:$I$89,3,0)*0.475*44/12</f>
        <v>1.5104030684091128E-22</v>
      </c>
      <c r="EY174" s="22">
        <f t="shared" si="181"/>
        <v>7.5856305448570846E-2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-2.8421709430404007E-13</v>
      </c>
      <c r="FF174" s="17">
        <f>FE174*VLOOKUP('Données projet'!$B$16,Paramètres!$A$1:$I$89,3,0)*VLOOKUP('Données projet'!$B$16,Paramètres!$A$1:$I$89,5,0)</f>
        <v>-1.69961822393816E-13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313.26988717307376</v>
      </c>
      <c r="FK174" s="59">
        <f t="shared" si="156"/>
        <v>248.17359813993201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0.14282481449881818</v>
      </c>
      <c r="FR174" s="21">
        <f>EXP(-LN(2)/25)*FR173+(1-EXP(-LN(2)/25))/(LN(2)/25)*Calculateur!FM174*Calculateur!FO174*VLOOKUP('Données projet'!$B$16,Paramètres!$A$1:$I$89,3,0)*0.475*44/12</f>
        <v>0.15118823056004799</v>
      </c>
      <c r="FS174" s="21">
        <f>EXP(-LN(2)/2)*FS173+(1-EXP(-LN(2)/2))/(LN(2)/2)*FM174*FP174*VLOOKUP('Données projet'!$B$16,Paramètres!$A$1:$I$89,3,0)*0.475*44/12</f>
        <v>2.5217259278109195E-21</v>
      </c>
      <c r="FT174" s="22">
        <f t="shared" si="184"/>
        <v>0.29401304505886616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181.00000000000009</v>
      </c>
      <c r="GA174" s="17">
        <f>FZ174*VLOOKUP('Données projet'!$B$17,Paramètres!$A$1:$I$89,3,0)*VLOOKUP('Données projet'!$B$17,Paramètres!$A$1:$I$89,5,0)</f>
        <v>194.82840000000007</v>
      </c>
      <c r="GB174" s="13">
        <f t="shared" si="185"/>
        <v>48.605879434898576</v>
      </c>
      <c r="GC174" s="20">
        <f t="shared" si="186"/>
        <v>423.98137001578181</v>
      </c>
      <c r="GD174" s="59">
        <f t="shared" si="134"/>
        <v>712.71653146044332</v>
      </c>
      <c r="GE174" s="59">
        <f ca="1">AVERAGE(OFFSET($GD$3,0,0,'Données projet'!$E$17+1,1))-AVERAGE(OFFSET($H$3,0,0,'Données projet'!$E$17+1,1))</f>
        <v>313.51355235711543</v>
      </c>
      <c r="GF174" s="59">
        <f t="shared" si="158"/>
        <v>186.0840067781198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0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0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275.00000000000057</v>
      </c>
      <c r="O175" s="13">
        <f>N175*VLOOKUP('Données projet'!$B$9,Paramètres!$A$1:$I$89,3,0)*VLOOKUP('Données projet'!$B$9,Paramètres!$A$1:$I$89,5,0)</f>
        <v>278.85000000000059</v>
      </c>
      <c r="P175" s="13">
        <f t="shared" si="141"/>
        <v>66.723922641153095</v>
      </c>
      <c r="Q175" s="20">
        <f t="shared" si="162"/>
        <v>601.8745819333426</v>
      </c>
      <c r="R175" s="59">
        <f t="shared" si="109"/>
        <v>890.68951138030025</v>
      </c>
      <c r="S175" s="59">
        <f ca="1">AVERAGE(OFFSET($R$3,0,0,'Données projet'!$E$9+1,1))-AVERAGE(OFFSET($H$3,0,0,'Données projet'!$E$9+1,1))</f>
        <v>452.67426184967104</v>
      </c>
      <c r="T175" s="59">
        <f t="shared" si="142"/>
        <v>310.47823616327639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-3.979039320256561E-13</v>
      </c>
      <c r="AJ175" s="13">
        <f>AI175*VLOOKUP('Données projet'!$B$10,Paramètres!$A$1:$I$89,3,0)*VLOOKUP('Données projet'!$B$10,Paramètres!$A$1:$I$89,5,0)</f>
        <v>-4.158891897532158E-13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528.45201982036087</v>
      </c>
      <c r="AO175" s="59">
        <f t="shared" si="144"/>
        <v>321.23004033257985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4.1833040375438468E-23</v>
      </c>
      <c r="AX175" s="21">
        <f t="shared" si="166"/>
        <v>4.1833040375438468E-23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181.00000000000009</v>
      </c>
      <c r="BE175" s="13">
        <f>BD175*VLOOKUP('Données projet'!$B$11,Paramètres!$A$1:$I$89,3,0)*VLOOKUP('Données projet'!$B$11,Paramètres!$A$1:$I$89,5,0)</f>
        <v>175.06320000000008</v>
      </c>
      <c r="BF175" s="13">
        <f t="shared" si="167"/>
        <v>44.222067746824763</v>
      </c>
      <c r="BG175" s="20">
        <f t="shared" si="168"/>
        <v>381.92184132571992</v>
      </c>
      <c r="BH175" s="59">
        <f t="shared" si="116"/>
        <v>670.73677077267757</v>
      </c>
      <c r="BI175" s="59">
        <f ca="1">AVERAGE(OFFSET($BH$3,0,0,'Données projet'!$E$11+1,1))-AVERAGE(OFFSET($H$3,0,0,'Données projet'!$E$11+1,1))</f>
        <v>289.06522051625166</v>
      </c>
      <c r="BJ175" s="59">
        <f t="shared" si="146"/>
        <v>173.19148969173838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234.00000000000045</v>
      </c>
      <c r="BZ175" s="13">
        <f>BY175*VLOOKUP('Données projet'!$B$12,Paramètres!$A$1:$I$89,3,0)*VLOOKUP('Données projet'!$B$12,Paramètres!$A$1:$I$89,5,0)</f>
        <v>189.82080000000036</v>
      </c>
      <c r="CA175" s="13">
        <f t="shared" si="170"/>
        <v>47.500332100049881</v>
      </c>
      <c r="CB175" s="20">
        <f t="shared" si="171"/>
        <v>413.33430507425419</v>
      </c>
      <c r="CC175" s="59">
        <f t="shared" si="119"/>
        <v>702.14923452121184</v>
      </c>
      <c r="CD175" s="59">
        <f ca="1">AVERAGE(OFFSET($CC$3,0,0,'Données projet'!$E$12+1,1))-AVERAGE(OFFSET($H$3,0,0,'Données projet'!$E$12+1,1))</f>
        <v>306.06916761900357</v>
      </c>
      <c r="CE175" s="59">
        <f t="shared" si="148"/>
        <v>258.90832875500337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7.5973796311691863E-23</v>
      </c>
      <c r="CN175" s="22">
        <f t="shared" si="172"/>
        <v>7.5973796311691863E-23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275.00000000000057</v>
      </c>
      <c r="CU175" s="17">
        <f>CT175*VLOOKUP('Données projet'!$B$13,Paramètres!$A$1:$I$89,3,0)*VLOOKUP('Données projet'!$B$13,Paramètres!$A$1:$I$89,5,0)</f>
        <v>184.4700000000004</v>
      </c>
      <c r="CV175" s="13">
        <f t="shared" si="173"/>
        <v>46.31525458251663</v>
      </c>
      <c r="CW175" s="20">
        <f t="shared" si="174"/>
        <v>401.95098506455048</v>
      </c>
      <c r="CX175" s="59">
        <f t="shared" si="122"/>
        <v>690.76591451150807</v>
      </c>
      <c r="CY175" s="59">
        <f ca="1">AVERAGE(OFFSET($CX$3,0,0,'Données projet'!$E$13+1,1))-AVERAGE(OFFSET($H$3,0,0,'Données projet'!$E$13+1,1))</f>
        <v>324.58754156328285</v>
      </c>
      <c r="CZ175" s="59">
        <f t="shared" si="150"/>
        <v>226.01037731977604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4.6071289301833635E-23</v>
      </c>
      <c r="DI175" s="22">
        <f t="shared" si="175"/>
        <v>4.6071289301833635E-23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3.4106051316484809E-13</v>
      </c>
      <c r="DP175" s="17">
        <f>DO175*VLOOKUP('Données projet'!$B$14,Paramètres!$A$1:$I$89,3,0)*VLOOKUP('Données projet'!$B$14,Paramètres!$A$1:$I$89,5,0)</f>
        <v>1.5961632016114892E-13</v>
      </c>
      <c r="DQ175" s="13">
        <f t="shared" si="176"/>
        <v>2.2708641912150958E-12</v>
      </c>
      <c r="DR175" s="20">
        <f t="shared" si="177"/>
        <v>4.2330868906469593E-12</v>
      </c>
      <c r="DS175" s="59">
        <f t="shared" si="125"/>
        <v>288.81492944696186</v>
      </c>
      <c r="DT175" s="59">
        <f ca="1">AVERAGE(OFFSET($DS$3,0,0,'Données projet'!$E$14+1,1))-AVERAGE(OFFSET($H$3,0,0,'Données projet'!$E$14+1,1))</f>
        <v>325.93182817189722</v>
      </c>
      <c r="DU175" s="59">
        <f t="shared" si="152"/>
        <v>280.04509991782709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5.6843418860808015E-14</v>
      </c>
      <c r="EK175" s="17">
        <f>EJ175*VLOOKUP('Données projet'!$B$15,Paramètres!$A$1:$I$89,3,0)*VLOOKUP('Données projet'!$B$15,Paramètres!$A$1:$I$89,5,0)</f>
        <v>4.5224624045658861E-14</v>
      </c>
      <c r="EL175" s="13">
        <f t="shared" si="179"/>
        <v>7.4514601661523691E-13</v>
      </c>
      <c r="EM175" s="20">
        <f t="shared" si="180"/>
        <v>1.3765621991510601E-12</v>
      </c>
      <c r="EN175" s="59">
        <f t="shared" si="128"/>
        <v>288.81492944695901</v>
      </c>
      <c r="EO175" s="59">
        <f ca="1">AVERAGE(OFFSET($EN$3,0,0,'Données projet'!$E$15+1,1))-AVERAGE(OFFSET($H$3,0,0,'Données projet'!$E$15+1,1))</f>
        <v>333.52903437536651</v>
      </c>
      <c r="EP175" s="59">
        <f t="shared" si="154"/>
        <v>359.47288701414777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7.3782010786969943E-2</v>
      </c>
      <c r="EX175" s="21">
        <f>EXP(-LN(2)/2)*EX174+(1-EXP(-LN(2)/2))/(LN(2)/2)*ER175*EU175*VLOOKUP('Données projet'!$B$15,Paramètres!$A$1:$I$89,3,0)*0.475*44/12</f>
        <v>1.0680162519970525E-22</v>
      </c>
      <c r="EY175" s="22">
        <f t="shared" si="181"/>
        <v>7.3782010786969943E-2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-2.8421709430404007E-13</v>
      </c>
      <c r="FF175" s="17">
        <f>FE175*VLOOKUP('Données projet'!$B$16,Paramètres!$A$1:$I$89,3,0)*VLOOKUP('Données projet'!$B$16,Paramètres!$A$1:$I$89,5,0)</f>
        <v>-1.69961822393816E-13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313.26988717307376</v>
      </c>
      <c r="FK175" s="59">
        <f t="shared" si="156"/>
        <v>248.17359813993201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0.14002410700103135</v>
      </c>
      <c r="FR175" s="21">
        <f>EXP(-LN(2)/25)*FR174+(1-EXP(-LN(2)/25))/(LN(2)/25)*Calculateur!FM175*Calculateur!FO175*VLOOKUP('Données projet'!$B$16,Paramètres!$A$1:$I$89,3,0)*0.475*44/12</f>
        <v>0.14705398044473997</v>
      </c>
      <c r="FS175" s="21">
        <f>EXP(-LN(2)/2)*FS174+(1-EXP(-LN(2)/2))/(LN(2)/2)*FM175*FP175*VLOOKUP('Données projet'!$B$16,Paramètres!$A$1:$I$89,3,0)*0.475*44/12</f>
        <v>1.7831295038490393E-21</v>
      </c>
      <c r="FT175" s="22">
        <f t="shared" si="184"/>
        <v>0.28707808744577135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181.00000000000009</v>
      </c>
      <c r="GA175" s="17">
        <f>FZ175*VLOOKUP('Données projet'!$B$17,Paramètres!$A$1:$I$89,3,0)*VLOOKUP('Données projet'!$B$17,Paramètres!$A$1:$I$89,5,0)</f>
        <v>194.82840000000007</v>
      </c>
      <c r="GB175" s="13">
        <f t="shared" si="185"/>
        <v>48.605879434898576</v>
      </c>
      <c r="GC175" s="20">
        <f t="shared" si="186"/>
        <v>423.98137001578181</v>
      </c>
      <c r="GD175" s="59">
        <f t="shared" si="134"/>
        <v>712.7962994627394</v>
      </c>
      <c r="GE175" s="59">
        <f ca="1">AVERAGE(OFFSET($GD$3,0,0,'Données projet'!$E$17+1,1))-AVERAGE(OFFSET($H$3,0,0,'Données projet'!$E$17+1,1))</f>
        <v>313.51355235711543</v>
      </c>
      <c r="GF175" s="59">
        <f t="shared" si="158"/>
        <v>186.0840067781198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0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0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275.00000000000057</v>
      </c>
      <c r="O176" s="13">
        <f>N176*VLOOKUP('Données projet'!$B$9,Paramètres!$A$1:$I$89,3,0)*VLOOKUP('Données projet'!$B$9,Paramètres!$A$1:$I$89,5,0)</f>
        <v>278.85000000000059</v>
      </c>
      <c r="P176" s="13">
        <f t="shared" si="141"/>
        <v>66.723922641153095</v>
      </c>
      <c r="Q176" s="20">
        <f t="shared" si="162"/>
        <v>601.8745819333426</v>
      </c>
      <c r="R176" s="59">
        <f t="shared" si="109"/>
        <v>890.76789558609107</v>
      </c>
      <c r="S176" s="59">
        <f ca="1">AVERAGE(OFFSET($R$3,0,0,'Données projet'!$E$9+1,1))-AVERAGE(OFFSET($H$3,0,0,'Données projet'!$E$9+1,1))</f>
        <v>452.67426184967104</v>
      </c>
      <c r="T176" s="59">
        <f t="shared" si="142"/>
        <v>310.47823616327639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-3.979039320256561E-13</v>
      </c>
      <c r="AJ176" s="13">
        <f>AI176*VLOOKUP('Données projet'!$B$10,Paramètres!$A$1:$I$89,3,0)*VLOOKUP('Données projet'!$B$10,Paramètres!$A$1:$I$89,5,0)</f>
        <v>-4.158891897532158E-13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528.45201982036087</v>
      </c>
      <c r="AO176" s="59">
        <f t="shared" si="144"/>
        <v>321.23004033257985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2.9580426527123176E-23</v>
      </c>
      <c r="AX176" s="21">
        <f t="shared" si="166"/>
        <v>2.9580426527123176E-23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181.00000000000009</v>
      </c>
      <c r="BE176" s="13">
        <f>BD176*VLOOKUP('Données projet'!$B$11,Paramètres!$A$1:$I$89,3,0)*VLOOKUP('Données projet'!$B$11,Paramètres!$A$1:$I$89,5,0)</f>
        <v>175.06320000000008</v>
      </c>
      <c r="BF176" s="13">
        <f t="shared" si="167"/>
        <v>44.222067746824763</v>
      </c>
      <c r="BG176" s="20">
        <f t="shared" si="168"/>
        <v>381.92184132571992</v>
      </c>
      <c r="BH176" s="59">
        <f t="shared" si="116"/>
        <v>670.8151549784684</v>
      </c>
      <c r="BI176" s="59">
        <f ca="1">AVERAGE(OFFSET($BH$3,0,0,'Données projet'!$E$11+1,1))-AVERAGE(OFFSET($H$3,0,0,'Données projet'!$E$11+1,1))</f>
        <v>289.06522051625166</v>
      </c>
      <c r="BJ176" s="59">
        <f t="shared" si="146"/>
        <v>173.19148969173838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234.00000000000045</v>
      </c>
      <c r="BZ176" s="13">
        <f>BY176*VLOOKUP('Données projet'!$B$12,Paramètres!$A$1:$I$89,3,0)*VLOOKUP('Données projet'!$B$12,Paramètres!$A$1:$I$89,5,0)</f>
        <v>189.82080000000036</v>
      </c>
      <c r="CA176" s="13">
        <f t="shared" si="170"/>
        <v>47.500332100049881</v>
      </c>
      <c r="CB176" s="20">
        <f t="shared" si="171"/>
        <v>413.33430507425419</v>
      </c>
      <c r="CC176" s="59">
        <f t="shared" si="119"/>
        <v>702.22761872700266</v>
      </c>
      <c r="CD176" s="59">
        <f ca="1">AVERAGE(OFFSET($CC$3,0,0,'Données projet'!$E$12+1,1))-AVERAGE(OFFSET($H$3,0,0,'Données projet'!$E$12+1,1))</f>
        <v>306.06916761900357</v>
      </c>
      <c r="CE176" s="59">
        <f t="shared" si="148"/>
        <v>258.90832875500337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5.3721586564482829E-23</v>
      </c>
      <c r="CN176" s="22">
        <f t="shared" si="172"/>
        <v>5.3721586564482829E-23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275.00000000000057</v>
      </c>
      <c r="CU176" s="17">
        <f>CT176*VLOOKUP('Données projet'!$B$13,Paramètres!$A$1:$I$89,3,0)*VLOOKUP('Données projet'!$B$13,Paramètres!$A$1:$I$89,5,0)</f>
        <v>184.4700000000004</v>
      </c>
      <c r="CV176" s="13">
        <f t="shared" si="173"/>
        <v>46.31525458251663</v>
      </c>
      <c r="CW176" s="20">
        <f t="shared" si="174"/>
        <v>401.95098506455048</v>
      </c>
      <c r="CX176" s="59">
        <f t="shared" si="122"/>
        <v>690.8442987172989</v>
      </c>
      <c r="CY176" s="59">
        <f ca="1">AVERAGE(OFFSET($CX$3,0,0,'Données projet'!$E$13+1,1))-AVERAGE(OFFSET($H$3,0,0,'Données projet'!$E$13+1,1))</f>
        <v>324.58754156328285</v>
      </c>
      <c r="CZ176" s="59">
        <f t="shared" si="150"/>
        <v>226.01037731977604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3.2577321083333804E-23</v>
      </c>
      <c r="DI176" s="22">
        <f t="shared" si="175"/>
        <v>3.2577321083333804E-23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3.4106051316484809E-13</v>
      </c>
      <c r="DP176" s="17">
        <f>DO176*VLOOKUP('Données projet'!$B$14,Paramètres!$A$1:$I$89,3,0)*VLOOKUP('Données projet'!$B$14,Paramètres!$A$1:$I$89,5,0)</f>
        <v>1.5961632016114892E-13</v>
      </c>
      <c r="DQ176" s="13">
        <f t="shared" si="176"/>
        <v>2.2708641912150958E-12</v>
      </c>
      <c r="DR176" s="20">
        <f t="shared" si="177"/>
        <v>4.2330868906469593E-12</v>
      </c>
      <c r="DS176" s="59">
        <f t="shared" si="125"/>
        <v>288.89331365275268</v>
      </c>
      <c r="DT176" s="59">
        <f ca="1">AVERAGE(OFFSET($DS$3,0,0,'Données projet'!$E$14+1,1))-AVERAGE(OFFSET($H$3,0,0,'Données projet'!$E$14+1,1))</f>
        <v>325.93182817189722</v>
      </c>
      <c r="DU176" s="59">
        <f t="shared" si="152"/>
        <v>280.04509991782709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5.6843418860808015E-14</v>
      </c>
      <c r="EK176" s="17">
        <f>EJ176*VLOOKUP('Données projet'!$B$15,Paramètres!$A$1:$I$89,3,0)*VLOOKUP('Données projet'!$B$15,Paramètres!$A$1:$I$89,5,0)</f>
        <v>4.5224624045658861E-14</v>
      </c>
      <c r="EL176" s="13">
        <f t="shared" si="179"/>
        <v>7.4514601661523691E-13</v>
      </c>
      <c r="EM176" s="20">
        <f t="shared" si="180"/>
        <v>1.3765621991510601E-12</v>
      </c>
      <c r="EN176" s="59">
        <f t="shared" si="128"/>
        <v>288.89331365274984</v>
      </c>
      <c r="EO176" s="59">
        <f ca="1">AVERAGE(OFFSET($EN$3,0,0,'Données projet'!$E$15+1,1))-AVERAGE(OFFSET($H$3,0,0,'Données projet'!$E$15+1,1))</f>
        <v>333.52903437536651</v>
      </c>
      <c r="EP176" s="59">
        <f t="shared" si="154"/>
        <v>359.47288701414777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7.1764437821972935E-2</v>
      </c>
      <c r="EX176" s="21">
        <f>EXP(-LN(2)/2)*EX175+(1-EXP(-LN(2)/2))/(LN(2)/2)*ER176*EU176*VLOOKUP('Données projet'!$B$15,Paramètres!$A$1:$I$89,3,0)*0.475*44/12</f>
        <v>7.552015342045564E-23</v>
      </c>
      <c r="EY176" s="22">
        <f t="shared" si="181"/>
        <v>7.1764437821972935E-2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-2.8421709430404007E-13</v>
      </c>
      <c r="FF176" s="17">
        <f>FE176*VLOOKUP('Données projet'!$B$16,Paramètres!$A$1:$I$89,3,0)*VLOOKUP('Données projet'!$B$16,Paramètres!$A$1:$I$89,5,0)</f>
        <v>-1.69961822393816E-13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313.26988717307376</v>
      </c>
      <c r="FK176" s="59">
        <f t="shared" si="156"/>
        <v>248.17359813993201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0.13727831966901322</v>
      </c>
      <c r="FR176" s="21">
        <f>EXP(-LN(2)/25)*FR175+(1-EXP(-LN(2)/25))/(LN(2)/25)*Calculateur!FM176*Calculateur!FO176*VLOOKUP('Données projet'!$B$16,Paramètres!$A$1:$I$89,3,0)*0.475*44/12</f>
        <v>0.14303278161624583</v>
      </c>
      <c r="FS176" s="21">
        <f>EXP(-LN(2)/2)*FS175+(1-EXP(-LN(2)/2))/(LN(2)/2)*FM176*FP176*VLOOKUP('Données projet'!$B$16,Paramètres!$A$1:$I$89,3,0)*0.475*44/12</f>
        <v>1.2608629639054598E-21</v>
      </c>
      <c r="FT176" s="22">
        <f t="shared" si="184"/>
        <v>0.28031110128525905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181.00000000000009</v>
      </c>
      <c r="GA176" s="17">
        <f>FZ176*VLOOKUP('Données projet'!$B$17,Paramètres!$A$1:$I$89,3,0)*VLOOKUP('Données projet'!$B$17,Paramètres!$A$1:$I$89,5,0)</f>
        <v>194.82840000000007</v>
      </c>
      <c r="GB176" s="13">
        <f t="shared" si="185"/>
        <v>48.605879434898576</v>
      </c>
      <c r="GC176" s="20">
        <f t="shared" si="186"/>
        <v>423.98137001578181</v>
      </c>
      <c r="GD176" s="59">
        <f t="shared" si="134"/>
        <v>712.87468366853022</v>
      </c>
      <c r="GE176" s="59">
        <f ca="1">AVERAGE(OFFSET($GD$3,0,0,'Données projet'!$E$17+1,1))-AVERAGE(OFFSET($H$3,0,0,'Données projet'!$E$17+1,1))</f>
        <v>313.51355235711543</v>
      </c>
      <c r="GF176" s="59">
        <f t="shared" si="158"/>
        <v>186.0840067781198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0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0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275.00000000000057</v>
      </c>
      <c r="O177" s="13">
        <f>N177*VLOOKUP('Données projet'!$B$9,Paramètres!$A$1:$I$89,3,0)*VLOOKUP('Données projet'!$B$9,Paramètres!$A$1:$I$89,5,0)</f>
        <v>278.85000000000059</v>
      </c>
      <c r="P177" s="13">
        <f t="shared" si="141"/>
        <v>66.723922641153095</v>
      </c>
      <c r="Q177" s="20">
        <f t="shared" si="162"/>
        <v>601.8745819333426</v>
      </c>
      <c r="R177" s="59">
        <f t="shared" si="109"/>
        <v>890.84492000115233</v>
      </c>
      <c r="S177" s="59">
        <f ca="1">AVERAGE(OFFSET($R$3,0,0,'Données projet'!$E$9+1,1))-AVERAGE(OFFSET($H$3,0,0,'Données projet'!$E$9+1,1))</f>
        <v>452.67426184967104</v>
      </c>
      <c r="T177" s="59">
        <f t="shared" si="142"/>
        <v>310.47823616327639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-3.979039320256561E-13</v>
      </c>
      <c r="AJ177" s="13">
        <f>AI177*VLOOKUP('Données projet'!$B$10,Paramètres!$A$1:$I$89,3,0)*VLOOKUP('Données projet'!$B$10,Paramètres!$A$1:$I$89,5,0)</f>
        <v>-4.158891897532158E-13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528.45201982036087</v>
      </c>
      <c r="AO177" s="59">
        <f t="shared" si="144"/>
        <v>321.23004033257985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2.0916520187719234E-23</v>
      </c>
      <c r="AX177" s="21">
        <f t="shared" si="166"/>
        <v>2.0916520187719234E-23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181.00000000000009</v>
      </c>
      <c r="BE177" s="13">
        <f>BD177*VLOOKUP('Données projet'!$B$11,Paramètres!$A$1:$I$89,3,0)*VLOOKUP('Données projet'!$B$11,Paramètres!$A$1:$I$89,5,0)</f>
        <v>175.06320000000008</v>
      </c>
      <c r="BF177" s="13">
        <f t="shared" si="167"/>
        <v>44.222067746824763</v>
      </c>
      <c r="BG177" s="20">
        <f t="shared" si="168"/>
        <v>381.92184132571992</v>
      </c>
      <c r="BH177" s="59">
        <f t="shared" si="116"/>
        <v>670.89217939352966</v>
      </c>
      <c r="BI177" s="59">
        <f ca="1">AVERAGE(OFFSET($BH$3,0,0,'Données projet'!$E$11+1,1))-AVERAGE(OFFSET($H$3,0,0,'Données projet'!$E$11+1,1))</f>
        <v>289.06522051625166</v>
      </c>
      <c r="BJ177" s="59">
        <f t="shared" si="146"/>
        <v>173.19148969173838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234.00000000000045</v>
      </c>
      <c r="BZ177" s="13">
        <f>BY177*VLOOKUP('Données projet'!$B$12,Paramètres!$A$1:$I$89,3,0)*VLOOKUP('Données projet'!$B$12,Paramètres!$A$1:$I$89,5,0)</f>
        <v>189.82080000000036</v>
      </c>
      <c r="CA177" s="13">
        <f t="shared" si="170"/>
        <v>47.500332100049881</v>
      </c>
      <c r="CB177" s="20">
        <f t="shared" si="171"/>
        <v>413.33430507425419</v>
      </c>
      <c r="CC177" s="59">
        <f t="shared" si="119"/>
        <v>702.30464314206392</v>
      </c>
      <c r="CD177" s="59">
        <f ca="1">AVERAGE(OFFSET($CC$3,0,0,'Données projet'!$E$12+1,1))-AVERAGE(OFFSET($H$3,0,0,'Données projet'!$E$12+1,1))</f>
        <v>306.06916761900357</v>
      </c>
      <c r="CE177" s="59">
        <f t="shared" si="148"/>
        <v>258.90832875500337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3.7986898155845932E-23</v>
      </c>
      <c r="CN177" s="22">
        <f t="shared" si="172"/>
        <v>3.7986898155845932E-23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275.00000000000057</v>
      </c>
      <c r="CU177" s="17">
        <f>CT177*VLOOKUP('Données projet'!$B$13,Paramètres!$A$1:$I$89,3,0)*VLOOKUP('Données projet'!$B$13,Paramètres!$A$1:$I$89,5,0)</f>
        <v>184.4700000000004</v>
      </c>
      <c r="CV177" s="13">
        <f t="shared" si="173"/>
        <v>46.31525458251663</v>
      </c>
      <c r="CW177" s="20">
        <f t="shared" si="174"/>
        <v>401.95098506455048</v>
      </c>
      <c r="CX177" s="59">
        <f t="shared" si="122"/>
        <v>690.92132313236016</v>
      </c>
      <c r="CY177" s="59">
        <f ca="1">AVERAGE(OFFSET($CX$3,0,0,'Données projet'!$E$13+1,1))-AVERAGE(OFFSET($H$3,0,0,'Données projet'!$E$13+1,1))</f>
        <v>324.58754156328285</v>
      </c>
      <c r="CZ177" s="59">
        <f t="shared" si="150"/>
        <v>226.01037731977604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2.3035644650916818E-23</v>
      </c>
      <c r="DI177" s="22">
        <f t="shared" si="175"/>
        <v>2.3035644650916818E-23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3.4106051316484809E-13</v>
      </c>
      <c r="DP177" s="17">
        <f>DO177*VLOOKUP('Données projet'!$B$14,Paramètres!$A$1:$I$89,3,0)*VLOOKUP('Données projet'!$B$14,Paramètres!$A$1:$I$89,5,0)</f>
        <v>1.5961632016114892E-13</v>
      </c>
      <c r="DQ177" s="13">
        <f t="shared" si="176"/>
        <v>2.2708641912150958E-12</v>
      </c>
      <c r="DR177" s="20">
        <f t="shared" si="177"/>
        <v>4.2330868906469593E-12</v>
      </c>
      <c r="DS177" s="59">
        <f t="shared" si="125"/>
        <v>288.97033806781394</v>
      </c>
      <c r="DT177" s="59">
        <f ca="1">AVERAGE(OFFSET($DS$3,0,0,'Données projet'!$E$14+1,1))-AVERAGE(OFFSET($H$3,0,0,'Données projet'!$E$14+1,1))</f>
        <v>325.93182817189722</v>
      </c>
      <c r="DU177" s="59">
        <f t="shared" si="152"/>
        <v>280.04509991782709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5.6843418860808015E-14</v>
      </c>
      <c r="EK177" s="17">
        <f>EJ177*VLOOKUP('Données projet'!$B$15,Paramètres!$A$1:$I$89,3,0)*VLOOKUP('Données projet'!$B$15,Paramètres!$A$1:$I$89,5,0)</f>
        <v>4.5224624045658861E-14</v>
      </c>
      <c r="EL177" s="13">
        <f t="shared" si="179"/>
        <v>7.4514601661523691E-13</v>
      </c>
      <c r="EM177" s="20">
        <f t="shared" si="180"/>
        <v>1.3765621991510601E-12</v>
      </c>
      <c r="EN177" s="59">
        <f t="shared" si="128"/>
        <v>288.9703380678111</v>
      </c>
      <c r="EO177" s="59">
        <f ca="1">AVERAGE(OFFSET($EN$3,0,0,'Données projet'!$E$15+1,1))-AVERAGE(OFFSET($H$3,0,0,'Données projet'!$E$15+1,1))</f>
        <v>333.52903437536651</v>
      </c>
      <c r="EP177" s="59">
        <f t="shared" si="154"/>
        <v>359.47288701414777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6.9802035495803313E-2</v>
      </c>
      <c r="EX177" s="21">
        <f>EXP(-LN(2)/2)*EX176+(1-EXP(-LN(2)/2))/(LN(2)/2)*ER177*EU177*VLOOKUP('Données projet'!$B$15,Paramètres!$A$1:$I$89,3,0)*0.475*44/12</f>
        <v>5.3400812599852623E-23</v>
      </c>
      <c r="EY177" s="22">
        <f t="shared" si="181"/>
        <v>6.9802035495803313E-2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-2.8421709430404007E-13</v>
      </c>
      <c r="FF177" s="17">
        <f>FE177*VLOOKUP('Données projet'!$B$16,Paramètres!$A$1:$I$89,3,0)*VLOOKUP('Données projet'!$B$16,Paramètres!$A$1:$I$89,5,0)</f>
        <v>-1.69961822393816E-13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313.26988717307376</v>
      </c>
      <c r="FK177" s="59">
        <f t="shared" si="156"/>
        <v>248.17359813993201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0.13458637555181108</v>
      </c>
      <c r="FR177" s="21">
        <f>EXP(-LN(2)/25)*FR176+(1-EXP(-LN(2)/25))/(LN(2)/25)*Calculateur!FM177*Calculateur!FO177*VLOOKUP('Données projet'!$B$16,Paramètres!$A$1:$I$89,3,0)*0.475*44/12</f>
        <v>0.13912154268118251</v>
      </c>
      <c r="FS177" s="21">
        <f>EXP(-LN(2)/2)*FS176+(1-EXP(-LN(2)/2))/(LN(2)/2)*FM177*FP177*VLOOKUP('Données projet'!$B$16,Paramètres!$A$1:$I$89,3,0)*0.475*44/12</f>
        <v>8.9156475192451967E-22</v>
      </c>
      <c r="FT177" s="22">
        <f t="shared" si="184"/>
        <v>0.27370791823299356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181.00000000000009</v>
      </c>
      <c r="GA177" s="17">
        <f>FZ177*VLOOKUP('Données projet'!$B$17,Paramètres!$A$1:$I$89,3,0)*VLOOKUP('Données projet'!$B$17,Paramètres!$A$1:$I$89,5,0)</f>
        <v>194.82840000000007</v>
      </c>
      <c r="GB177" s="13">
        <f t="shared" si="185"/>
        <v>48.605879434898576</v>
      </c>
      <c r="GC177" s="20">
        <f t="shared" si="186"/>
        <v>423.98137001578181</v>
      </c>
      <c r="GD177" s="59">
        <f t="shared" si="134"/>
        <v>712.95170808359148</v>
      </c>
      <c r="GE177" s="59">
        <f ca="1">AVERAGE(OFFSET($GD$3,0,0,'Données projet'!$E$17+1,1))-AVERAGE(OFFSET($H$3,0,0,'Données projet'!$E$17+1,1))</f>
        <v>313.51355235711543</v>
      </c>
      <c r="GF177" s="59">
        <f t="shared" si="158"/>
        <v>186.0840067781198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0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0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275.00000000000057</v>
      </c>
      <c r="O178" s="13">
        <f>N178*VLOOKUP('Données projet'!$B$9,Paramètres!$A$1:$I$89,3,0)*VLOOKUP('Données projet'!$B$9,Paramètres!$A$1:$I$89,5,0)</f>
        <v>278.85000000000059</v>
      </c>
      <c r="P178" s="13">
        <f t="shared" si="141"/>
        <v>66.723922641153095</v>
      </c>
      <c r="Q178" s="20">
        <f t="shared" si="162"/>
        <v>601.8745819333426</v>
      </c>
      <c r="R178" s="59">
        <f t="shared" si="109"/>
        <v>890.920608214813</v>
      </c>
      <c r="S178" s="59">
        <f ca="1">AVERAGE(OFFSET($R$3,0,0,'Données projet'!$E$9+1,1))-AVERAGE(OFFSET($H$3,0,0,'Données projet'!$E$9+1,1))</f>
        <v>452.67426184967104</v>
      </c>
      <c r="T178" s="59">
        <f t="shared" si="142"/>
        <v>310.47823616327639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-3.979039320256561E-13</v>
      </c>
      <c r="AJ178" s="13">
        <f>AI178*VLOOKUP('Données projet'!$B$10,Paramètres!$A$1:$I$89,3,0)*VLOOKUP('Données projet'!$B$10,Paramètres!$A$1:$I$89,5,0)</f>
        <v>-4.158891897532158E-13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528.45201982036087</v>
      </c>
      <c r="AO178" s="59">
        <f t="shared" si="144"/>
        <v>321.23004033257985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1.4790213263561588E-23</v>
      </c>
      <c r="AX178" s="21">
        <f t="shared" si="166"/>
        <v>1.4790213263561588E-23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181.00000000000009</v>
      </c>
      <c r="BE178" s="13">
        <f>BD178*VLOOKUP('Données projet'!$B$11,Paramètres!$A$1:$I$89,3,0)*VLOOKUP('Données projet'!$B$11,Paramètres!$A$1:$I$89,5,0)</f>
        <v>175.06320000000008</v>
      </c>
      <c r="BF178" s="13">
        <f t="shared" si="167"/>
        <v>44.222067746824763</v>
      </c>
      <c r="BG178" s="20">
        <f t="shared" si="168"/>
        <v>381.92184132571992</v>
      </c>
      <c r="BH178" s="59">
        <f t="shared" si="116"/>
        <v>670.96786760719033</v>
      </c>
      <c r="BI178" s="59">
        <f ca="1">AVERAGE(OFFSET($BH$3,0,0,'Données projet'!$E$11+1,1))-AVERAGE(OFFSET($H$3,0,0,'Données projet'!$E$11+1,1))</f>
        <v>289.06522051625166</v>
      </c>
      <c r="BJ178" s="59">
        <f t="shared" si="146"/>
        <v>173.19148969173838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234.00000000000045</v>
      </c>
      <c r="BZ178" s="13">
        <f>BY178*VLOOKUP('Données projet'!$B$12,Paramètres!$A$1:$I$89,3,0)*VLOOKUP('Données projet'!$B$12,Paramètres!$A$1:$I$89,5,0)</f>
        <v>189.82080000000036</v>
      </c>
      <c r="CA178" s="13">
        <f t="shared" si="170"/>
        <v>47.500332100049881</v>
      </c>
      <c r="CB178" s="20">
        <f t="shared" si="171"/>
        <v>413.33430507425419</v>
      </c>
      <c r="CC178" s="59">
        <f t="shared" si="119"/>
        <v>702.38033135572459</v>
      </c>
      <c r="CD178" s="59">
        <f ca="1">AVERAGE(OFFSET($CC$3,0,0,'Données projet'!$E$12+1,1))-AVERAGE(OFFSET($H$3,0,0,'Données projet'!$E$12+1,1))</f>
        <v>306.06916761900357</v>
      </c>
      <c r="CE178" s="59">
        <f t="shared" si="148"/>
        <v>258.90832875500337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2.6860793282241414E-23</v>
      </c>
      <c r="CN178" s="22">
        <f t="shared" si="172"/>
        <v>2.6860793282241414E-23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275.00000000000057</v>
      </c>
      <c r="CU178" s="17">
        <f>CT178*VLOOKUP('Données projet'!$B$13,Paramètres!$A$1:$I$89,3,0)*VLOOKUP('Données projet'!$B$13,Paramètres!$A$1:$I$89,5,0)</f>
        <v>184.4700000000004</v>
      </c>
      <c r="CV178" s="13">
        <f t="shared" si="173"/>
        <v>46.31525458251663</v>
      </c>
      <c r="CW178" s="20">
        <f t="shared" si="174"/>
        <v>401.95098506455048</v>
      </c>
      <c r="CX178" s="59">
        <f t="shared" si="122"/>
        <v>690.99701134602083</v>
      </c>
      <c r="CY178" s="59">
        <f ca="1">AVERAGE(OFFSET($CX$3,0,0,'Données projet'!$E$13+1,1))-AVERAGE(OFFSET($H$3,0,0,'Données projet'!$E$13+1,1))</f>
        <v>324.58754156328285</v>
      </c>
      <c r="CZ178" s="59">
        <f t="shared" si="150"/>
        <v>226.01037731977604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1.6288660541666902E-23</v>
      </c>
      <c r="DI178" s="22">
        <f t="shared" si="175"/>
        <v>1.6288660541666902E-23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3.4106051316484809E-13</v>
      </c>
      <c r="DP178" s="17">
        <f>DO178*VLOOKUP('Données projet'!$B$14,Paramètres!$A$1:$I$89,3,0)*VLOOKUP('Données projet'!$B$14,Paramètres!$A$1:$I$89,5,0)</f>
        <v>1.5961632016114892E-13</v>
      </c>
      <c r="DQ178" s="13">
        <f t="shared" si="176"/>
        <v>2.2708641912150958E-12</v>
      </c>
      <c r="DR178" s="20">
        <f t="shared" si="177"/>
        <v>4.2330868906469593E-12</v>
      </c>
      <c r="DS178" s="59">
        <f t="shared" si="125"/>
        <v>289.04602628147461</v>
      </c>
      <c r="DT178" s="59">
        <f ca="1">AVERAGE(OFFSET($DS$3,0,0,'Données projet'!$E$14+1,1))-AVERAGE(OFFSET($H$3,0,0,'Données projet'!$E$14+1,1))</f>
        <v>325.93182817189722</v>
      </c>
      <c r="DU178" s="59">
        <f t="shared" si="152"/>
        <v>280.04509991782709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5.6843418860808015E-14</v>
      </c>
      <c r="EK178" s="17">
        <f>EJ178*VLOOKUP('Données projet'!$B$15,Paramètres!$A$1:$I$89,3,0)*VLOOKUP('Données projet'!$B$15,Paramètres!$A$1:$I$89,5,0)</f>
        <v>4.5224624045658861E-14</v>
      </c>
      <c r="EL178" s="13">
        <f t="shared" si="179"/>
        <v>7.4514601661523691E-13</v>
      </c>
      <c r="EM178" s="20">
        <f t="shared" si="180"/>
        <v>1.3765621991510601E-12</v>
      </c>
      <c r="EN178" s="59">
        <f t="shared" si="128"/>
        <v>289.04602628147177</v>
      </c>
      <c r="EO178" s="59">
        <f ca="1">AVERAGE(OFFSET($EN$3,0,0,'Données projet'!$E$15+1,1))-AVERAGE(OFFSET($H$3,0,0,'Données projet'!$E$15+1,1))</f>
        <v>333.52903437536651</v>
      </c>
      <c r="EP178" s="59">
        <f t="shared" si="154"/>
        <v>359.47288701414777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6.7893295164441064E-2</v>
      </c>
      <c r="EX178" s="21">
        <f>EXP(-LN(2)/2)*EX177+(1-EXP(-LN(2)/2))/(LN(2)/2)*ER178*EU178*VLOOKUP('Données projet'!$B$15,Paramètres!$A$1:$I$89,3,0)*0.475*44/12</f>
        <v>3.776007671022782E-23</v>
      </c>
      <c r="EY178" s="22">
        <f t="shared" si="181"/>
        <v>6.7893295164441064E-2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-2.8421709430404007E-13</v>
      </c>
      <c r="FF178" s="17">
        <f>FE178*VLOOKUP('Données projet'!$B$16,Paramètres!$A$1:$I$89,3,0)*VLOOKUP('Données projet'!$B$16,Paramètres!$A$1:$I$89,5,0)</f>
        <v>-1.69961822393816E-13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313.26988717307376</v>
      </c>
      <c r="FK178" s="59">
        <f t="shared" si="156"/>
        <v>248.17359813993201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0.13194721881682347</v>
      </c>
      <c r="FR178" s="21">
        <f>EXP(-LN(2)/25)*FR177+(1-EXP(-LN(2)/25))/(LN(2)/25)*Calculateur!FM178*Calculateur!FO178*VLOOKUP('Données projet'!$B$16,Paramètres!$A$1:$I$89,3,0)*0.475*44/12</f>
        <v>0.13531725678048162</v>
      </c>
      <c r="FS178" s="21">
        <f>EXP(-LN(2)/2)*FS177+(1-EXP(-LN(2)/2))/(LN(2)/2)*FM178*FP178*VLOOKUP('Données projet'!$B$16,Paramètres!$A$1:$I$89,3,0)*0.475*44/12</f>
        <v>6.3043148195272988E-22</v>
      </c>
      <c r="FT178" s="22">
        <f t="shared" si="184"/>
        <v>0.2672644755973051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181.00000000000009</v>
      </c>
      <c r="GA178" s="17">
        <f>FZ178*VLOOKUP('Données projet'!$B$17,Paramètres!$A$1:$I$89,3,0)*VLOOKUP('Données projet'!$B$17,Paramètres!$A$1:$I$89,5,0)</f>
        <v>194.82840000000007</v>
      </c>
      <c r="GB178" s="13">
        <f t="shared" si="185"/>
        <v>48.605879434898576</v>
      </c>
      <c r="GC178" s="20">
        <f t="shared" si="186"/>
        <v>423.98137001578181</v>
      </c>
      <c r="GD178" s="59">
        <f t="shared" si="134"/>
        <v>713.02739629725215</v>
      </c>
      <c r="GE178" s="59">
        <f ca="1">AVERAGE(OFFSET($GD$3,0,0,'Données projet'!$E$17+1,1))-AVERAGE(OFFSET($H$3,0,0,'Données projet'!$E$17+1,1))</f>
        <v>313.51355235711543</v>
      </c>
      <c r="GF178" s="59">
        <f t="shared" si="158"/>
        <v>186.0840067781198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0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0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275.00000000000057</v>
      </c>
      <c r="O179" s="13">
        <f>N179*VLOOKUP('Données projet'!$B$9,Paramètres!$A$1:$I$89,3,0)*VLOOKUP('Données projet'!$B$9,Paramètres!$A$1:$I$89,5,0)</f>
        <v>278.85000000000059</v>
      </c>
      <c r="P179" s="13">
        <f t="shared" si="141"/>
        <v>66.723922641153095</v>
      </c>
      <c r="Q179" s="20">
        <f t="shared" si="162"/>
        <v>601.8745819333426</v>
      </c>
      <c r="R179" s="59">
        <f t="shared" si="109"/>
        <v>890.99498340718014</v>
      </c>
      <c r="S179" s="59">
        <f ca="1">AVERAGE(OFFSET($R$3,0,0,'Données projet'!$E$9+1,1))-AVERAGE(OFFSET($H$3,0,0,'Données projet'!$E$9+1,1))</f>
        <v>452.67426184967104</v>
      </c>
      <c r="T179" s="59">
        <f t="shared" si="142"/>
        <v>310.47823616327639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-3.979039320256561E-13</v>
      </c>
      <c r="AJ179" s="13">
        <f>AI179*VLOOKUP('Données projet'!$B$10,Paramètres!$A$1:$I$89,3,0)*VLOOKUP('Données projet'!$B$10,Paramètres!$A$1:$I$89,5,0)</f>
        <v>-4.158891897532158E-13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528.45201982036087</v>
      </c>
      <c r="AO179" s="59">
        <f t="shared" si="144"/>
        <v>321.23004033257985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1.0458260093859617E-23</v>
      </c>
      <c r="AX179" s="21">
        <f t="shared" si="166"/>
        <v>1.0458260093859617E-23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181.00000000000009</v>
      </c>
      <c r="BE179" s="13">
        <f>BD179*VLOOKUP('Données projet'!$B$11,Paramètres!$A$1:$I$89,3,0)*VLOOKUP('Données projet'!$B$11,Paramètres!$A$1:$I$89,5,0)</f>
        <v>175.06320000000008</v>
      </c>
      <c r="BF179" s="13">
        <f t="shared" si="167"/>
        <v>44.222067746824763</v>
      </c>
      <c r="BG179" s="20">
        <f t="shared" si="168"/>
        <v>381.92184132571992</v>
      </c>
      <c r="BH179" s="59">
        <f t="shared" si="116"/>
        <v>671.04224279955747</v>
      </c>
      <c r="BI179" s="59">
        <f ca="1">AVERAGE(OFFSET($BH$3,0,0,'Données projet'!$E$11+1,1))-AVERAGE(OFFSET($H$3,0,0,'Données projet'!$E$11+1,1))</f>
        <v>289.06522051625166</v>
      </c>
      <c r="BJ179" s="59">
        <f t="shared" si="146"/>
        <v>173.19148969173838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234.00000000000045</v>
      </c>
      <c r="BZ179" s="13">
        <f>BY179*VLOOKUP('Données projet'!$B$12,Paramètres!$A$1:$I$89,3,0)*VLOOKUP('Données projet'!$B$12,Paramètres!$A$1:$I$89,5,0)</f>
        <v>189.82080000000036</v>
      </c>
      <c r="CA179" s="13">
        <f t="shared" si="170"/>
        <v>47.500332100049881</v>
      </c>
      <c r="CB179" s="20">
        <f t="shared" si="171"/>
        <v>413.33430507425419</v>
      </c>
      <c r="CC179" s="59">
        <f t="shared" si="119"/>
        <v>702.45470654809174</v>
      </c>
      <c r="CD179" s="59">
        <f ca="1">AVERAGE(OFFSET($CC$3,0,0,'Données projet'!$E$12+1,1))-AVERAGE(OFFSET($H$3,0,0,'Données projet'!$E$12+1,1))</f>
        <v>306.06916761900357</v>
      </c>
      <c r="CE179" s="59">
        <f t="shared" si="148"/>
        <v>258.90832875500337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1.8993449077922966E-23</v>
      </c>
      <c r="CN179" s="22">
        <f t="shared" si="172"/>
        <v>1.8993449077922966E-23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275.00000000000057</v>
      </c>
      <c r="CU179" s="17">
        <f>CT179*VLOOKUP('Données projet'!$B$13,Paramètres!$A$1:$I$89,3,0)*VLOOKUP('Données projet'!$B$13,Paramètres!$A$1:$I$89,5,0)</f>
        <v>184.4700000000004</v>
      </c>
      <c r="CV179" s="13">
        <f t="shared" si="173"/>
        <v>46.31525458251663</v>
      </c>
      <c r="CW179" s="20">
        <f t="shared" si="174"/>
        <v>401.95098506455048</v>
      </c>
      <c r="CX179" s="59">
        <f t="shared" si="122"/>
        <v>691.07138653838808</v>
      </c>
      <c r="CY179" s="59">
        <f ca="1">AVERAGE(OFFSET($CX$3,0,0,'Données projet'!$E$13+1,1))-AVERAGE(OFFSET($H$3,0,0,'Données projet'!$E$13+1,1))</f>
        <v>324.58754156328285</v>
      </c>
      <c r="CZ179" s="59">
        <f t="shared" si="150"/>
        <v>226.01037731977604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1.1517822325458409E-23</v>
      </c>
      <c r="DI179" s="22">
        <f t="shared" si="175"/>
        <v>1.1517822325458409E-23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3.4106051316484809E-13</v>
      </c>
      <c r="DP179" s="17">
        <f>DO179*VLOOKUP('Données projet'!$B$14,Paramètres!$A$1:$I$89,3,0)*VLOOKUP('Données projet'!$B$14,Paramètres!$A$1:$I$89,5,0)</f>
        <v>1.5961632016114892E-13</v>
      </c>
      <c r="DQ179" s="13">
        <f t="shared" si="176"/>
        <v>2.2708641912150958E-12</v>
      </c>
      <c r="DR179" s="20">
        <f t="shared" si="177"/>
        <v>4.2330868906469593E-12</v>
      </c>
      <c r="DS179" s="59">
        <f t="shared" si="125"/>
        <v>289.12040147384181</v>
      </c>
      <c r="DT179" s="59">
        <f ca="1">AVERAGE(OFFSET($DS$3,0,0,'Données projet'!$E$14+1,1))-AVERAGE(OFFSET($H$3,0,0,'Données projet'!$E$14+1,1))</f>
        <v>325.93182817189722</v>
      </c>
      <c r="DU179" s="59">
        <f t="shared" si="152"/>
        <v>280.04509991782709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5.6843418860808015E-14</v>
      </c>
      <c r="EK179" s="17">
        <f>EJ179*VLOOKUP('Données projet'!$B$15,Paramètres!$A$1:$I$89,3,0)*VLOOKUP('Données projet'!$B$15,Paramètres!$A$1:$I$89,5,0)</f>
        <v>4.5224624045658861E-14</v>
      </c>
      <c r="EL179" s="13">
        <f t="shared" si="179"/>
        <v>7.4514601661523691E-13</v>
      </c>
      <c r="EM179" s="20">
        <f t="shared" si="180"/>
        <v>1.3765621991510601E-12</v>
      </c>
      <c r="EN179" s="59">
        <f t="shared" si="128"/>
        <v>289.12040147383897</v>
      </c>
      <c r="EO179" s="59">
        <f ca="1">AVERAGE(OFFSET($EN$3,0,0,'Données projet'!$E$15+1,1))-AVERAGE(OFFSET($H$3,0,0,'Données projet'!$E$15+1,1))</f>
        <v>333.52903437536651</v>
      </c>
      <c r="EP179" s="59">
        <f t="shared" si="154"/>
        <v>359.47288701414777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6.6036749437816206E-2</v>
      </c>
      <c r="EX179" s="21">
        <f>EXP(-LN(2)/2)*EX178+(1-EXP(-LN(2)/2))/(LN(2)/2)*ER179*EU179*VLOOKUP('Données projet'!$B$15,Paramètres!$A$1:$I$89,3,0)*0.475*44/12</f>
        <v>2.6700406299926311E-23</v>
      </c>
      <c r="EY179" s="22">
        <f t="shared" si="181"/>
        <v>6.6036749437816206E-2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-2.8421709430404007E-13</v>
      </c>
      <c r="FF179" s="17">
        <f>FE179*VLOOKUP('Données projet'!$B$16,Paramètres!$A$1:$I$89,3,0)*VLOOKUP('Données projet'!$B$16,Paramètres!$A$1:$I$89,5,0)</f>
        <v>-1.69961822393816E-13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313.26988717307376</v>
      </c>
      <c r="FK179" s="59">
        <f t="shared" si="156"/>
        <v>248.17359813993201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0.12935981433568233</v>
      </c>
      <c r="FR179" s="21">
        <f>EXP(-LN(2)/25)*FR178+(1-EXP(-LN(2)/25))/(LN(2)/25)*Calculateur!FM179*Calculateur!FO179*VLOOKUP('Données projet'!$B$16,Paramètres!$A$1:$I$89,3,0)*0.475*44/12</f>
        <v>0.13161699927779408</v>
      </c>
      <c r="FS179" s="21">
        <f>EXP(-LN(2)/2)*FS178+(1-EXP(-LN(2)/2))/(LN(2)/2)*FM179*FP179*VLOOKUP('Données projet'!$B$16,Paramètres!$A$1:$I$89,3,0)*0.475*44/12</f>
        <v>4.4578237596225984E-22</v>
      </c>
      <c r="FT179" s="22">
        <f t="shared" si="184"/>
        <v>0.26097681361347641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181.00000000000009</v>
      </c>
      <c r="GA179" s="17">
        <f>FZ179*VLOOKUP('Données projet'!$B$17,Paramètres!$A$1:$I$89,3,0)*VLOOKUP('Données projet'!$B$17,Paramètres!$A$1:$I$89,5,0)</f>
        <v>194.82840000000007</v>
      </c>
      <c r="GB179" s="13">
        <f t="shared" si="185"/>
        <v>48.605879434898576</v>
      </c>
      <c r="GC179" s="20">
        <f t="shared" si="186"/>
        <v>423.98137001578181</v>
      </c>
      <c r="GD179" s="59">
        <f t="shared" si="134"/>
        <v>713.10177148961941</v>
      </c>
      <c r="GE179" s="59">
        <f ca="1">AVERAGE(OFFSET($GD$3,0,0,'Données projet'!$E$17+1,1))-AVERAGE(OFFSET($H$3,0,0,'Données projet'!$E$17+1,1))</f>
        <v>313.51355235711543</v>
      </c>
      <c r="GF179" s="59">
        <f t="shared" si="158"/>
        <v>186.0840067781198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0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0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275.00000000000057</v>
      </c>
      <c r="O180" s="13">
        <f>N180*VLOOKUP('Données projet'!$B$9,Paramètres!$A$1:$I$89,3,0)*VLOOKUP('Données projet'!$B$9,Paramètres!$A$1:$I$89,5,0)</f>
        <v>278.85000000000059</v>
      </c>
      <c r="P180" s="13">
        <f t="shared" si="141"/>
        <v>66.723922641153095</v>
      </c>
      <c r="Q180" s="20">
        <f t="shared" si="162"/>
        <v>601.8745819333426</v>
      </c>
      <c r="R180" s="59">
        <f t="shared" si="109"/>
        <v>891.06806835623786</v>
      </c>
      <c r="S180" s="59">
        <f ca="1">AVERAGE(OFFSET($R$3,0,0,'Données projet'!$E$9+1,1))-AVERAGE(OFFSET($H$3,0,0,'Données projet'!$E$9+1,1))</f>
        <v>452.67426184967104</v>
      </c>
      <c r="T180" s="59">
        <f t="shared" si="142"/>
        <v>310.47823616327639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-3.979039320256561E-13</v>
      </c>
      <c r="AJ180" s="13">
        <f>AI180*VLOOKUP('Données projet'!$B$10,Paramètres!$A$1:$I$89,3,0)*VLOOKUP('Données projet'!$B$10,Paramètres!$A$1:$I$89,5,0)</f>
        <v>-4.158891897532158E-13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528.45201982036087</v>
      </c>
      <c r="AO180" s="59">
        <f t="shared" si="144"/>
        <v>321.23004033257985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7.395106631780794E-24</v>
      </c>
      <c r="AX180" s="21">
        <f t="shared" si="166"/>
        <v>7.395106631780794E-24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181.00000000000009</v>
      </c>
      <c r="BE180" s="13">
        <f>BD180*VLOOKUP('Données projet'!$B$11,Paramètres!$A$1:$I$89,3,0)*VLOOKUP('Données projet'!$B$11,Paramètres!$A$1:$I$89,5,0)</f>
        <v>175.06320000000008</v>
      </c>
      <c r="BF180" s="13">
        <f t="shared" si="167"/>
        <v>44.222067746824763</v>
      </c>
      <c r="BG180" s="20">
        <f t="shared" si="168"/>
        <v>381.92184132571992</v>
      </c>
      <c r="BH180" s="59">
        <f t="shared" si="116"/>
        <v>671.11532774861519</v>
      </c>
      <c r="BI180" s="59">
        <f ca="1">AVERAGE(OFFSET($BH$3,0,0,'Données projet'!$E$11+1,1))-AVERAGE(OFFSET($H$3,0,0,'Données projet'!$E$11+1,1))</f>
        <v>289.06522051625166</v>
      </c>
      <c r="BJ180" s="59">
        <f t="shared" si="146"/>
        <v>173.19148969173838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234.00000000000045</v>
      </c>
      <c r="BZ180" s="13">
        <f>BY180*VLOOKUP('Données projet'!$B$12,Paramètres!$A$1:$I$89,3,0)*VLOOKUP('Données projet'!$B$12,Paramètres!$A$1:$I$89,5,0)</f>
        <v>189.82080000000036</v>
      </c>
      <c r="CA180" s="13">
        <f t="shared" si="170"/>
        <v>47.500332100049881</v>
      </c>
      <c r="CB180" s="20">
        <f t="shared" si="171"/>
        <v>413.33430507425419</v>
      </c>
      <c r="CC180" s="59">
        <f t="shared" si="119"/>
        <v>702.52779149714945</v>
      </c>
      <c r="CD180" s="59">
        <f ca="1">AVERAGE(OFFSET($CC$3,0,0,'Données projet'!$E$12+1,1))-AVERAGE(OFFSET($H$3,0,0,'Données projet'!$E$12+1,1))</f>
        <v>306.06916761900357</v>
      </c>
      <c r="CE180" s="59">
        <f t="shared" si="148"/>
        <v>258.90832875500337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1.3430396641120707E-23</v>
      </c>
      <c r="CN180" s="22">
        <f t="shared" si="172"/>
        <v>1.3430396641120707E-23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275.00000000000057</v>
      </c>
      <c r="CU180" s="17">
        <f>CT180*VLOOKUP('Données projet'!$B$13,Paramètres!$A$1:$I$89,3,0)*VLOOKUP('Données projet'!$B$13,Paramètres!$A$1:$I$89,5,0)</f>
        <v>184.4700000000004</v>
      </c>
      <c r="CV180" s="13">
        <f t="shared" si="173"/>
        <v>46.31525458251663</v>
      </c>
      <c r="CW180" s="20">
        <f t="shared" si="174"/>
        <v>401.95098506455048</v>
      </c>
      <c r="CX180" s="59">
        <f t="shared" si="122"/>
        <v>691.1444714874458</v>
      </c>
      <c r="CY180" s="59">
        <f ca="1">AVERAGE(OFFSET($CX$3,0,0,'Données projet'!$E$13+1,1))-AVERAGE(OFFSET($H$3,0,0,'Données projet'!$E$13+1,1))</f>
        <v>324.58754156328285</v>
      </c>
      <c r="CZ180" s="59">
        <f t="shared" si="150"/>
        <v>226.01037731977604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8.144330270833451E-24</v>
      </c>
      <c r="DI180" s="22">
        <f t="shared" si="175"/>
        <v>8.144330270833451E-24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3.4106051316484809E-13</v>
      </c>
      <c r="DP180" s="17">
        <f>DO180*VLOOKUP('Données projet'!$B$14,Paramètres!$A$1:$I$89,3,0)*VLOOKUP('Données projet'!$B$14,Paramètres!$A$1:$I$89,5,0)</f>
        <v>1.5961632016114892E-13</v>
      </c>
      <c r="DQ180" s="13">
        <f t="shared" si="176"/>
        <v>2.2708641912150958E-12</v>
      </c>
      <c r="DR180" s="20">
        <f t="shared" si="177"/>
        <v>4.2330868906469593E-12</v>
      </c>
      <c r="DS180" s="59">
        <f t="shared" si="125"/>
        <v>289.19348642289947</v>
      </c>
      <c r="DT180" s="59">
        <f ca="1">AVERAGE(OFFSET($DS$3,0,0,'Données projet'!$E$14+1,1))-AVERAGE(OFFSET($H$3,0,0,'Données projet'!$E$14+1,1))</f>
        <v>325.93182817189722</v>
      </c>
      <c r="DU180" s="59">
        <f t="shared" si="152"/>
        <v>280.04509991782709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5.6843418860808015E-14</v>
      </c>
      <c r="EK180" s="17">
        <f>EJ180*VLOOKUP('Données projet'!$B$15,Paramètres!$A$1:$I$89,3,0)*VLOOKUP('Données projet'!$B$15,Paramètres!$A$1:$I$89,5,0)</f>
        <v>4.5224624045658861E-14</v>
      </c>
      <c r="EL180" s="13">
        <f t="shared" si="179"/>
        <v>7.4514601661523691E-13</v>
      </c>
      <c r="EM180" s="20">
        <f t="shared" si="180"/>
        <v>1.3765621991510601E-12</v>
      </c>
      <c r="EN180" s="59">
        <f t="shared" si="128"/>
        <v>289.19348642289663</v>
      </c>
      <c r="EO180" s="59">
        <f ca="1">AVERAGE(OFFSET($EN$3,0,0,'Données projet'!$E$15+1,1))-AVERAGE(OFFSET($H$3,0,0,'Données projet'!$E$15+1,1))</f>
        <v>333.52903437536651</v>
      </c>
      <c r="EP180" s="59">
        <f t="shared" si="154"/>
        <v>359.47288701414777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6.4230971051717392E-2</v>
      </c>
      <c r="EX180" s="21">
        <f>EXP(-LN(2)/2)*EX179+(1-EXP(-LN(2)/2))/(LN(2)/2)*ER180*EU180*VLOOKUP('Données projet'!$B$15,Paramètres!$A$1:$I$89,3,0)*0.475*44/12</f>
        <v>1.888003835511391E-23</v>
      </c>
      <c r="EY180" s="22">
        <f t="shared" si="181"/>
        <v>6.4230971051717392E-2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-2.8421709430404007E-13</v>
      </c>
      <c r="FF180" s="17">
        <f>FE180*VLOOKUP('Données projet'!$B$16,Paramètres!$A$1:$I$89,3,0)*VLOOKUP('Données projet'!$B$16,Paramètres!$A$1:$I$89,5,0)</f>
        <v>-1.69961822393816E-13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313.26988717307376</v>
      </c>
      <c r="FK180" s="59">
        <f t="shared" si="156"/>
        <v>248.17359813993201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0.12682314727825544</v>
      </c>
      <c r="FR180" s="21">
        <f>EXP(-LN(2)/25)*FR179+(1-EXP(-LN(2)/25))/(LN(2)/25)*Calculateur!FM180*Calculateur!FO180*VLOOKUP('Données projet'!$B$16,Paramètres!$A$1:$I$89,3,0)*0.475*44/12</f>
        <v>0.12801792551110563</v>
      </c>
      <c r="FS180" s="21">
        <f>EXP(-LN(2)/2)*FS179+(1-EXP(-LN(2)/2))/(LN(2)/2)*FM180*FP180*VLOOKUP('Données projet'!$B$16,Paramètres!$A$1:$I$89,3,0)*0.475*44/12</f>
        <v>3.1521574097636494E-22</v>
      </c>
      <c r="FT180" s="22">
        <f t="shared" si="184"/>
        <v>0.25484107278936108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181.00000000000009</v>
      </c>
      <c r="GA180" s="17">
        <f>FZ180*VLOOKUP('Données projet'!$B$17,Paramètres!$A$1:$I$89,3,0)*VLOOKUP('Données projet'!$B$17,Paramètres!$A$1:$I$89,5,0)</f>
        <v>194.82840000000007</v>
      </c>
      <c r="GB180" s="13">
        <f t="shared" si="185"/>
        <v>48.605879434898576</v>
      </c>
      <c r="GC180" s="20">
        <f t="shared" si="186"/>
        <v>423.98137001578181</v>
      </c>
      <c r="GD180" s="59">
        <f t="shared" si="134"/>
        <v>713.17485643867712</v>
      </c>
      <c r="GE180" s="59">
        <f ca="1">AVERAGE(OFFSET($GD$3,0,0,'Données projet'!$E$17+1,1))-AVERAGE(OFFSET($H$3,0,0,'Données projet'!$E$17+1,1))</f>
        <v>313.51355235711543</v>
      </c>
      <c r="GF180" s="59">
        <f t="shared" si="158"/>
        <v>186.0840067781198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0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0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275.00000000000057</v>
      </c>
      <c r="O181" s="13">
        <f>N181*VLOOKUP('Données projet'!$B$9,Paramètres!$A$1:$I$89,3,0)*VLOOKUP('Données projet'!$B$9,Paramètres!$A$1:$I$89,5,0)</f>
        <v>278.85000000000059</v>
      </c>
      <c r="P181" s="13">
        <f t="shared" si="141"/>
        <v>66.723922641153095</v>
      </c>
      <c r="Q181" s="20">
        <f t="shared" si="162"/>
        <v>601.8745819333426</v>
      </c>
      <c r="R181" s="59">
        <f t="shared" si="109"/>
        <v>891.13988544482277</v>
      </c>
      <c r="S181" s="59">
        <f ca="1">AVERAGE(OFFSET($R$3,0,0,'Données projet'!$E$9+1,1))-AVERAGE(OFFSET($H$3,0,0,'Données projet'!$E$9+1,1))</f>
        <v>452.67426184967104</v>
      </c>
      <c r="T181" s="59">
        <f t="shared" si="142"/>
        <v>310.47823616327639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-3.979039320256561E-13</v>
      </c>
      <c r="AJ181" s="13">
        <f>AI181*VLOOKUP('Données projet'!$B$10,Paramètres!$A$1:$I$89,3,0)*VLOOKUP('Données projet'!$B$10,Paramètres!$A$1:$I$89,5,0)</f>
        <v>-4.158891897532158E-13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528.45201982036087</v>
      </c>
      <c r="AO181" s="59">
        <f t="shared" si="144"/>
        <v>321.23004033257985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5.2291300469298085E-24</v>
      </c>
      <c r="AX181" s="21">
        <f t="shared" si="166"/>
        <v>5.2291300469298085E-24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181.00000000000009</v>
      </c>
      <c r="BE181" s="13">
        <f>BD181*VLOOKUP('Données projet'!$B$11,Paramètres!$A$1:$I$89,3,0)*VLOOKUP('Données projet'!$B$11,Paramètres!$A$1:$I$89,5,0)</f>
        <v>175.06320000000008</v>
      </c>
      <c r="BF181" s="13">
        <f t="shared" si="167"/>
        <v>44.222067746824763</v>
      </c>
      <c r="BG181" s="20">
        <f t="shared" si="168"/>
        <v>381.92184132571992</v>
      </c>
      <c r="BH181" s="59">
        <f t="shared" si="116"/>
        <v>671.18714483720009</v>
      </c>
      <c r="BI181" s="59">
        <f ca="1">AVERAGE(OFFSET($BH$3,0,0,'Données projet'!$E$11+1,1))-AVERAGE(OFFSET($H$3,0,0,'Données projet'!$E$11+1,1))</f>
        <v>289.06522051625166</v>
      </c>
      <c r="BJ181" s="59">
        <f t="shared" si="146"/>
        <v>173.19148969173838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234.00000000000045</v>
      </c>
      <c r="BZ181" s="13">
        <f>BY181*VLOOKUP('Données projet'!$B$12,Paramètres!$A$1:$I$89,3,0)*VLOOKUP('Données projet'!$B$12,Paramètres!$A$1:$I$89,5,0)</f>
        <v>189.82080000000036</v>
      </c>
      <c r="CA181" s="13">
        <f t="shared" si="170"/>
        <v>47.500332100049881</v>
      </c>
      <c r="CB181" s="20">
        <f t="shared" si="171"/>
        <v>413.33430507425419</v>
      </c>
      <c r="CC181" s="59">
        <f t="shared" si="119"/>
        <v>702.59960858573436</v>
      </c>
      <c r="CD181" s="59">
        <f ca="1">AVERAGE(OFFSET($CC$3,0,0,'Données projet'!$E$12+1,1))-AVERAGE(OFFSET($H$3,0,0,'Données projet'!$E$12+1,1))</f>
        <v>306.06916761900357</v>
      </c>
      <c r="CE181" s="59">
        <f t="shared" si="148"/>
        <v>258.90832875500337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9.4967245389614829E-24</v>
      </c>
      <c r="CN181" s="22">
        <f t="shared" si="172"/>
        <v>9.4967245389614829E-24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275.00000000000057</v>
      </c>
      <c r="CU181" s="17">
        <f>CT181*VLOOKUP('Données projet'!$B$13,Paramètres!$A$1:$I$89,3,0)*VLOOKUP('Données projet'!$B$13,Paramètres!$A$1:$I$89,5,0)</f>
        <v>184.4700000000004</v>
      </c>
      <c r="CV181" s="13">
        <f t="shared" si="173"/>
        <v>46.31525458251663</v>
      </c>
      <c r="CW181" s="20">
        <f t="shared" si="174"/>
        <v>401.95098506455048</v>
      </c>
      <c r="CX181" s="59">
        <f t="shared" si="122"/>
        <v>691.21628857603059</v>
      </c>
      <c r="CY181" s="59">
        <f ca="1">AVERAGE(OFFSET($CX$3,0,0,'Données projet'!$E$13+1,1))-AVERAGE(OFFSET($H$3,0,0,'Données projet'!$E$13+1,1))</f>
        <v>324.58754156328285</v>
      </c>
      <c r="CZ181" s="59">
        <f t="shared" si="150"/>
        <v>226.01037731977604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5.7589111627292044E-24</v>
      </c>
      <c r="DI181" s="22">
        <f t="shared" si="175"/>
        <v>5.7589111627292044E-24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3.4106051316484809E-13</v>
      </c>
      <c r="DP181" s="17">
        <f>DO181*VLOOKUP('Données projet'!$B$14,Paramètres!$A$1:$I$89,3,0)*VLOOKUP('Données projet'!$B$14,Paramètres!$A$1:$I$89,5,0)</f>
        <v>1.5961632016114892E-13</v>
      </c>
      <c r="DQ181" s="13">
        <f t="shared" si="176"/>
        <v>2.2708641912150958E-12</v>
      </c>
      <c r="DR181" s="20">
        <f t="shared" si="177"/>
        <v>4.2330868906469593E-12</v>
      </c>
      <c r="DS181" s="59">
        <f t="shared" si="125"/>
        <v>289.26530351148438</v>
      </c>
      <c r="DT181" s="59">
        <f ca="1">AVERAGE(OFFSET($DS$3,0,0,'Données projet'!$E$14+1,1))-AVERAGE(OFFSET($H$3,0,0,'Données projet'!$E$14+1,1))</f>
        <v>325.93182817189722</v>
      </c>
      <c r="DU181" s="59">
        <f t="shared" si="152"/>
        <v>280.04509991782709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5.6843418860808015E-14</v>
      </c>
      <c r="EK181" s="17">
        <f>EJ181*VLOOKUP('Données projet'!$B$15,Paramètres!$A$1:$I$89,3,0)*VLOOKUP('Données projet'!$B$15,Paramètres!$A$1:$I$89,5,0)</f>
        <v>4.5224624045658861E-14</v>
      </c>
      <c r="EL181" s="13">
        <f t="shared" si="179"/>
        <v>7.4514601661523691E-13</v>
      </c>
      <c r="EM181" s="20">
        <f t="shared" si="180"/>
        <v>1.3765621991510601E-12</v>
      </c>
      <c r="EN181" s="59">
        <f t="shared" si="128"/>
        <v>289.26530351148153</v>
      </c>
      <c r="EO181" s="59">
        <f ca="1">AVERAGE(OFFSET($EN$3,0,0,'Données projet'!$E$15+1,1))-AVERAGE(OFFSET($H$3,0,0,'Données projet'!$E$15+1,1))</f>
        <v>333.52903437536651</v>
      </c>
      <c r="EP181" s="59">
        <f t="shared" si="154"/>
        <v>359.47288701414777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6.2474571770548215E-2</v>
      </c>
      <c r="EX181" s="21">
        <f>EXP(-LN(2)/2)*EX180+(1-EXP(-LN(2)/2))/(LN(2)/2)*ER181*EU181*VLOOKUP('Données projet'!$B$15,Paramètres!$A$1:$I$89,3,0)*0.475*44/12</f>
        <v>1.3350203149963156E-23</v>
      </c>
      <c r="EY181" s="22">
        <f t="shared" si="181"/>
        <v>6.2474571770548215E-2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-2.8421709430404007E-13</v>
      </c>
      <c r="FF181" s="17">
        <f>FE181*VLOOKUP('Données projet'!$B$16,Paramètres!$A$1:$I$89,3,0)*VLOOKUP('Données projet'!$B$16,Paramètres!$A$1:$I$89,5,0)</f>
        <v>-1.69961822393816E-13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313.26988717307376</v>
      </c>
      <c r="FK181" s="59">
        <f t="shared" si="156"/>
        <v>248.17359813993201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0.12433622271461058</v>
      </c>
      <c r="FR181" s="21">
        <f>EXP(-LN(2)/25)*FR180+(1-EXP(-LN(2)/25))/(LN(2)/25)*Calculateur!FM181*Calculateur!FO181*VLOOKUP('Données projet'!$B$16,Paramètres!$A$1:$I$89,3,0)*0.475*44/12</f>
        <v>0.12451726860583434</v>
      </c>
      <c r="FS181" s="21">
        <f>EXP(-LN(2)/2)*FS180+(1-EXP(-LN(2)/2))/(LN(2)/2)*FM181*FP181*VLOOKUP('Données projet'!$B$16,Paramètres!$A$1:$I$89,3,0)*0.475*44/12</f>
        <v>2.2289118798112992E-22</v>
      </c>
      <c r="FT181" s="22">
        <f t="shared" si="184"/>
        <v>0.24885349132044493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181.00000000000009</v>
      </c>
      <c r="GA181" s="17">
        <f>FZ181*VLOOKUP('Données projet'!$B$17,Paramètres!$A$1:$I$89,3,0)*VLOOKUP('Données projet'!$B$17,Paramètres!$A$1:$I$89,5,0)</f>
        <v>194.82840000000007</v>
      </c>
      <c r="GB181" s="13">
        <f t="shared" si="185"/>
        <v>48.605879434898576</v>
      </c>
      <c r="GC181" s="20">
        <f t="shared" si="186"/>
        <v>423.98137001578181</v>
      </c>
      <c r="GD181" s="59">
        <f t="shared" si="134"/>
        <v>713.24667352726192</v>
      </c>
      <c r="GE181" s="59">
        <f ca="1">AVERAGE(OFFSET($GD$3,0,0,'Données projet'!$E$17+1,1))-AVERAGE(OFFSET($H$3,0,0,'Données projet'!$E$17+1,1))</f>
        <v>313.51355235711543</v>
      </c>
      <c r="GF181" s="59">
        <f t="shared" si="158"/>
        <v>186.0840067781198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0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0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275.00000000000057</v>
      </c>
      <c r="O182" s="13">
        <f>N182*VLOOKUP('Données projet'!$B$9,Paramètres!$A$1:$I$89,3,0)*VLOOKUP('Données projet'!$B$9,Paramètres!$A$1:$I$89,5,0)</f>
        <v>278.85000000000059</v>
      </c>
      <c r="P182" s="13">
        <f t="shared" si="141"/>
        <v>66.723922641153095</v>
      </c>
      <c r="Q182" s="20">
        <f t="shared" si="162"/>
        <v>601.8745819333426</v>
      </c>
      <c r="R182" s="59">
        <f t="shared" si="109"/>
        <v>891.21045666747978</v>
      </c>
      <c r="S182" s="59">
        <f ca="1">AVERAGE(OFFSET($R$3,0,0,'Données projet'!$E$9+1,1))-AVERAGE(OFFSET($H$3,0,0,'Données projet'!$E$9+1,1))</f>
        <v>452.67426184967104</v>
      </c>
      <c r="T182" s="59">
        <f t="shared" si="142"/>
        <v>310.47823616327639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-3.979039320256561E-13</v>
      </c>
      <c r="AJ182" s="13">
        <f>AI182*VLOOKUP('Données projet'!$B$10,Paramètres!$A$1:$I$89,3,0)*VLOOKUP('Données projet'!$B$10,Paramètres!$A$1:$I$89,5,0)</f>
        <v>-4.158891897532158E-13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528.45201982036087</v>
      </c>
      <c r="AO182" s="59">
        <f t="shared" si="144"/>
        <v>321.23004033257985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3.697553315890397E-24</v>
      </c>
      <c r="AX182" s="21">
        <f t="shared" si="166"/>
        <v>3.697553315890397E-24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181.00000000000009</v>
      </c>
      <c r="BE182" s="13">
        <f>BD182*VLOOKUP('Données projet'!$B$11,Paramètres!$A$1:$I$89,3,0)*VLOOKUP('Données projet'!$B$11,Paramètres!$A$1:$I$89,5,0)</f>
        <v>175.06320000000008</v>
      </c>
      <c r="BF182" s="13">
        <f t="shared" si="167"/>
        <v>44.222067746824763</v>
      </c>
      <c r="BG182" s="20">
        <f t="shared" si="168"/>
        <v>381.92184132571992</v>
      </c>
      <c r="BH182" s="59">
        <f t="shared" si="116"/>
        <v>671.2577160598571</v>
      </c>
      <c r="BI182" s="59">
        <f ca="1">AVERAGE(OFFSET($BH$3,0,0,'Données projet'!$E$11+1,1))-AVERAGE(OFFSET($H$3,0,0,'Données projet'!$E$11+1,1))</f>
        <v>289.06522051625166</v>
      </c>
      <c r="BJ182" s="59">
        <f t="shared" si="146"/>
        <v>173.19148969173838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234.00000000000045</v>
      </c>
      <c r="BZ182" s="13">
        <f>BY182*VLOOKUP('Données projet'!$B$12,Paramètres!$A$1:$I$89,3,0)*VLOOKUP('Données projet'!$B$12,Paramètres!$A$1:$I$89,5,0)</f>
        <v>189.82080000000036</v>
      </c>
      <c r="CA182" s="13">
        <f t="shared" si="170"/>
        <v>47.500332100049881</v>
      </c>
      <c r="CB182" s="20">
        <f t="shared" si="171"/>
        <v>413.33430507425419</v>
      </c>
      <c r="CC182" s="59">
        <f t="shared" si="119"/>
        <v>702.67017980839137</v>
      </c>
      <c r="CD182" s="59">
        <f ca="1">AVERAGE(OFFSET($CC$3,0,0,'Données projet'!$E$12+1,1))-AVERAGE(OFFSET($H$3,0,0,'Données projet'!$E$12+1,1))</f>
        <v>306.06916761900357</v>
      </c>
      <c r="CE182" s="59">
        <f t="shared" si="148"/>
        <v>258.90832875500337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6.7151983205603536E-24</v>
      </c>
      <c r="CN182" s="22">
        <f t="shared" si="172"/>
        <v>6.7151983205603536E-24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275.00000000000057</v>
      </c>
      <c r="CU182" s="17">
        <f>CT182*VLOOKUP('Données projet'!$B$13,Paramètres!$A$1:$I$89,3,0)*VLOOKUP('Données projet'!$B$13,Paramètres!$A$1:$I$89,5,0)</f>
        <v>184.4700000000004</v>
      </c>
      <c r="CV182" s="13">
        <f t="shared" si="173"/>
        <v>46.31525458251663</v>
      </c>
      <c r="CW182" s="20">
        <f t="shared" si="174"/>
        <v>401.95098506455048</v>
      </c>
      <c r="CX182" s="59">
        <f t="shared" si="122"/>
        <v>691.2868597986876</v>
      </c>
      <c r="CY182" s="59">
        <f ca="1">AVERAGE(OFFSET($CX$3,0,0,'Données projet'!$E$13+1,1))-AVERAGE(OFFSET($H$3,0,0,'Données projet'!$E$13+1,1))</f>
        <v>324.58754156328285</v>
      </c>
      <c r="CZ182" s="59">
        <f t="shared" si="150"/>
        <v>226.01037731977604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4.0721651354167255E-24</v>
      </c>
      <c r="DI182" s="22">
        <f t="shared" si="175"/>
        <v>4.0721651354167255E-24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3.4106051316484809E-13</v>
      </c>
      <c r="DP182" s="17">
        <f>DO182*VLOOKUP('Données projet'!$B$14,Paramètres!$A$1:$I$89,3,0)*VLOOKUP('Données projet'!$B$14,Paramètres!$A$1:$I$89,5,0)</f>
        <v>1.5961632016114892E-13</v>
      </c>
      <c r="DQ182" s="13">
        <f t="shared" si="176"/>
        <v>2.2708641912150958E-12</v>
      </c>
      <c r="DR182" s="20">
        <f t="shared" si="177"/>
        <v>4.2330868906469593E-12</v>
      </c>
      <c r="DS182" s="59">
        <f t="shared" si="125"/>
        <v>289.33587473414133</v>
      </c>
      <c r="DT182" s="59">
        <f ca="1">AVERAGE(OFFSET($DS$3,0,0,'Données projet'!$E$14+1,1))-AVERAGE(OFFSET($H$3,0,0,'Données projet'!$E$14+1,1))</f>
        <v>325.93182817189722</v>
      </c>
      <c r="DU182" s="59">
        <f t="shared" si="152"/>
        <v>280.04509991782709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5.6843418860808015E-14</v>
      </c>
      <c r="EK182" s="17">
        <f>EJ182*VLOOKUP('Données projet'!$B$15,Paramètres!$A$1:$I$89,3,0)*VLOOKUP('Données projet'!$B$15,Paramètres!$A$1:$I$89,5,0)</f>
        <v>4.5224624045658861E-14</v>
      </c>
      <c r="EL182" s="13">
        <f t="shared" si="179"/>
        <v>7.4514601661523691E-13</v>
      </c>
      <c r="EM182" s="20">
        <f t="shared" si="180"/>
        <v>1.3765621991510601E-12</v>
      </c>
      <c r="EN182" s="59">
        <f t="shared" si="128"/>
        <v>289.33587473413849</v>
      </c>
      <c r="EO182" s="59">
        <f ca="1">AVERAGE(OFFSET($EN$3,0,0,'Données projet'!$E$15+1,1))-AVERAGE(OFFSET($H$3,0,0,'Données projet'!$E$15+1,1))</f>
        <v>333.52903437536651</v>
      </c>
      <c r="EP182" s="59">
        <f t="shared" si="154"/>
        <v>359.47288701414777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6.0766201320087629E-2</v>
      </c>
      <c r="EX182" s="21">
        <f>EXP(-LN(2)/2)*EX181+(1-EXP(-LN(2)/2))/(LN(2)/2)*ER182*EU182*VLOOKUP('Données projet'!$B$15,Paramètres!$A$1:$I$89,3,0)*0.475*44/12</f>
        <v>9.440019177556955E-24</v>
      </c>
      <c r="EY182" s="22">
        <f t="shared" si="181"/>
        <v>6.0766201320087629E-2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-2.8421709430404007E-13</v>
      </c>
      <c r="FF182" s="17">
        <f>FE182*VLOOKUP('Données projet'!$B$16,Paramètres!$A$1:$I$89,3,0)*VLOOKUP('Données projet'!$B$16,Paramètres!$A$1:$I$89,5,0)</f>
        <v>-1.69961822393816E-13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313.26988717307376</v>
      </c>
      <c r="FK182" s="59">
        <f t="shared" si="156"/>
        <v>248.17359813993201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0.12189806522478458</v>
      </c>
      <c r="FR182" s="21">
        <f>EXP(-LN(2)/25)*FR181+(1-EXP(-LN(2)/25))/(LN(2)/25)*Calculateur!FM182*Calculateur!FO182*VLOOKUP('Données projet'!$B$16,Paramètres!$A$1:$I$89,3,0)*0.475*44/12</f>
        <v>0.12111233734772923</v>
      </c>
      <c r="FS182" s="21">
        <f>EXP(-LN(2)/2)*FS181+(1-EXP(-LN(2)/2))/(LN(2)/2)*FM182*FP182*VLOOKUP('Données projet'!$B$16,Paramètres!$A$1:$I$89,3,0)*0.475*44/12</f>
        <v>1.5760787048818247E-22</v>
      </c>
      <c r="FT182" s="22">
        <f t="shared" si="184"/>
        <v>0.24301040257251383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181.00000000000009</v>
      </c>
      <c r="GA182" s="17">
        <f>FZ182*VLOOKUP('Données projet'!$B$17,Paramètres!$A$1:$I$89,3,0)*VLOOKUP('Données projet'!$B$17,Paramètres!$A$1:$I$89,5,0)</f>
        <v>194.82840000000007</v>
      </c>
      <c r="GB182" s="13">
        <f t="shared" si="185"/>
        <v>48.605879434898576</v>
      </c>
      <c r="GC182" s="20">
        <f t="shared" si="186"/>
        <v>423.98137001578181</v>
      </c>
      <c r="GD182" s="59">
        <f t="shared" si="134"/>
        <v>713.31724474991893</v>
      </c>
      <c r="GE182" s="59">
        <f ca="1">AVERAGE(OFFSET($GD$3,0,0,'Données projet'!$E$17+1,1))-AVERAGE(OFFSET($H$3,0,0,'Données projet'!$E$17+1,1))</f>
        <v>313.51355235711543</v>
      </c>
      <c r="GF182" s="59">
        <f t="shared" si="158"/>
        <v>186.0840067781198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0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0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275.00000000000057</v>
      </c>
      <c r="O183" s="13">
        <f>N183*VLOOKUP('Données projet'!$B$9,Paramètres!$A$1:$I$89,3,0)*VLOOKUP('Données projet'!$B$9,Paramètres!$A$1:$I$89,5,0)</f>
        <v>278.85000000000059</v>
      </c>
      <c r="P183" s="13">
        <f t="shared" si="141"/>
        <v>66.723922641153095</v>
      </c>
      <c r="Q183" s="20">
        <f t="shared" si="162"/>
        <v>601.8745819333426</v>
      </c>
      <c r="R183" s="59">
        <f t="shared" si="109"/>
        <v>891.27980363719723</v>
      </c>
      <c r="S183" s="59">
        <f ca="1">AVERAGE(OFFSET($R$3,0,0,'Données projet'!$E$9+1,1))-AVERAGE(OFFSET($H$3,0,0,'Données projet'!$E$9+1,1))</f>
        <v>452.67426184967104</v>
      </c>
      <c r="T183" s="59">
        <f t="shared" si="142"/>
        <v>310.47823616327639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-3.979039320256561E-13</v>
      </c>
      <c r="AJ183" s="13">
        <f>AI183*VLOOKUP('Données projet'!$B$10,Paramètres!$A$1:$I$89,3,0)*VLOOKUP('Données projet'!$B$10,Paramètres!$A$1:$I$89,5,0)</f>
        <v>-4.158891897532158E-13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528.45201982036087</v>
      </c>
      <c r="AO183" s="59">
        <f t="shared" si="144"/>
        <v>321.23004033257985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2.6145650234649042E-24</v>
      </c>
      <c r="AX183" s="21">
        <f t="shared" si="166"/>
        <v>2.6145650234649042E-24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181.00000000000009</v>
      </c>
      <c r="BE183" s="13">
        <f>BD183*VLOOKUP('Données projet'!$B$11,Paramètres!$A$1:$I$89,3,0)*VLOOKUP('Données projet'!$B$11,Paramètres!$A$1:$I$89,5,0)</f>
        <v>175.06320000000008</v>
      </c>
      <c r="BF183" s="13">
        <f t="shared" si="167"/>
        <v>44.222067746824763</v>
      </c>
      <c r="BG183" s="20">
        <f t="shared" si="168"/>
        <v>381.92184132571992</v>
      </c>
      <c r="BH183" s="59">
        <f t="shared" si="116"/>
        <v>671.32706302957456</v>
      </c>
      <c r="BI183" s="59">
        <f ca="1">AVERAGE(OFFSET($BH$3,0,0,'Données projet'!$E$11+1,1))-AVERAGE(OFFSET($H$3,0,0,'Données projet'!$E$11+1,1))</f>
        <v>289.06522051625166</v>
      </c>
      <c r="BJ183" s="59">
        <f t="shared" si="146"/>
        <v>173.19148969173838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234.00000000000045</v>
      </c>
      <c r="BZ183" s="13">
        <f>BY183*VLOOKUP('Données projet'!$B$12,Paramètres!$A$1:$I$89,3,0)*VLOOKUP('Données projet'!$B$12,Paramètres!$A$1:$I$89,5,0)</f>
        <v>189.82080000000036</v>
      </c>
      <c r="CA183" s="13">
        <f t="shared" si="170"/>
        <v>47.500332100049881</v>
      </c>
      <c r="CB183" s="20">
        <f t="shared" si="171"/>
        <v>413.33430507425419</v>
      </c>
      <c r="CC183" s="59">
        <f t="shared" si="119"/>
        <v>702.73952677810883</v>
      </c>
      <c r="CD183" s="59">
        <f ca="1">AVERAGE(OFFSET($CC$3,0,0,'Données projet'!$E$12+1,1))-AVERAGE(OFFSET($H$3,0,0,'Données projet'!$E$12+1,1))</f>
        <v>306.06916761900357</v>
      </c>
      <c r="CE183" s="59">
        <f t="shared" si="148"/>
        <v>258.90832875500337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4.7483622694807415E-24</v>
      </c>
      <c r="CN183" s="22">
        <f t="shared" si="172"/>
        <v>4.7483622694807415E-24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275.00000000000057</v>
      </c>
      <c r="CU183" s="17">
        <f>CT183*VLOOKUP('Données projet'!$B$13,Paramètres!$A$1:$I$89,3,0)*VLOOKUP('Données projet'!$B$13,Paramètres!$A$1:$I$89,5,0)</f>
        <v>184.4700000000004</v>
      </c>
      <c r="CV183" s="13">
        <f t="shared" si="173"/>
        <v>46.31525458251663</v>
      </c>
      <c r="CW183" s="20">
        <f t="shared" si="174"/>
        <v>401.95098506455048</v>
      </c>
      <c r="CX183" s="59">
        <f t="shared" si="122"/>
        <v>691.35620676840517</v>
      </c>
      <c r="CY183" s="59">
        <f ca="1">AVERAGE(OFFSET($CX$3,0,0,'Données projet'!$E$13+1,1))-AVERAGE(OFFSET($H$3,0,0,'Données projet'!$E$13+1,1))</f>
        <v>324.58754156328285</v>
      </c>
      <c r="CZ183" s="59">
        <f t="shared" si="150"/>
        <v>226.01037731977604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2.8794555813646022E-24</v>
      </c>
      <c r="DI183" s="22">
        <f t="shared" si="175"/>
        <v>2.8794555813646022E-24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3.4106051316484809E-13</v>
      </c>
      <c r="DP183" s="17">
        <f>DO183*VLOOKUP('Données projet'!$B$14,Paramètres!$A$1:$I$89,3,0)*VLOOKUP('Données projet'!$B$14,Paramètres!$A$1:$I$89,5,0)</f>
        <v>1.5961632016114892E-13</v>
      </c>
      <c r="DQ183" s="13">
        <f t="shared" si="176"/>
        <v>2.2708641912150958E-12</v>
      </c>
      <c r="DR183" s="20">
        <f t="shared" si="177"/>
        <v>4.2330868906469593E-12</v>
      </c>
      <c r="DS183" s="59">
        <f t="shared" si="125"/>
        <v>289.40522170385884</v>
      </c>
      <c r="DT183" s="59">
        <f ca="1">AVERAGE(OFFSET($DS$3,0,0,'Données projet'!$E$14+1,1))-AVERAGE(OFFSET($H$3,0,0,'Données projet'!$E$14+1,1))</f>
        <v>325.93182817189722</v>
      </c>
      <c r="DU183" s="59">
        <f t="shared" si="152"/>
        <v>280.04509991782709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5.6843418860808015E-14</v>
      </c>
      <c r="EK183" s="17">
        <f>EJ183*VLOOKUP('Données projet'!$B$15,Paramètres!$A$1:$I$89,3,0)*VLOOKUP('Données projet'!$B$15,Paramètres!$A$1:$I$89,5,0)</f>
        <v>4.5224624045658861E-14</v>
      </c>
      <c r="EL183" s="13">
        <f t="shared" si="179"/>
        <v>7.4514601661523691E-13</v>
      </c>
      <c r="EM183" s="20">
        <f t="shared" si="180"/>
        <v>1.3765621991510601E-12</v>
      </c>
      <c r="EN183" s="59">
        <f t="shared" si="128"/>
        <v>289.405221703856</v>
      </c>
      <c r="EO183" s="59">
        <f ca="1">AVERAGE(OFFSET($EN$3,0,0,'Données projet'!$E$15+1,1))-AVERAGE(OFFSET($H$3,0,0,'Données projet'!$E$15+1,1))</f>
        <v>333.52903437536651</v>
      </c>
      <c r="EP183" s="59">
        <f t="shared" si="154"/>
        <v>359.47288701414777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5.9104546349434191E-2</v>
      </c>
      <c r="EX183" s="21">
        <f>EXP(-LN(2)/2)*EX182+(1-EXP(-LN(2)/2))/(LN(2)/2)*ER183*EU183*VLOOKUP('Données projet'!$B$15,Paramètres!$A$1:$I$89,3,0)*0.475*44/12</f>
        <v>6.6751015749815778E-24</v>
      </c>
      <c r="EY183" s="22">
        <f t="shared" si="181"/>
        <v>5.9104546349434191E-2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-2.8421709430404007E-13</v>
      </c>
      <c r="FF183" s="17">
        <f>FE183*VLOOKUP('Données projet'!$B$16,Paramètres!$A$1:$I$89,3,0)*VLOOKUP('Données projet'!$B$16,Paramètres!$A$1:$I$89,5,0)</f>
        <v>-1.69961822393816E-13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313.26988717307376</v>
      </c>
      <c r="FK183" s="59">
        <f t="shared" si="156"/>
        <v>248.17359813993201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0.11950771851620484</v>
      </c>
      <c r="FR183" s="21">
        <f>EXP(-LN(2)/25)*FR182+(1-EXP(-LN(2)/25))/(LN(2)/25)*Calculateur!FM183*Calculateur!FO183*VLOOKUP('Données projet'!$B$16,Paramètres!$A$1:$I$89,3,0)*0.475*44/12</f>
        <v>0.11780051411393457</v>
      </c>
      <c r="FS183" s="21">
        <f>EXP(-LN(2)/2)*FS182+(1-EXP(-LN(2)/2))/(LN(2)/2)*FM183*FP183*VLOOKUP('Données projet'!$B$16,Paramètres!$A$1:$I$89,3,0)*0.475*44/12</f>
        <v>1.1144559399056496E-22</v>
      </c>
      <c r="FT183" s="22">
        <f t="shared" si="184"/>
        <v>0.23730823263013939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181.00000000000009</v>
      </c>
      <c r="GA183" s="17">
        <f>FZ183*VLOOKUP('Données projet'!$B$17,Paramètres!$A$1:$I$89,3,0)*VLOOKUP('Données projet'!$B$17,Paramètres!$A$1:$I$89,5,0)</f>
        <v>194.82840000000007</v>
      </c>
      <c r="GB183" s="13">
        <f t="shared" si="185"/>
        <v>48.605879434898576</v>
      </c>
      <c r="GC183" s="20">
        <f t="shared" si="186"/>
        <v>423.98137001578181</v>
      </c>
      <c r="GD183" s="59">
        <f t="shared" si="134"/>
        <v>713.3865917196365</v>
      </c>
      <c r="GE183" s="59">
        <f ca="1">AVERAGE(OFFSET($GD$3,0,0,'Données projet'!$E$17+1,1))-AVERAGE(OFFSET($H$3,0,0,'Données projet'!$E$17+1,1))</f>
        <v>313.51355235711543</v>
      </c>
      <c r="GF183" s="59">
        <f t="shared" si="158"/>
        <v>186.0840067781198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0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0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275.00000000000057</v>
      </c>
      <c r="O184" s="13">
        <f>N184*VLOOKUP('Données projet'!$B$9,Paramètres!$A$1:$I$89,3,0)*VLOOKUP('Données projet'!$B$9,Paramètres!$A$1:$I$89,5,0)</f>
        <v>278.85000000000059</v>
      </c>
      <c r="P184" s="13">
        <f t="shared" si="141"/>
        <v>66.723922641153095</v>
      </c>
      <c r="Q184" s="20">
        <f t="shared" si="162"/>
        <v>601.8745819333426</v>
      </c>
      <c r="R184" s="59">
        <f t="shared" si="109"/>
        <v>891.34794759202669</v>
      </c>
      <c r="S184" s="59">
        <f ca="1">AVERAGE(OFFSET($R$3,0,0,'Données projet'!$E$9+1,1))-AVERAGE(OFFSET($H$3,0,0,'Données projet'!$E$9+1,1))</f>
        <v>452.67426184967104</v>
      </c>
      <c r="T184" s="59">
        <f t="shared" si="142"/>
        <v>310.47823616327639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-3.979039320256561E-13</v>
      </c>
      <c r="AJ184" s="13">
        <f>AI184*VLOOKUP('Données projet'!$B$10,Paramètres!$A$1:$I$89,3,0)*VLOOKUP('Données projet'!$B$10,Paramètres!$A$1:$I$89,5,0)</f>
        <v>-4.158891897532158E-13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528.45201982036087</v>
      </c>
      <c r="AO184" s="59">
        <f t="shared" si="144"/>
        <v>321.23004033257985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1.8487766579451985E-24</v>
      </c>
      <c r="AX184" s="21">
        <f t="shared" si="166"/>
        <v>1.8487766579451985E-24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181.00000000000009</v>
      </c>
      <c r="BE184" s="13">
        <f>BD184*VLOOKUP('Données projet'!$B$11,Paramètres!$A$1:$I$89,3,0)*VLOOKUP('Données projet'!$B$11,Paramètres!$A$1:$I$89,5,0)</f>
        <v>175.06320000000008</v>
      </c>
      <c r="BF184" s="13">
        <f t="shared" si="167"/>
        <v>44.222067746824763</v>
      </c>
      <c r="BG184" s="20">
        <f t="shared" si="168"/>
        <v>381.92184132571992</v>
      </c>
      <c r="BH184" s="59">
        <f t="shared" si="116"/>
        <v>671.39520698440401</v>
      </c>
      <c r="BI184" s="59">
        <f ca="1">AVERAGE(OFFSET($BH$3,0,0,'Données projet'!$E$11+1,1))-AVERAGE(OFFSET($H$3,0,0,'Données projet'!$E$11+1,1))</f>
        <v>289.06522051625166</v>
      </c>
      <c r="BJ184" s="59">
        <f t="shared" si="146"/>
        <v>173.19148969173838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234.00000000000045</v>
      </c>
      <c r="BZ184" s="13">
        <f>BY184*VLOOKUP('Données projet'!$B$12,Paramètres!$A$1:$I$89,3,0)*VLOOKUP('Données projet'!$B$12,Paramètres!$A$1:$I$89,5,0)</f>
        <v>189.82080000000036</v>
      </c>
      <c r="CA184" s="13">
        <f t="shared" si="170"/>
        <v>47.500332100049881</v>
      </c>
      <c r="CB184" s="20">
        <f t="shared" si="171"/>
        <v>413.33430507425419</v>
      </c>
      <c r="CC184" s="59">
        <f t="shared" si="119"/>
        <v>702.80767073293828</v>
      </c>
      <c r="CD184" s="59">
        <f ca="1">AVERAGE(OFFSET($CC$3,0,0,'Données projet'!$E$12+1,1))-AVERAGE(OFFSET($H$3,0,0,'Données projet'!$E$12+1,1))</f>
        <v>306.06916761900357</v>
      </c>
      <c r="CE184" s="59">
        <f t="shared" si="148"/>
        <v>258.90832875500337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3.3575991602801768E-24</v>
      </c>
      <c r="CN184" s="22">
        <f t="shared" si="172"/>
        <v>3.3575991602801768E-24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275.00000000000057</v>
      </c>
      <c r="CU184" s="17">
        <f>CT184*VLOOKUP('Données projet'!$B$13,Paramètres!$A$1:$I$89,3,0)*VLOOKUP('Données projet'!$B$13,Paramètres!$A$1:$I$89,5,0)</f>
        <v>184.4700000000004</v>
      </c>
      <c r="CV184" s="13">
        <f t="shared" si="173"/>
        <v>46.31525458251663</v>
      </c>
      <c r="CW184" s="20">
        <f t="shared" si="174"/>
        <v>401.95098506455048</v>
      </c>
      <c r="CX184" s="59">
        <f t="shared" si="122"/>
        <v>691.42435072323451</v>
      </c>
      <c r="CY184" s="59">
        <f ca="1">AVERAGE(OFFSET($CX$3,0,0,'Données projet'!$E$13+1,1))-AVERAGE(OFFSET($H$3,0,0,'Données projet'!$E$13+1,1))</f>
        <v>324.58754156328285</v>
      </c>
      <c r="CZ184" s="59">
        <f t="shared" si="150"/>
        <v>226.01037731977604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2.0360825677083627E-24</v>
      </c>
      <c r="DI184" s="22">
        <f t="shared" si="175"/>
        <v>2.0360825677083627E-24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3.4106051316484809E-13</v>
      </c>
      <c r="DP184" s="17">
        <f>DO184*VLOOKUP('Données projet'!$B$14,Paramètres!$A$1:$I$89,3,0)*VLOOKUP('Données projet'!$B$14,Paramètres!$A$1:$I$89,5,0)</f>
        <v>1.5961632016114892E-13</v>
      </c>
      <c r="DQ184" s="13">
        <f t="shared" si="176"/>
        <v>2.2708641912150958E-12</v>
      </c>
      <c r="DR184" s="20">
        <f t="shared" si="177"/>
        <v>4.2330868906469593E-12</v>
      </c>
      <c r="DS184" s="59">
        <f t="shared" si="125"/>
        <v>289.47336565868829</v>
      </c>
      <c r="DT184" s="59">
        <f ca="1">AVERAGE(OFFSET($DS$3,0,0,'Données projet'!$E$14+1,1))-AVERAGE(OFFSET($H$3,0,0,'Données projet'!$E$14+1,1))</f>
        <v>325.93182817189722</v>
      </c>
      <c r="DU184" s="59">
        <f t="shared" si="152"/>
        <v>280.04509991782709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5.6843418860808015E-14</v>
      </c>
      <c r="EK184" s="17">
        <f>EJ184*VLOOKUP('Données projet'!$B$15,Paramètres!$A$1:$I$89,3,0)*VLOOKUP('Données projet'!$B$15,Paramètres!$A$1:$I$89,5,0)</f>
        <v>4.5224624045658861E-14</v>
      </c>
      <c r="EL184" s="13">
        <f t="shared" si="179"/>
        <v>7.4514601661523691E-13</v>
      </c>
      <c r="EM184" s="20">
        <f t="shared" si="180"/>
        <v>1.3765621991510601E-12</v>
      </c>
      <c r="EN184" s="59">
        <f t="shared" si="128"/>
        <v>289.47336565868545</v>
      </c>
      <c r="EO184" s="59">
        <f ca="1">AVERAGE(OFFSET($EN$3,0,0,'Données projet'!$E$15+1,1))-AVERAGE(OFFSET($H$3,0,0,'Données projet'!$E$15+1,1))</f>
        <v>333.52903437536651</v>
      </c>
      <c r="EP184" s="59">
        <f t="shared" si="154"/>
        <v>359.47288701414777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5.7488329421335908E-2</v>
      </c>
      <c r="EX184" s="21">
        <f>EXP(-LN(2)/2)*EX183+(1-EXP(-LN(2)/2))/(LN(2)/2)*ER184*EU184*VLOOKUP('Données projet'!$B$15,Paramètres!$A$1:$I$89,3,0)*0.475*44/12</f>
        <v>4.7200095887784775E-24</v>
      </c>
      <c r="EY184" s="22">
        <f t="shared" si="181"/>
        <v>5.7488329421335908E-2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-2.8421709430404007E-13</v>
      </c>
      <c r="FF184" s="17">
        <f>FE184*VLOOKUP('Données projet'!$B$16,Paramètres!$A$1:$I$89,3,0)*VLOOKUP('Données projet'!$B$16,Paramètres!$A$1:$I$89,5,0)</f>
        <v>-1.69961822393816E-13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313.26988717307376</v>
      </c>
      <c r="FK184" s="59">
        <f t="shared" si="156"/>
        <v>248.17359813993201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0.11716424504861282</v>
      </c>
      <c r="FR184" s="21">
        <f>EXP(-LN(2)/25)*FR183+(1-EXP(-LN(2)/25))/(LN(2)/25)*Calculateur!FM184*Calculateur!FO184*VLOOKUP('Données projet'!$B$16,Paramètres!$A$1:$I$89,3,0)*0.475*44/12</f>
        <v>0.11457925286062923</v>
      </c>
      <c r="FS184" s="21">
        <f>EXP(-LN(2)/2)*FS183+(1-EXP(-LN(2)/2))/(LN(2)/2)*FM184*FP184*VLOOKUP('Données projet'!$B$16,Paramètres!$A$1:$I$89,3,0)*0.475*44/12</f>
        <v>7.8803935244091235E-23</v>
      </c>
      <c r="FT184" s="22">
        <f t="shared" si="184"/>
        <v>0.23174349790924204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181.00000000000009</v>
      </c>
      <c r="GA184" s="17">
        <f>FZ184*VLOOKUP('Données projet'!$B$17,Paramètres!$A$1:$I$89,3,0)*VLOOKUP('Données projet'!$B$17,Paramètres!$A$1:$I$89,5,0)</f>
        <v>194.82840000000007</v>
      </c>
      <c r="GB184" s="13">
        <f t="shared" si="185"/>
        <v>48.605879434898576</v>
      </c>
      <c r="GC184" s="20">
        <f t="shared" si="186"/>
        <v>423.98137001578181</v>
      </c>
      <c r="GD184" s="59">
        <f t="shared" si="134"/>
        <v>713.45473567446584</v>
      </c>
      <c r="GE184" s="59">
        <f ca="1">AVERAGE(OFFSET($GD$3,0,0,'Données projet'!$E$17+1,1))-AVERAGE(OFFSET($H$3,0,0,'Données projet'!$E$17+1,1))</f>
        <v>313.51355235711543</v>
      </c>
      <c r="GF184" s="59">
        <f t="shared" si="158"/>
        <v>186.0840067781198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0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0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275.00000000000057</v>
      </c>
      <c r="O185" s="13">
        <f>N185*VLOOKUP('Données projet'!$B$9,Paramètres!$A$1:$I$89,3,0)*VLOOKUP('Données projet'!$B$9,Paramètres!$A$1:$I$89,5,0)</f>
        <v>278.85000000000059</v>
      </c>
      <c r="P185" s="13">
        <f t="shared" si="141"/>
        <v>66.723922641153095</v>
      </c>
      <c r="Q185" s="20">
        <f t="shared" si="162"/>
        <v>601.8745819333426</v>
      </c>
      <c r="R185" s="59">
        <f t="shared" si="109"/>
        <v>891.41490940158701</v>
      </c>
      <c r="S185" s="59">
        <f ca="1">AVERAGE(OFFSET($R$3,0,0,'Données projet'!$E$9+1,1))-AVERAGE(OFFSET($H$3,0,0,'Données projet'!$E$9+1,1))</f>
        <v>452.67426184967104</v>
      </c>
      <c r="T185" s="59">
        <f t="shared" si="142"/>
        <v>310.47823616327639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-3.979039320256561E-13</v>
      </c>
      <c r="AJ185" s="13">
        <f>AI185*VLOOKUP('Données projet'!$B$10,Paramètres!$A$1:$I$89,3,0)*VLOOKUP('Données projet'!$B$10,Paramètres!$A$1:$I$89,5,0)</f>
        <v>-4.158891897532158E-13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528.45201982036087</v>
      </c>
      <c r="AO185" s="59">
        <f t="shared" si="144"/>
        <v>321.23004033257985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1.3072825117324521E-24</v>
      </c>
      <c r="AX185" s="21">
        <f t="shared" si="166"/>
        <v>1.3072825117324521E-24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181.00000000000009</v>
      </c>
      <c r="BE185" s="13">
        <f>BD185*VLOOKUP('Données projet'!$B$11,Paramètres!$A$1:$I$89,3,0)*VLOOKUP('Données projet'!$B$11,Paramètres!$A$1:$I$89,5,0)</f>
        <v>175.06320000000008</v>
      </c>
      <c r="BF185" s="13">
        <f t="shared" si="167"/>
        <v>44.222067746824763</v>
      </c>
      <c r="BG185" s="20">
        <f t="shared" si="168"/>
        <v>381.92184132571992</v>
      </c>
      <c r="BH185" s="59">
        <f t="shared" si="116"/>
        <v>671.46216879396434</v>
      </c>
      <c r="BI185" s="59">
        <f ca="1">AVERAGE(OFFSET($BH$3,0,0,'Données projet'!$E$11+1,1))-AVERAGE(OFFSET($H$3,0,0,'Données projet'!$E$11+1,1))</f>
        <v>289.06522051625166</v>
      </c>
      <c r="BJ185" s="59">
        <f t="shared" si="146"/>
        <v>173.19148969173838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234.00000000000045</v>
      </c>
      <c r="BZ185" s="13">
        <f>BY185*VLOOKUP('Données projet'!$B$12,Paramètres!$A$1:$I$89,3,0)*VLOOKUP('Données projet'!$B$12,Paramètres!$A$1:$I$89,5,0)</f>
        <v>189.82080000000036</v>
      </c>
      <c r="CA185" s="13">
        <f t="shared" si="170"/>
        <v>47.500332100049881</v>
      </c>
      <c r="CB185" s="20">
        <f t="shared" si="171"/>
        <v>413.33430507425419</v>
      </c>
      <c r="CC185" s="59">
        <f t="shared" si="119"/>
        <v>702.8746325424986</v>
      </c>
      <c r="CD185" s="59">
        <f ca="1">AVERAGE(OFFSET($CC$3,0,0,'Données projet'!$E$12+1,1))-AVERAGE(OFFSET($H$3,0,0,'Données projet'!$E$12+1,1))</f>
        <v>306.06916761900357</v>
      </c>
      <c r="CE185" s="59">
        <f t="shared" si="148"/>
        <v>258.90832875500337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2.3741811347403707E-24</v>
      </c>
      <c r="CN185" s="22">
        <f t="shared" si="172"/>
        <v>2.3741811347403707E-24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275.00000000000057</v>
      </c>
      <c r="CU185" s="17">
        <f>CT185*VLOOKUP('Données projet'!$B$13,Paramètres!$A$1:$I$89,3,0)*VLOOKUP('Données projet'!$B$13,Paramètres!$A$1:$I$89,5,0)</f>
        <v>184.4700000000004</v>
      </c>
      <c r="CV185" s="13">
        <f t="shared" si="173"/>
        <v>46.31525458251663</v>
      </c>
      <c r="CW185" s="20">
        <f t="shared" si="174"/>
        <v>401.95098506455048</v>
      </c>
      <c r="CX185" s="59">
        <f t="shared" si="122"/>
        <v>691.49131253279484</v>
      </c>
      <c r="CY185" s="59">
        <f ca="1">AVERAGE(OFFSET($CX$3,0,0,'Données projet'!$E$13+1,1))-AVERAGE(OFFSET($H$3,0,0,'Données projet'!$E$13+1,1))</f>
        <v>324.58754156328285</v>
      </c>
      <c r="CZ185" s="59">
        <f t="shared" si="150"/>
        <v>226.01037731977604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1.4397277906823011E-24</v>
      </c>
      <c r="DI185" s="22">
        <f t="shared" si="175"/>
        <v>1.4397277906823011E-24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3.4106051316484809E-13</v>
      </c>
      <c r="DP185" s="17">
        <f>DO185*VLOOKUP('Données projet'!$B$14,Paramètres!$A$1:$I$89,3,0)*VLOOKUP('Données projet'!$B$14,Paramètres!$A$1:$I$89,5,0)</f>
        <v>1.5961632016114892E-13</v>
      </c>
      <c r="DQ185" s="13">
        <f t="shared" si="176"/>
        <v>2.2708641912150958E-12</v>
      </c>
      <c r="DR185" s="20">
        <f t="shared" si="177"/>
        <v>4.2330868906469593E-12</v>
      </c>
      <c r="DS185" s="59">
        <f t="shared" si="125"/>
        <v>289.54032746824862</v>
      </c>
      <c r="DT185" s="59">
        <f ca="1">AVERAGE(OFFSET($DS$3,0,0,'Données projet'!$E$14+1,1))-AVERAGE(OFFSET($H$3,0,0,'Données projet'!$E$14+1,1))</f>
        <v>325.93182817189722</v>
      </c>
      <c r="DU185" s="59">
        <f t="shared" si="152"/>
        <v>280.04509991782709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5.6843418860808015E-14</v>
      </c>
      <c r="EK185" s="17">
        <f>EJ185*VLOOKUP('Données projet'!$B$15,Paramètres!$A$1:$I$89,3,0)*VLOOKUP('Données projet'!$B$15,Paramètres!$A$1:$I$89,5,0)</f>
        <v>4.5224624045658861E-14</v>
      </c>
      <c r="EL185" s="13">
        <f t="shared" si="179"/>
        <v>7.4514601661523691E-13</v>
      </c>
      <c r="EM185" s="20">
        <f t="shared" si="180"/>
        <v>1.3765621991510601E-12</v>
      </c>
      <c r="EN185" s="59">
        <f t="shared" si="128"/>
        <v>289.54032746824578</v>
      </c>
      <c r="EO185" s="59">
        <f ca="1">AVERAGE(OFFSET($EN$3,0,0,'Données projet'!$E$15+1,1))-AVERAGE(OFFSET($H$3,0,0,'Données projet'!$E$15+1,1))</f>
        <v>333.52903437536651</v>
      </c>
      <c r="EP185" s="59">
        <f t="shared" si="154"/>
        <v>359.47288701414777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5.5916308030129626E-2</v>
      </c>
      <c r="EX185" s="21">
        <f>EXP(-LN(2)/2)*EX184+(1-EXP(-LN(2)/2))/(LN(2)/2)*ER185*EU185*VLOOKUP('Données projet'!$B$15,Paramètres!$A$1:$I$89,3,0)*0.475*44/12</f>
        <v>3.3375507874907889E-24</v>
      </c>
      <c r="EY185" s="22">
        <f t="shared" si="181"/>
        <v>5.5916308030129626E-2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-2.8421709430404007E-13</v>
      </c>
      <c r="FF185" s="17">
        <f>FE185*VLOOKUP('Données projet'!$B$16,Paramètres!$A$1:$I$89,3,0)*VLOOKUP('Données projet'!$B$16,Paramètres!$A$1:$I$89,5,0)</f>
        <v>-1.69961822393816E-13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313.26988717307376</v>
      </c>
      <c r="FK185" s="59">
        <f t="shared" si="156"/>
        <v>248.17359813993201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0.11486672566634261</v>
      </c>
      <c r="FR185" s="21">
        <f>EXP(-LN(2)/25)*FR184+(1-EXP(-LN(2)/25))/(LN(2)/25)*Calculateur!FM185*Calculateur!FO185*VLOOKUP('Données projet'!$B$16,Paramètres!$A$1:$I$89,3,0)*0.475*44/12</f>
        <v>0.11144607716569428</v>
      </c>
      <c r="FS185" s="21">
        <f>EXP(-LN(2)/2)*FS184+(1-EXP(-LN(2)/2))/(LN(2)/2)*FM185*FP185*VLOOKUP('Données projet'!$B$16,Paramètres!$A$1:$I$89,3,0)*0.475*44/12</f>
        <v>5.5722796995282479E-23</v>
      </c>
      <c r="FT185" s="22">
        <f t="shared" si="184"/>
        <v>0.22631280283203689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181.00000000000009</v>
      </c>
      <c r="GA185" s="17">
        <f>FZ185*VLOOKUP('Données projet'!$B$17,Paramètres!$A$1:$I$89,3,0)*VLOOKUP('Données projet'!$B$17,Paramètres!$A$1:$I$89,5,0)</f>
        <v>194.82840000000007</v>
      </c>
      <c r="GB185" s="13">
        <f t="shared" si="185"/>
        <v>48.605879434898576</v>
      </c>
      <c r="GC185" s="20">
        <f t="shared" si="186"/>
        <v>423.98137001578181</v>
      </c>
      <c r="GD185" s="59">
        <f t="shared" si="134"/>
        <v>713.52169748402616</v>
      </c>
      <c r="GE185" s="59">
        <f ca="1">AVERAGE(OFFSET($GD$3,0,0,'Données projet'!$E$17+1,1))-AVERAGE(OFFSET($H$3,0,0,'Données projet'!$E$17+1,1))</f>
        <v>313.51355235711543</v>
      </c>
      <c r="GF185" s="59">
        <f t="shared" si="158"/>
        <v>186.0840067781198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0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0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275.00000000000057</v>
      </c>
      <c r="O186" s="13">
        <f>N186*VLOOKUP('Données projet'!$B$9,Paramètres!$A$1:$I$89,3,0)*VLOOKUP('Données projet'!$B$9,Paramètres!$A$1:$I$89,5,0)</f>
        <v>278.85000000000059</v>
      </c>
      <c r="P186" s="13">
        <f t="shared" si="141"/>
        <v>66.723922641153095</v>
      </c>
      <c r="Q186" s="20">
        <f t="shared" si="162"/>
        <v>601.8745819333426</v>
      </c>
      <c r="R186" s="59">
        <f t="shared" si="109"/>
        <v>891.48070957345556</v>
      </c>
      <c r="S186" s="59">
        <f ca="1">AVERAGE(OFFSET($R$3,0,0,'Données projet'!$E$9+1,1))-AVERAGE(OFFSET($H$3,0,0,'Données projet'!$E$9+1,1))</f>
        <v>452.67426184967104</v>
      </c>
      <c r="T186" s="59">
        <f t="shared" si="142"/>
        <v>310.47823616327639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-3.979039320256561E-13</v>
      </c>
      <c r="AJ186" s="13">
        <f>AI186*VLOOKUP('Données projet'!$B$10,Paramètres!$A$1:$I$89,3,0)*VLOOKUP('Données projet'!$B$10,Paramètres!$A$1:$I$89,5,0)</f>
        <v>-4.158891897532158E-13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528.45201982036087</v>
      </c>
      <c r="AO186" s="59">
        <f t="shared" si="144"/>
        <v>321.23004033257985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9.2438832897259924E-25</v>
      </c>
      <c r="AX186" s="21">
        <f t="shared" si="166"/>
        <v>9.2438832897259924E-25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181.00000000000009</v>
      </c>
      <c r="BE186" s="13">
        <f>BD186*VLOOKUP('Données projet'!$B$11,Paramètres!$A$1:$I$89,3,0)*VLOOKUP('Données projet'!$B$11,Paramètres!$A$1:$I$89,5,0)</f>
        <v>175.06320000000008</v>
      </c>
      <c r="BF186" s="13">
        <f t="shared" si="167"/>
        <v>44.222067746824763</v>
      </c>
      <c r="BG186" s="20">
        <f t="shared" si="168"/>
        <v>381.92184132571992</v>
      </c>
      <c r="BH186" s="59">
        <f t="shared" si="116"/>
        <v>671.52796896583288</v>
      </c>
      <c r="BI186" s="59">
        <f ca="1">AVERAGE(OFFSET($BH$3,0,0,'Données projet'!$E$11+1,1))-AVERAGE(OFFSET($H$3,0,0,'Données projet'!$E$11+1,1))</f>
        <v>289.06522051625166</v>
      </c>
      <c r="BJ186" s="59">
        <f t="shared" si="146"/>
        <v>173.19148969173838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234.00000000000045</v>
      </c>
      <c r="BZ186" s="13">
        <f>BY186*VLOOKUP('Données projet'!$B$12,Paramètres!$A$1:$I$89,3,0)*VLOOKUP('Données projet'!$B$12,Paramètres!$A$1:$I$89,5,0)</f>
        <v>189.82080000000036</v>
      </c>
      <c r="CA186" s="13">
        <f t="shared" si="170"/>
        <v>47.500332100049881</v>
      </c>
      <c r="CB186" s="20">
        <f t="shared" si="171"/>
        <v>413.33430507425419</v>
      </c>
      <c r="CC186" s="59">
        <f t="shared" si="119"/>
        <v>702.94043271436715</v>
      </c>
      <c r="CD186" s="59">
        <f ca="1">AVERAGE(OFFSET($CC$3,0,0,'Données projet'!$E$12+1,1))-AVERAGE(OFFSET($H$3,0,0,'Données projet'!$E$12+1,1))</f>
        <v>306.06916761900357</v>
      </c>
      <c r="CE186" s="59">
        <f t="shared" si="148"/>
        <v>258.90832875500337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1.6787995801400884E-24</v>
      </c>
      <c r="CN186" s="22">
        <f t="shared" si="172"/>
        <v>1.6787995801400884E-24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275.00000000000057</v>
      </c>
      <c r="CU186" s="17">
        <f>CT186*VLOOKUP('Données projet'!$B$13,Paramètres!$A$1:$I$89,3,0)*VLOOKUP('Données projet'!$B$13,Paramètres!$A$1:$I$89,5,0)</f>
        <v>184.4700000000004</v>
      </c>
      <c r="CV186" s="13">
        <f t="shared" si="173"/>
        <v>46.31525458251663</v>
      </c>
      <c r="CW186" s="20">
        <f t="shared" si="174"/>
        <v>401.95098506455048</v>
      </c>
      <c r="CX186" s="59">
        <f t="shared" si="122"/>
        <v>691.5571127046635</v>
      </c>
      <c r="CY186" s="59">
        <f ca="1">AVERAGE(OFFSET($CX$3,0,0,'Données projet'!$E$13+1,1))-AVERAGE(OFFSET($H$3,0,0,'Données projet'!$E$13+1,1))</f>
        <v>324.58754156328285</v>
      </c>
      <c r="CZ186" s="59">
        <f t="shared" si="150"/>
        <v>226.01037731977604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1.0180412838541814E-24</v>
      </c>
      <c r="DI186" s="22">
        <f t="shared" si="175"/>
        <v>1.0180412838541814E-24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3.4106051316484809E-13</v>
      </c>
      <c r="DP186" s="17">
        <f>DO186*VLOOKUP('Données projet'!$B$14,Paramètres!$A$1:$I$89,3,0)*VLOOKUP('Données projet'!$B$14,Paramètres!$A$1:$I$89,5,0)</f>
        <v>1.5961632016114892E-13</v>
      </c>
      <c r="DQ186" s="13">
        <f t="shared" si="176"/>
        <v>2.2708641912150958E-12</v>
      </c>
      <c r="DR186" s="20">
        <f t="shared" si="177"/>
        <v>4.2330868906469593E-12</v>
      </c>
      <c r="DS186" s="59">
        <f t="shared" si="125"/>
        <v>289.60612764011717</v>
      </c>
      <c r="DT186" s="59">
        <f ca="1">AVERAGE(OFFSET($DS$3,0,0,'Données projet'!$E$14+1,1))-AVERAGE(OFFSET($H$3,0,0,'Données projet'!$E$14+1,1))</f>
        <v>325.93182817189722</v>
      </c>
      <c r="DU186" s="59">
        <f t="shared" si="152"/>
        <v>280.04509991782709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5.6843418860808015E-14</v>
      </c>
      <c r="EK186" s="17">
        <f>EJ186*VLOOKUP('Données projet'!$B$15,Paramètres!$A$1:$I$89,3,0)*VLOOKUP('Données projet'!$B$15,Paramètres!$A$1:$I$89,5,0)</f>
        <v>4.5224624045658861E-14</v>
      </c>
      <c r="EL186" s="13">
        <f t="shared" si="179"/>
        <v>7.4514601661523691E-13</v>
      </c>
      <c r="EM186" s="20">
        <f t="shared" si="180"/>
        <v>1.3765621991510601E-12</v>
      </c>
      <c r="EN186" s="59">
        <f t="shared" si="128"/>
        <v>289.60612764011432</v>
      </c>
      <c r="EO186" s="59">
        <f ca="1">AVERAGE(OFFSET($EN$3,0,0,'Données projet'!$E$15+1,1))-AVERAGE(OFFSET($H$3,0,0,'Données projet'!$E$15+1,1))</f>
        <v>333.52903437536651</v>
      </c>
      <c r="EP186" s="59">
        <f t="shared" si="154"/>
        <v>359.47288701414777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5.4387273646534888E-2</v>
      </c>
      <c r="EX186" s="21">
        <f>EXP(-LN(2)/2)*EX185+(1-EXP(-LN(2)/2))/(LN(2)/2)*ER186*EU186*VLOOKUP('Données projet'!$B$15,Paramètres!$A$1:$I$89,3,0)*0.475*44/12</f>
        <v>2.3600047943892387E-24</v>
      </c>
      <c r="EY186" s="22">
        <f t="shared" si="181"/>
        <v>5.4387273646534888E-2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-2.8421709430404007E-13</v>
      </c>
      <c r="FF186" s="17">
        <f>FE186*VLOOKUP('Données projet'!$B$16,Paramètres!$A$1:$I$89,3,0)*VLOOKUP('Données projet'!$B$16,Paramètres!$A$1:$I$89,5,0)</f>
        <v>-1.69961822393816E-13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313.26988717307376</v>
      </c>
      <c r="FK186" s="59">
        <f t="shared" si="156"/>
        <v>248.17359813993201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0.11261425923781027</v>
      </c>
      <c r="FR186" s="21">
        <f>EXP(-LN(2)/25)*FR185+(1-EXP(-LN(2)/25))/(LN(2)/25)*Calculateur!FM186*Calculateur!FO186*VLOOKUP('Données projet'!$B$16,Paramètres!$A$1:$I$89,3,0)*0.475*44/12</f>
        <v>0.10839857832490389</v>
      </c>
      <c r="FS186" s="21">
        <f>EXP(-LN(2)/2)*FS185+(1-EXP(-LN(2)/2))/(LN(2)/2)*FM186*FP186*VLOOKUP('Données projet'!$B$16,Paramètres!$A$1:$I$89,3,0)*0.475*44/12</f>
        <v>3.9401967622045617E-23</v>
      </c>
      <c r="FT186" s="22">
        <f t="shared" si="184"/>
        <v>0.22101283756271417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181.00000000000009</v>
      </c>
      <c r="GA186" s="17">
        <f>FZ186*VLOOKUP('Données projet'!$B$17,Paramètres!$A$1:$I$89,3,0)*VLOOKUP('Données projet'!$B$17,Paramètres!$A$1:$I$89,5,0)</f>
        <v>194.82840000000007</v>
      </c>
      <c r="GB186" s="13">
        <f t="shared" si="185"/>
        <v>48.605879434898576</v>
      </c>
      <c r="GC186" s="20">
        <f t="shared" si="186"/>
        <v>423.98137001578181</v>
      </c>
      <c r="GD186" s="59">
        <f t="shared" si="134"/>
        <v>713.58749765589482</v>
      </c>
      <c r="GE186" s="59">
        <f ca="1">AVERAGE(OFFSET($GD$3,0,0,'Données projet'!$E$17+1,1))-AVERAGE(OFFSET($H$3,0,0,'Données projet'!$E$17+1,1))</f>
        <v>313.51355235711543</v>
      </c>
      <c r="GF186" s="59">
        <f t="shared" si="158"/>
        <v>186.0840067781198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0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0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275.00000000000057</v>
      </c>
      <c r="O187" s="13">
        <f>N187*VLOOKUP('Données projet'!$B$9,Paramètres!$A$1:$I$89,3,0)*VLOOKUP('Données projet'!$B$9,Paramètres!$A$1:$I$89,5,0)</f>
        <v>278.85000000000059</v>
      </c>
      <c r="P187" s="13">
        <f t="shared" si="141"/>
        <v>66.723922641153095</v>
      </c>
      <c r="Q187" s="20">
        <f t="shared" si="162"/>
        <v>601.8745819333426</v>
      </c>
      <c r="R187" s="59">
        <f t="shared" si="109"/>
        <v>891.54536825944933</v>
      </c>
      <c r="S187" s="59">
        <f ca="1">AVERAGE(OFFSET($R$3,0,0,'Données projet'!$E$9+1,1))-AVERAGE(OFFSET($H$3,0,0,'Données projet'!$E$9+1,1))</f>
        <v>452.67426184967104</v>
      </c>
      <c r="T187" s="59">
        <f t="shared" si="142"/>
        <v>310.47823616327639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-3.979039320256561E-13</v>
      </c>
      <c r="AJ187" s="13">
        <f>AI187*VLOOKUP('Données projet'!$B$10,Paramètres!$A$1:$I$89,3,0)*VLOOKUP('Données projet'!$B$10,Paramètres!$A$1:$I$89,5,0)</f>
        <v>-4.158891897532158E-13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528.45201982036087</v>
      </c>
      <c r="AO187" s="59">
        <f t="shared" si="144"/>
        <v>321.23004033257985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6.5364125586622606E-25</v>
      </c>
      <c r="AX187" s="21">
        <f t="shared" si="166"/>
        <v>6.5364125586622606E-25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181.00000000000009</v>
      </c>
      <c r="BE187" s="13">
        <f>BD187*VLOOKUP('Données projet'!$B$11,Paramètres!$A$1:$I$89,3,0)*VLOOKUP('Données projet'!$B$11,Paramètres!$A$1:$I$89,5,0)</f>
        <v>175.06320000000008</v>
      </c>
      <c r="BF187" s="13">
        <f t="shared" si="167"/>
        <v>44.222067746824763</v>
      </c>
      <c r="BG187" s="20">
        <f t="shared" si="168"/>
        <v>381.92184132571992</v>
      </c>
      <c r="BH187" s="59">
        <f t="shared" si="116"/>
        <v>671.59262765182666</v>
      </c>
      <c r="BI187" s="59">
        <f ca="1">AVERAGE(OFFSET($BH$3,0,0,'Données projet'!$E$11+1,1))-AVERAGE(OFFSET($H$3,0,0,'Données projet'!$E$11+1,1))</f>
        <v>289.06522051625166</v>
      </c>
      <c r="BJ187" s="59">
        <f t="shared" si="146"/>
        <v>173.19148969173838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234.00000000000045</v>
      </c>
      <c r="BZ187" s="13">
        <f>BY187*VLOOKUP('Données projet'!$B$12,Paramètres!$A$1:$I$89,3,0)*VLOOKUP('Données projet'!$B$12,Paramètres!$A$1:$I$89,5,0)</f>
        <v>189.82080000000036</v>
      </c>
      <c r="CA187" s="13">
        <f t="shared" si="170"/>
        <v>47.500332100049881</v>
      </c>
      <c r="CB187" s="20">
        <f t="shared" si="171"/>
        <v>413.33430507425419</v>
      </c>
      <c r="CC187" s="59">
        <f t="shared" si="119"/>
        <v>703.00509140036093</v>
      </c>
      <c r="CD187" s="59">
        <f ca="1">AVERAGE(OFFSET($CC$3,0,0,'Données projet'!$E$12+1,1))-AVERAGE(OFFSET($H$3,0,0,'Données projet'!$E$12+1,1))</f>
        <v>306.06916761900357</v>
      </c>
      <c r="CE187" s="59">
        <f t="shared" si="148"/>
        <v>258.90832875500337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1.1870905673701854E-24</v>
      </c>
      <c r="CN187" s="22">
        <f t="shared" si="172"/>
        <v>1.1870905673701854E-24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275.00000000000057</v>
      </c>
      <c r="CU187" s="17">
        <f>CT187*VLOOKUP('Données projet'!$B$13,Paramètres!$A$1:$I$89,3,0)*VLOOKUP('Données projet'!$B$13,Paramètres!$A$1:$I$89,5,0)</f>
        <v>184.4700000000004</v>
      </c>
      <c r="CV187" s="13">
        <f t="shared" si="173"/>
        <v>46.31525458251663</v>
      </c>
      <c r="CW187" s="20">
        <f t="shared" si="174"/>
        <v>401.95098506455048</v>
      </c>
      <c r="CX187" s="59">
        <f t="shared" si="122"/>
        <v>691.62177139065716</v>
      </c>
      <c r="CY187" s="59">
        <f ca="1">AVERAGE(OFFSET($CX$3,0,0,'Données projet'!$E$13+1,1))-AVERAGE(OFFSET($H$3,0,0,'Données projet'!$E$13+1,1))</f>
        <v>324.58754156328285</v>
      </c>
      <c r="CZ187" s="59">
        <f t="shared" si="150"/>
        <v>226.01037731977604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7.1986389534115055E-25</v>
      </c>
      <c r="DI187" s="22">
        <f t="shared" si="175"/>
        <v>7.1986389534115055E-25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3.4106051316484809E-13</v>
      </c>
      <c r="DP187" s="17">
        <f>DO187*VLOOKUP('Données projet'!$B$14,Paramètres!$A$1:$I$89,3,0)*VLOOKUP('Données projet'!$B$14,Paramètres!$A$1:$I$89,5,0)</f>
        <v>1.5961632016114892E-13</v>
      </c>
      <c r="DQ187" s="13">
        <f t="shared" si="176"/>
        <v>2.2708641912150958E-12</v>
      </c>
      <c r="DR187" s="20">
        <f t="shared" si="177"/>
        <v>4.2330868906469593E-12</v>
      </c>
      <c r="DS187" s="59">
        <f t="shared" si="125"/>
        <v>289.67078632611094</v>
      </c>
      <c r="DT187" s="59">
        <f ca="1">AVERAGE(OFFSET($DS$3,0,0,'Données projet'!$E$14+1,1))-AVERAGE(OFFSET($H$3,0,0,'Données projet'!$E$14+1,1))</f>
        <v>325.93182817189722</v>
      </c>
      <c r="DU187" s="59">
        <f t="shared" si="152"/>
        <v>280.04509991782709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5.6843418860808015E-14</v>
      </c>
      <c r="EK187" s="17">
        <f>EJ187*VLOOKUP('Données projet'!$B$15,Paramètres!$A$1:$I$89,3,0)*VLOOKUP('Données projet'!$B$15,Paramètres!$A$1:$I$89,5,0)</f>
        <v>4.5224624045658861E-14</v>
      </c>
      <c r="EL187" s="13">
        <f t="shared" si="179"/>
        <v>7.4514601661523691E-13</v>
      </c>
      <c r="EM187" s="20">
        <f t="shared" si="180"/>
        <v>1.3765621991510601E-12</v>
      </c>
      <c r="EN187" s="59">
        <f t="shared" si="128"/>
        <v>289.6707863261081</v>
      </c>
      <c r="EO187" s="59">
        <f ca="1">AVERAGE(OFFSET($EN$3,0,0,'Données projet'!$E$15+1,1))-AVERAGE(OFFSET($H$3,0,0,'Données projet'!$E$15+1,1))</f>
        <v>333.52903437536651</v>
      </c>
      <c r="EP187" s="59">
        <f t="shared" si="154"/>
        <v>359.47288701414777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5.2900050788567972E-2</v>
      </c>
      <c r="EX187" s="21">
        <f>EXP(-LN(2)/2)*EX186+(1-EXP(-LN(2)/2))/(LN(2)/2)*ER187*EU187*VLOOKUP('Données projet'!$B$15,Paramètres!$A$1:$I$89,3,0)*0.475*44/12</f>
        <v>1.6687753937453945E-24</v>
      </c>
      <c r="EY187" s="22">
        <f t="shared" si="181"/>
        <v>5.2900050788567972E-2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-2.8421709430404007E-13</v>
      </c>
      <c r="FF187" s="17">
        <f>FE187*VLOOKUP('Données projet'!$B$16,Paramètres!$A$1:$I$89,3,0)*VLOOKUP('Données projet'!$B$16,Paramètres!$A$1:$I$89,5,0)</f>
        <v>-1.69961822393816E-13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313.26988717307376</v>
      </c>
      <c r="FK187" s="59">
        <f t="shared" si="156"/>
        <v>248.17359813993201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0.11040596230207257</v>
      </c>
      <c r="FR187" s="21">
        <f>EXP(-LN(2)/25)*FR186+(1-EXP(-LN(2)/25))/(LN(2)/25)*Calculateur!FM187*Calculateur!FO187*VLOOKUP('Données projet'!$B$16,Paramètres!$A$1:$I$89,3,0)*0.475*44/12</f>
        <v>0.10543441350017591</v>
      </c>
      <c r="FS187" s="21">
        <f>EXP(-LN(2)/2)*FS186+(1-EXP(-LN(2)/2))/(LN(2)/2)*FM187*FP187*VLOOKUP('Données projet'!$B$16,Paramètres!$A$1:$I$89,3,0)*0.475*44/12</f>
        <v>2.786139849764124E-23</v>
      </c>
      <c r="FT187" s="22">
        <f t="shared" si="184"/>
        <v>0.21584037580224846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181.00000000000009</v>
      </c>
      <c r="GA187" s="17">
        <f>FZ187*VLOOKUP('Données projet'!$B$17,Paramètres!$A$1:$I$89,3,0)*VLOOKUP('Données projet'!$B$17,Paramètres!$A$1:$I$89,5,0)</f>
        <v>194.82840000000007</v>
      </c>
      <c r="GB187" s="13">
        <f t="shared" si="185"/>
        <v>48.605879434898576</v>
      </c>
      <c r="GC187" s="20">
        <f t="shared" si="186"/>
        <v>423.98137001578181</v>
      </c>
      <c r="GD187" s="59">
        <f t="shared" si="134"/>
        <v>713.65215634188849</v>
      </c>
      <c r="GE187" s="59">
        <f ca="1">AVERAGE(OFFSET($GD$3,0,0,'Données projet'!$E$17+1,1))-AVERAGE(OFFSET($H$3,0,0,'Données projet'!$E$17+1,1))</f>
        <v>313.51355235711543</v>
      </c>
      <c r="GF187" s="59">
        <f t="shared" si="158"/>
        <v>186.0840067781198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0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0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275.00000000000057</v>
      </c>
      <c r="O188" s="13">
        <f>N188*VLOOKUP('Données projet'!$B$9,Paramètres!$A$1:$I$89,3,0)*VLOOKUP('Données projet'!$B$9,Paramètres!$A$1:$I$89,5,0)</f>
        <v>278.85000000000059</v>
      </c>
      <c r="P188" s="13">
        <f t="shared" si="141"/>
        <v>66.723922641153095</v>
      </c>
      <c r="Q188" s="20">
        <f t="shared" si="162"/>
        <v>601.8745819333426</v>
      </c>
      <c r="R188" s="59">
        <f t="shared" si="109"/>
        <v>891.60890526179628</v>
      </c>
      <c r="S188" s="59">
        <f ca="1">AVERAGE(OFFSET($R$3,0,0,'Données projet'!$E$9+1,1))-AVERAGE(OFFSET($H$3,0,0,'Données projet'!$E$9+1,1))</f>
        <v>452.67426184967104</v>
      </c>
      <c r="T188" s="59">
        <f t="shared" si="142"/>
        <v>310.47823616327639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-3.979039320256561E-13</v>
      </c>
      <c r="AJ188" s="13">
        <f>AI188*VLOOKUP('Données projet'!$B$10,Paramètres!$A$1:$I$89,3,0)*VLOOKUP('Données projet'!$B$10,Paramètres!$A$1:$I$89,5,0)</f>
        <v>-4.158891897532158E-13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528.45201982036087</v>
      </c>
      <c r="AO188" s="59">
        <f t="shared" si="144"/>
        <v>321.23004033257985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4.6219416448629962E-25</v>
      </c>
      <c r="AX188" s="21">
        <f t="shared" si="166"/>
        <v>4.6219416448629962E-25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181.00000000000009</v>
      </c>
      <c r="BE188" s="13">
        <f>BD188*VLOOKUP('Données projet'!$B$11,Paramètres!$A$1:$I$89,3,0)*VLOOKUP('Données projet'!$B$11,Paramètres!$A$1:$I$89,5,0)</f>
        <v>175.06320000000008</v>
      </c>
      <c r="BF188" s="13">
        <f t="shared" si="167"/>
        <v>44.222067746824763</v>
      </c>
      <c r="BG188" s="20">
        <f t="shared" si="168"/>
        <v>381.92184132571992</v>
      </c>
      <c r="BH188" s="59">
        <f t="shared" si="116"/>
        <v>671.65616465417361</v>
      </c>
      <c r="BI188" s="59">
        <f ca="1">AVERAGE(OFFSET($BH$3,0,0,'Données projet'!$E$11+1,1))-AVERAGE(OFFSET($H$3,0,0,'Données projet'!$E$11+1,1))</f>
        <v>289.06522051625166</v>
      </c>
      <c r="BJ188" s="59">
        <f t="shared" si="146"/>
        <v>173.19148969173838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234.00000000000045</v>
      </c>
      <c r="BZ188" s="13">
        <f>BY188*VLOOKUP('Données projet'!$B$12,Paramètres!$A$1:$I$89,3,0)*VLOOKUP('Données projet'!$B$12,Paramètres!$A$1:$I$89,5,0)</f>
        <v>189.82080000000036</v>
      </c>
      <c r="CA188" s="13">
        <f t="shared" si="170"/>
        <v>47.500332100049881</v>
      </c>
      <c r="CB188" s="20">
        <f t="shared" si="171"/>
        <v>413.33430507425419</v>
      </c>
      <c r="CC188" s="59">
        <f t="shared" si="119"/>
        <v>703.06862840270787</v>
      </c>
      <c r="CD188" s="59">
        <f ca="1">AVERAGE(OFFSET($CC$3,0,0,'Données projet'!$E$12+1,1))-AVERAGE(OFFSET($H$3,0,0,'Données projet'!$E$12+1,1))</f>
        <v>306.06916761900357</v>
      </c>
      <c r="CE188" s="59">
        <f t="shared" si="148"/>
        <v>258.90832875500337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8.393997900700442E-25</v>
      </c>
      <c r="CN188" s="22">
        <f t="shared" si="172"/>
        <v>8.393997900700442E-25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275.00000000000057</v>
      </c>
      <c r="CU188" s="17">
        <f>CT188*VLOOKUP('Données projet'!$B$13,Paramètres!$A$1:$I$89,3,0)*VLOOKUP('Données projet'!$B$13,Paramètres!$A$1:$I$89,5,0)</f>
        <v>184.4700000000004</v>
      </c>
      <c r="CV188" s="13">
        <f t="shared" si="173"/>
        <v>46.31525458251663</v>
      </c>
      <c r="CW188" s="20">
        <f t="shared" si="174"/>
        <v>401.95098506455048</v>
      </c>
      <c r="CX188" s="59">
        <f t="shared" si="122"/>
        <v>691.68530839300422</v>
      </c>
      <c r="CY188" s="59">
        <f ca="1">AVERAGE(OFFSET($CX$3,0,0,'Données projet'!$E$13+1,1))-AVERAGE(OFFSET($H$3,0,0,'Données projet'!$E$13+1,1))</f>
        <v>324.58754156328285</v>
      </c>
      <c r="CZ188" s="59">
        <f t="shared" si="150"/>
        <v>226.01037731977604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5.0902064192709069E-25</v>
      </c>
      <c r="DI188" s="22">
        <f t="shared" si="175"/>
        <v>5.0902064192709069E-25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3.4106051316484809E-13</v>
      </c>
      <c r="DP188" s="17">
        <f>DO188*VLOOKUP('Données projet'!$B$14,Paramètres!$A$1:$I$89,3,0)*VLOOKUP('Données projet'!$B$14,Paramètres!$A$1:$I$89,5,0)</f>
        <v>1.5961632016114892E-13</v>
      </c>
      <c r="DQ188" s="13">
        <f t="shared" si="176"/>
        <v>2.2708641912150958E-12</v>
      </c>
      <c r="DR188" s="20">
        <f t="shared" si="177"/>
        <v>4.2330868906469593E-12</v>
      </c>
      <c r="DS188" s="59">
        <f t="shared" si="125"/>
        <v>289.73432332845795</v>
      </c>
      <c r="DT188" s="59">
        <f ca="1">AVERAGE(OFFSET($DS$3,0,0,'Données projet'!$E$14+1,1))-AVERAGE(OFFSET($H$3,0,0,'Données projet'!$E$14+1,1))</f>
        <v>325.93182817189722</v>
      </c>
      <c r="DU188" s="59">
        <f t="shared" si="152"/>
        <v>280.04509991782709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5.6843418860808015E-14</v>
      </c>
      <c r="EK188" s="17">
        <f>EJ188*VLOOKUP('Données projet'!$B$15,Paramètres!$A$1:$I$89,3,0)*VLOOKUP('Données projet'!$B$15,Paramètres!$A$1:$I$89,5,0)</f>
        <v>4.5224624045658861E-14</v>
      </c>
      <c r="EL188" s="13">
        <f t="shared" si="179"/>
        <v>7.4514601661523691E-13</v>
      </c>
      <c r="EM188" s="20">
        <f t="shared" si="180"/>
        <v>1.3765621991510601E-12</v>
      </c>
      <c r="EN188" s="59">
        <f t="shared" si="128"/>
        <v>289.7343233284551</v>
      </c>
      <c r="EO188" s="59">
        <f ca="1">AVERAGE(OFFSET($EN$3,0,0,'Données projet'!$E$15+1,1))-AVERAGE(OFFSET($H$3,0,0,'Données projet'!$E$15+1,1))</f>
        <v>333.52903437536651</v>
      </c>
      <c r="EP188" s="59">
        <f t="shared" si="154"/>
        <v>359.47288701414777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5.1453496117861812E-2</v>
      </c>
      <c r="EX188" s="21">
        <f>EXP(-LN(2)/2)*EX187+(1-EXP(-LN(2)/2))/(LN(2)/2)*ER188*EU188*VLOOKUP('Données projet'!$B$15,Paramètres!$A$1:$I$89,3,0)*0.475*44/12</f>
        <v>1.1800023971946194E-24</v>
      </c>
      <c r="EY188" s="22">
        <f t="shared" si="181"/>
        <v>5.1453496117861812E-2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-2.8421709430404007E-13</v>
      </c>
      <c r="FF188" s="17">
        <f>FE188*VLOOKUP('Données projet'!$B$16,Paramètres!$A$1:$I$89,3,0)*VLOOKUP('Données projet'!$B$16,Paramètres!$A$1:$I$89,5,0)</f>
        <v>-1.69961822393816E-13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313.26988717307376</v>
      </c>
      <c r="FK188" s="59">
        <f t="shared" si="156"/>
        <v>248.17359813993201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0.10824096872231656</v>
      </c>
      <c r="FR188" s="21">
        <f>EXP(-LN(2)/25)*FR187+(1-EXP(-LN(2)/25))/(LN(2)/25)*Calculateur!FM188*Calculateur!FO188*VLOOKUP('Données projet'!$B$16,Paramètres!$A$1:$I$89,3,0)*0.475*44/12</f>
        <v>0.10255130391845876</v>
      </c>
      <c r="FS188" s="21">
        <f>EXP(-LN(2)/2)*FS187+(1-EXP(-LN(2)/2))/(LN(2)/2)*FM188*FP188*VLOOKUP('Données projet'!$B$16,Paramètres!$A$1:$I$89,3,0)*0.475*44/12</f>
        <v>1.9700983811022809E-23</v>
      </c>
      <c r="FT188" s="22">
        <f t="shared" si="184"/>
        <v>0.21079227264077532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181.00000000000009</v>
      </c>
      <c r="GA188" s="17">
        <f>FZ188*VLOOKUP('Données projet'!$B$17,Paramètres!$A$1:$I$89,3,0)*VLOOKUP('Données projet'!$B$17,Paramètres!$A$1:$I$89,5,0)</f>
        <v>194.82840000000007</v>
      </c>
      <c r="GB188" s="13">
        <f t="shared" si="185"/>
        <v>48.605879434898576</v>
      </c>
      <c r="GC188" s="20">
        <f t="shared" si="186"/>
        <v>423.98137001578181</v>
      </c>
      <c r="GD188" s="59">
        <f t="shared" si="134"/>
        <v>713.71569334423555</v>
      </c>
      <c r="GE188" s="59">
        <f ca="1">AVERAGE(OFFSET($GD$3,0,0,'Données projet'!$E$17+1,1))-AVERAGE(OFFSET($H$3,0,0,'Données projet'!$E$17+1,1))</f>
        <v>313.51355235711543</v>
      </c>
      <c r="GF188" s="59">
        <f t="shared" si="158"/>
        <v>186.0840067781198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0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0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275.00000000000057</v>
      </c>
      <c r="O189" s="13">
        <f>N189*VLOOKUP('Données projet'!$B$9,Paramètres!$A$1:$I$89,3,0)*VLOOKUP('Données projet'!$B$9,Paramètres!$A$1:$I$89,5,0)</f>
        <v>278.85000000000059</v>
      </c>
      <c r="P189" s="13">
        <f t="shared" si="141"/>
        <v>66.723922641153095</v>
      </c>
      <c r="Q189" s="20">
        <f t="shared" si="162"/>
        <v>601.8745819333426</v>
      </c>
      <c r="R189" s="59">
        <f t="shared" si="109"/>
        <v>891.6713400392</v>
      </c>
      <c r="S189" s="59">
        <f ca="1">AVERAGE(OFFSET($R$3,0,0,'Données projet'!$E$9+1,1))-AVERAGE(OFFSET($H$3,0,0,'Données projet'!$E$9+1,1))</f>
        <v>452.67426184967104</v>
      </c>
      <c r="T189" s="59">
        <f t="shared" si="142"/>
        <v>310.47823616327639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-3.979039320256561E-13</v>
      </c>
      <c r="AJ189" s="13">
        <f>AI189*VLOOKUP('Données projet'!$B$10,Paramètres!$A$1:$I$89,3,0)*VLOOKUP('Données projet'!$B$10,Paramètres!$A$1:$I$89,5,0)</f>
        <v>-4.158891897532158E-13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528.45201982036087</v>
      </c>
      <c r="AO189" s="59">
        <f t="shared" si="144"/>
        <v>321.23004033257985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3.2682062793311303E-25</v>
      </c>
      <c r="AX189" s="21">
        <f t="shared" si="166"/>
        <v>3.2682062793311303E-25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181.00000000000009</v>
      </c>
      <c r="BE189" s="13">
        <f>BD189*VLOOKUP('Données projet'!$B$11,Paramètres!$A$1:$I$89,3,0)*VLOOKUP('Données projet'!$B$11,Paramètres!$A$1:$I$89,5,0)</f>
        <v>175.06320000000008</v>
      </c>
      <c r="BF189" s="13">
        <f t="shared" si="167"/>
        <v>44.222067746824763</v>
      </c>
      <c r="BG189" s="20">
        <f t="shared" si="168"/>
        <v>381.92184132571992</v>
      </c>
      <c r="BH189" s="59">
        <f t="shared" si="116"/>
        <v>671.71859943157733</v>
      </c>
      <c r="BI189" s="59">
        <f ca="1">AVERAGE(OFFSET($BH$3,0,0,'Données projet'!$E$11+1,1))-AVERAGE(OFFSET($H$3,0,0,'Données projet'!$E$11+1,1))</f>
        <v>289.06522051625166</v>
      </c>
      <c r="BJ189" s="59">
        <f t="shared" si="146"/>
        <v>173.19148969173838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234.00000000000045</v>
      </c>
      <c r="BZ189" s="13">
        <f>BY189*VLOOKUP('Données projet'!$B$12,Paramètres!$A$1:$I$89,3,0)*VLOOKUP('Données projet'!$B$12,Paramètres!$A$1:$I$89,5,0)</f>
        <v>189.82080000000036</v>
      </c>
      <c r="CA189" s="13">
        <f t="shared" si="170"/>
        <v>47.500332100049881</v>
      </c>
      <c r="CB189" s="20">
        <f t="shared" si="171"/>
        <v>413.33430507425419</v>
      </c>
      <c r="CC189" s="59">
        <f t="shared" si="119"/>
        <v>703.1310631801116</v>
      </c>
      <c r="CD189" s="59">
        <f ca="1">AVERAGE(OFFSET($CC$3,0,0,'Données projet'!$E$12+1,1))-AVERAGE(OFFSET($H$3,0,0,'Données projet'!$E$12+1,1))</f>
        <v>306.06916761900357</v>
      </c>
      <c r="CE189" s="59">
        <f t="shared" si="148"/>
        <v>258.90832875500337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5.9354528368509268E-25</v>
      </c>
      <c r="CN189" s="22">
        <f t="shared" si="172"/>
        <v>5.9354528368509268E-25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275.00000000000057</v>
      </c>
      <c r="CU189" s="17">
        <f>CT189*VLOOKUP('Données projet'!$B$13,Paramètres!$A$1:$I$89,3,0)*VLOOKUP('Données projet'!$B$13,Paramètres!$A$1:$I$89,5,0)</f>
        <v>184.4700000000004</v>
      </c>
      <c r="CV189" s="13">
        <f t="shared" si="173"/>
        <v>46.31525458251663</v>
      </c>
      <c r="CW189" s="20">
        <f t="shared" si="174"/>
        <v>401.95098506455048</v>
      </c>
      <c r="CX189" s="59">
        <f t="shared" si="122"/>
        <v>691.74774317040783</v>
      </c>
      <c r="CY189" s="59">
        <f ca="1">AVERAGE(OFFSET($CX$3,0,0,'Données projet'!$E$13+1,1))-AVERAGE(OFFSET($H$3,0,0,'Données projet'!$E$13+1,1))</f>
        <v>324.58754156328285</v>
      </c>
      <c r="CZ189" s="59">
        <f t="shared" si="150"/>
        <v>226.01037731977604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3.5993194767057528E-25</v>
      </c>
      <c r="DI189" s="22">
        <f t="shared" si="175"/>
        <v>3.5993194767057528E-25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3.4106051316484809E-13</v>
      </c>
      <c r="DP189" s="17">
        <f>DO189*VLOOKUP('Données projet'!$B$14,Paramètres!$A$1:$I$89,3,0)*VLOOKUP('Données projet'!$B$14,Paramètres!$A$1:$I$89,5,0)</f>
        <v>1.5961632016114892E-13</v>
      </c>
      <c r="DQ189" s="13">
        <f t="shared" si="176"/>
        <v>2.2708641912150958E-12</v>
      </c>
      <c r="DR189" s="20">
        <f t="shared" si="177"/>
        <v>4.2330868906469593E-12</v>
      </c>
      <c r="DS189" s="59">
        <f t="shared" si="125"/>
        <v>289.79675810586161</v>
      </c>
      <c r="DT189" s="59">
        <f ca="1">AVERAGE(OFFSET($DS$3,0,0,'Données projet'!$E$14+1,1))-AVERAGE(OFFSET($H$3,0,0,'Données projet'!$E$14+1,1))</f>
        <v>325.93182817189722</v>
      </c>
      <c r="DU189" s="59">
        <f t="shared" si="152"/>
        <v>280.04509991782709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5.6843418860808015E-14</v>
      </c>
      <c r="EK189" s="17">
        <f>EJ189*VLOOKUP('Données projet'!$B$15,Paramètres!$A$1:$I$89,3,0)*VLOOKUP('Données projet'!$B$15,Paramètres!$A$1:$I$89,5,0)</f>
        <v>4.5224624045658861E-14</v>
      </c>
      <c r="EL189" s="13">
        <f t="shared" si="179"/>
        <v>7.4514601661523691E-13</v>
      </c>
      <c r="EM189" s="20">
        <f t="shared" si="180"/>
        <v>1.3765621991510601E-12</v>
      </c>
      <c r="EN189" s="59">
        <f t="shared" si="128"/>
        <v>289.79675810585877</v>
      </c>
      <c r="EO189" s="59">
        <f ca="1">AVERAGE(OFFSET($EN$3,0,0,'Données projet'!$E$15+1,1))-AVERAGE(OFFSET($H$3,0,0,'Données projet'!$E$15+1,1))</f>
        <v>333.52903437536651</v>
      </c>
      <c r="EP189" s="59">
        <f t="shared" si="154"/>
        <v>359.47288701414777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5.0046497560697116E-2</v>
      </c>
      <c r="EX189" s="21">
        <f>EXP(-LN(2)/2)*EX188+(1-EXP(-LN(2)/2))/(LN(2)/2)*ER189*EU189*VLOOKUP('Données projet'!$B$15,Paramètres!$A$1:$I$89,3,0)*0.475*44/12</f>
        <v>8.3438769687269723E-25</v>
      </c>
      <c r="EY189" s="22">
        <f t="shared" si="181"/>
        <v>5.0046497560697116E-2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-2.8421709430404007E-13</v>
      </c>
      <c r="FF189" s="17">
        <f>FE189*VLOOKUP('Données projet'!$B$16,Paramètres!$A$1:$I$89,3,0)*VLOOKUP('Données projet'!$B$16,Paramètres!$A$1:$I$89,5,0)</f>
        <v>-1.69961822393816E-13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313.26988717307376</v>
      </c>
      <c r="FK189" s="59">
        <f t="shared" si="156"/>
        <v>248.17359813993201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0.10611842934614388</v>
      </c>
      <c r="FR189" s="21">
        <f>EXP(-LN(2)/25)*FR188+(1-EXP(-LN(2)/25))/(LN(2)/25)*Calculateur!FM189*Calculateur!FO189*VLOOKUP('Données projet'!$B$16,Paramètres!$A$1:$I$89,3,0)*0.475*44/12</f>
        <v>9.9747033119869821E-2</v>
      </c>
      <c r="FS189" s="21">
        <f>EXP(-LN(2)/2)*FS188+(1-EXP(-LN(2)/2))/(LN(2)/2)*FM189*FP189*VLOOKUP('Données projet'!$B$16,Paramètres!$A$1:$I$89,3,0)*0.475*44/12</f>
        <v>1.393069924882062E-23</v>
      </c>
      <c r="FT189" s="22">
        <f t="shared" si="184"/>
        <v>0.2058654624660137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181.00000000000009</v>
      </c>
      <c r="GA189" s="17">
        <f>FZ189*VLOOKUP('Données projet'!$B$17,Paramètres!$A$1:$I$89,3,0)*VLOOKUP('Données projet'!$B$17,Paramètres!$A$1:$I$89,5,0)</f>
        <v>194.82840000000007</v>
      </c>
      <c r="GB189" s="13">
        <f t="shared" si="185"/>
        <v>48.605879434898576</v>
      </c>
      <c r="GC189" s="20">
        <f t="shared" si="186"/>
        <v>423.98137001578181</v>
      </c>
      <c r="GD189" s="59">
        <f t="shared" si="134"/>
        <v>713.77812812163916</v>
      </c>
      <c r="GE189" s="59">
        <f ca="1">AVERAGE(OFFSET($GD$3,0,0,'Données projet'!$E$17+1,1))-AVERAGE(OFFSET($H$3,0,0,'Données projet'!$E$17+1,1))</f>
        <v>313.51355235711543</v>
      </c>
      <c r="GF189" s="59">
        <f t="shared" si="158"/>
        <v>186.0840067781198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0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0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275.00000000000057</v>
      </c>
      <c r="O190" s="13">
        <f>N190*VLOOKUP('Données projet'!$B$9,Paramètres!$A$1:$I$89,3,0)*VLOOKUP('Données projet'!$B$9,Paramètres!$A$1:$I$89,5,0)</f>
        <v>278.85000000000059</v>
      </c>
      <c r="P190" s="13">
        <f t="shared" si="141"/>
        <v>66.723922641153095</v>
      </c>
      <c r="Q190" s="20">
        <f t="shared" si="162"/>
        <v>601.8745819333426</v>
      </c>
      <c r="R190" s="59">
        <f t="shared" si="109"/>
        <v>891.73269171279901</v>
      </c>
      <c r="S190" s="59">
        <f ca="1">AVERAGE(OFFSET($R$3,0,0,'Données projet'!$E$9+1,1))-AVERAGE(OFFSET($H$3,0,0,'Données projet'!$E$9+1,1))</f>
        <v>452.67426184967104</v>
      </c>
      <c r="T190" s="59">
        <f t="shared" si="142"/>
        <v>310.47823616327639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-3.979039320256561E-13</v>
      </c>
      <c r="AJ190" s="13">
        <f>AI190*VLOOKUP('Données projet'!$B$10,Paramètres!$A$1:$I$89,3,0)*VLOOKUP('Données projet'!$B$10,Paramètres!$A$1:$I$89,5,0)</f>
        <v>-4.158891897532158E-13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528.45201982036087</v>
      </c>
      <c r="AO190" s="59">
        <f t="shared" si="144"/>
        <v>321.23004033257985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2.3109708224314981E-25</v>
      </c>
      <c r="AX190" s="21">
        <f t="shared" si="166"/>
        <v>2.3109708224314981E-25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181.00000000000009</v>
      </c>
      <c r="BE190" s="13">
        <f>BD190*VLOOKUP('Données projet'!$B$11,Paramètres!$A$1:$I$89,3,0)*VLOOKUP('Données projet'!$B$11,Paramètres!$A$1:$I$89,5,0)</f>
        <v>175.06320000000008</v>
      </c>
      <c r="BF190" s="13">
        <f t="shared" si="167"/>
        <v>44.222067746824763</v>
      </c>
      <c r="BG190" s="20">
        <f t="shared" si="168"/>
        <v>381.92184132571992</v>
      </c>
      <c r="BH190" s="59">
        <f t="shared" si="116"/>
        <v>671.77995110517634</v>
      </c>
      <c r="BI190" s="59">
        <f ca="1">AVERAGE(OFFSET($BH$3,0,0,'Données projet'!$E$11+1,1))-AVERAGE(OFFSET($H$3,0,0,'Données projet'!$E$11+1,1))</f>
        <v>289.06522051625166</v>
      </c>
      <c r="BJ190" s="59">
        <f t="shared" si="146"/>
        <v>173.19148969173838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234.00000000000045</v>
      </c>
      <c r="BZ190" s="13">
        <f>BY190*VLOOKUP('Données projet'!$B$12,Paramètres!$A$1:$I$89,3,0)*VLOOKUP('Données projet'!$B$12,Paramètres!$A$1:$I$89,5,0)</f>
        <v>189.82080000000036</v>
      </c>
      <c r="CA190" s="13">
        <f t="shared" si="170"/>
        <v>47.500332100049881</v>
      </c>
      <c r="CB190" s="20">
        <f t="shared" si="171"/>
        <v>413.33430507425419</v>
      </c>
      <c r="CC190" s="59">
        <f t="shared" si="119"/>
        <v>703.1924148537106</v>
      </c>
      <c r="CD190" s="59">
        <f ca="1">AVERAGE(OFFSET($CC$3,0,0,'Données projet'!$E$12+1,1))-AVERAGE(OFFSET($H$3,0,0,'Données projet'!$E$12+1,1))</f>
        <v>306.06916761900357</v>
      </c>
      <c r="CE190" s="59">
        <f t="shared" si="148"/>
        <v>258.90832875500337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4.196998950350221E-25</v>
      </c>
      <c r="CN190" s="22">
        <f t="shared" si="172"/>
        <v>4.196998950350221E-25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275.00000000000057</v>
      </c>
      <c r="CU190" s="17">
        <f>CT190*VLOOKUP('Données projet'!$B$13,Paramètres!$A$1:$I$89,3,0)*VLOOKUP('Données projet'!$B$13,Paramètres!$A$1:$I$89,5,0)</f>
        <v>184.4700000000004</v>
      </c>
      <c r="CV190" s="13">
        <f t="shared" si="173"/>
        <v>46.31525458251663</v>
      </c>
      <c r="CW190" s="20">
        <f t="shared" si="174"/>
        <v>401.95098506455048</v>
      </c>
      <c r="CX190" s="59">
        <f t="shared" si="122"/>
        <v>691.80909484400695</v>
      </c>
      <c r="CY190" s="59">
        <f ca="1">AVERAGE(OFFSET($CX$3,0,0,'Données projet'!$E$13+1,1))-AVERAGE(OFFSET($H$3,0,0,'Données projet'!$E$13+1,1))</f>
        <v>324.58754156328285</v>
      </c>
      <c r="CZ190" s="59">
        <f t="shared" si="150"/>
        <v>226.01037731977604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2.5451032096354534E-25</v>
      </c>
      <c r="DI190" s="22">
        <f t="shared" si="175"/>
        <v>2.5451032096354534E-25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3.4106051316484809E-13</v>
      </c>
      <c r="DP190" s="17">
        <f>DO190*VLOOKUP('Données projet'!$B$14,Paramètres!$A$1:$I$89,3,0)*VLOOKUP('Données projet'!$B$14,Paramètres!$A$1:$I$89,5,0)</f>
        <v>1.5961632016114892E-13</v>
      </c>
      <c r="DQ190" s="13">
        <f t="shared" si="176"/>
        <v>2.2708641912150958E-12</v>
      </c>
      <c r="DR190" s="20">
        <f t="shared" si="177"/>
        <v>4.2330868906469593E-12</v>
      </c>
      <c r="DS190" s="59">
        <f t="shared" si="125"/>
        <v>289.85810977946062</v>
      </c>
      <c r="DT190" s="59">
        <f ca="1">AVERAGE(OFFSET($DS$3,0,0,'Données projet'!$E$14+1,1))-AVERAGE(OFFSET($H$3,0,0,'Données projet'!$E$14+1,1))</f>
        <v>325.93182817189722</v>
      </c>
      <c r="DU190" s="59">
        <f t="shared" si="152"/>
        <v>280.04509991782709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5.6843418860808015E-14</v>
      </c>
      <c r="EK190" s="17">
        <f>EJ190*VLOOKUP('Données projet'!$B$15,Paramètres!$A$1:$I$89,3,0)*VLOOKUP('Données projet'!$B$15,Paramètres!$A$1:$I$89,5,0)</f>
        <v>4.5224624045658861E-14</v>
      </c>
      <c r="EL190" s="13">
        <f t="shared" si="179"/>
        <v>7.4514601661523691E-13</v>
      </c>
      <c r="EM190" s="20">
        <f t="shared" si="180"/>
        <v>1.3765621991510601E-12</v>
      </c>
      <c r="EN190" s="59">
        <f t="shared" si="128"/>
        <v>289.85810977945778</v>
      </c>
      <c r="EO190" s="59">
        <f ca="1">AVERAGE(OFFSET($EN$3,0,0,'Données projet'!$E$15+1,1))-AVERAGE(OFFSET($H$3,0,0,'Données projet'!$E$15+1,1))</f>
        <v>333.52903437536651</v>
      </c>
      <c r="EP190" s="59">
        <f t="shared" si="154"/>
        <v>359.47288701414777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4.8677973453068929E-2</v>
      </c>
      <c r="EX190" s="21">
        <f>EXP(-LN(2)/2)*EX189+(1-EXP(-LN(2)/2))/(LN(2)/2)*ER190*EU190*VLOOKUP('Données projet'!$B$15,Paramètres!$A$1:$I$89,3,0)*0.475*44/12</f>
        <v>5.9000119859730969E-25</v>
      </c>
      <c r="EY190" s="22">
        <f t="shared" si="181"/>
        <v>4.8677973453068929E-2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-2.8421709430404007E-13</v>
      </c>
      <c r="FF190" s="17">
        <f>FE190*VLOOKUP('Données projet'!$B$16,Paramètres!$A$1:$I$89,3,0)*VLOOKUP('Données projet'!$B$16,Paramètres!$A$1:$I$89,5,0)</f>
        <v>-1.69961822393816E-13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313.26988717307376</v>
      </c>
      <c r="FK190" s="59">
        <f t="shared" si="156"/>
        <v>248.17359813993201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0.10403751167251675</v>
      </c>
      <c r="FR190" s="21">
        <f>EXP(-LN(2)/25)*FR189+(1-EXP(-LN(2)/25))/(LN(2)/25)*Calculateur!FM190*Calculateur!FO190*VLOOKUP('Données projet'!$B$16,Paramètres!$A$1:$I$89,3,0)*0.475*44/12</f>
        <v>9.7019445253738484E-2</v>
      </c>
      <c r="FS190" s="21">
        <f>EXP(-LN(2)/2)*FS189+(1-EXP(-LN(2)/2))/(LN(2)/2)*FM190*FP190*VLOOKUP('Données projet'!$B$16,Paramètres!$A$1:$I$89,3,0)*0.475*44/12</f>
        <v>9.8504919055114044E-24</v>
      </c>
      <c r="FT190" s="22">
        <f t="shared" si="184"/>
        <v>0.20105695692625525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181.00000000000009</v>
      </c>
      <c r="GA190" s="17">
        <f>FZ190*VLOOKUP('Données projet'!$B$17,Paramètres!$A$1:$I$89,3,0)*VLOOKUP('Données projet'!$B$17,Paramètres!$A$1:$I$89,5,0)</f>
        <v>194.82840000000007</v>
      </c>
      <c r="GB190" s="13">
        <f t="shared" si="185"/>
        <v>48.605879434898576</v>
      </c>
      <c r="GC190" s="20">
        <f t="shared" si="186"/>
        <v>423.98137001578181</v>
      </c>
      <c r="GD190" s="59">
        <f t="shared" si="134"/>
        <v>713.83947979523828</v>
      </c>
      <c r="GE190" s="59">
        <f ca="1">AVERAGE(OFFSET($GD$3,0,0,'Données projet'!$E$17+1,1))-AVERAGE(OFFSET($H$3,0,0,'Données projet'!$E$17+1,1))</f>
        <v>313.51355235711543</v>
      </c>
      <c r="GF190" s="59">
        <f t="shared" si="158"/>
        <v>186.0840067781198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0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0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275.00000000000057</v>
      </c>
      <c r="O191" s="13">
        <f>N191*VLOOKUP('Données projet'!$B$9,Paramètres!$A$1:$I$89,3,0)*VLOOKUP('Données projet'!$B$9,Paramètres!$A$1:$I$89,5,0)</f>
        <v>278.85000000000059</v>
      </c>
      <c r="P191" s="13">
        <f t="shared" si="141"/>
        <v>66.723922641153095</v>
      </c>
      <c r="Q191" s="20">
        <f t="shared" si="162"/>
        <v>601.8745819333426</v>
      </c>
      <c r="R191" s="59">
        <f t="shared" si="109"/>
        <v>891.79297907202283</v>
      </c>
      <c r="S191" s="59">
        <f ca="1">AVERAGE(OFFSET($R$3,0,0,'Données projet'!$E$9+1,1))-AVERAGE(OFFSET($H$3,0,0,'Données projet'!$E$9+1,1))</f>
        <v>452.67426184967104</v>
      </c>
      <c r="T191" s="59">
        <f t="shared" si="142"/>
        <v>310.47823616327639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-3.979039320256561E-13</v>
      </c>
      <c r="AJ191" s="13">
        <f>AI191*VLOOKUP('Données projet'!$B$10,Paramètres!$A$1:$I$89,3,0)*VLOOKUP('Données projet'!$B$10,Paramètres!$A$1:$I$89,5,0)</f>
        <v>-4.158891897532158E-13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528.45201982036087</v>
      </c>
      <c r="AO191" s="59">
        <f t="shared" si="144"/>
        <v>321.23004033257985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1.6341031396655651E-25</v>
      </c>
      <c r="AX191" s="21">
        <f t="shared" si="166"/>
        <v>1.6341031396655651E-25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181.00000000000009</v>
      </c>
      <c r="BE191" s="13">
        <f>BD191*VLOOKUP('Données projet'!$B$11,Paramètres!$A$1:$I$89,3,0)*VLOOKUP('Données projet'!$B$11,Paramètres!$A$1:$I$89,5,0)</f>
        <v>175.06320000000008</v>
      </c>
      <c r="BF191" s="13">
        <f t="shared" si="167"/>
        <v>44.222067746824763</v>
      </c>
      <c r="BG191" s="20">
        <f t="shared" si="168"/>
        <v>381.92184132571992</v>
      </c>
      <c r="BH191" s="59">
        <f t="shared" si="116"/>
        <v>671.84023846440016</v>
      </c>
      <c r="BI191" s="59">
        <f ca="1">AVERAGE(OFFSET($BH$3,0,0,'Données projet'!$E$11+1,1))-AVERAGE(OFFSET($H$3,0,0,'Données projet'!$E$11+1,1))</f>
        <v>289.06522051625166</v>
      </c>
      <c r="BJ191" s="59">
        <f t="shared" si="146"/>
        <v>173.19148969173838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234.00000000000045</v>
      </c>
      <c r="BZ191" s="13">
        <f>BY191*VLOOKUP('Données projet'!$B$12,Paramètres!$A$1:$I$89,3,0)*VLOOKUP('Données projet'!$B$12,Paramètres!$A$1:$I$89,5,0)</f>
        <v>189.82080000000036</v>
      </c>
      <c r="CA191" s="13">
        <f t="shared" si="170"/>
        <v>47.500332100049881</v>
      </c>
      <c r="CB191" s="20">
        <f t="shared" si="171"/>
        <v>413.33430507425419</v>
      </c>
      <c r="CC191" s="59">
        <f t="shared" si="119"/>
        <v>703.25270221293442</v>
      </c>
      <c r="CD191" s="59">
        <f ca="1">AVERAGE(OFFSET($CC$3,0,0,'Données projet'!$E$12+1,1))-AVERAGE(OFFSET($H$3,0,0,'Données projet'!$E$12+1,1))</f>
        <v>306.06916761900357</v>
      </c>
      <c r="CE191" s="59">
        <f t="shared" si="148"/>
        <v>258.90832875500337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2.9677264184254634E-25</v>
      </c>
      <c r="CN191" s="22">
        <f t="shared" si="172"/>
        <v>2.9677264184254634E-25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275.00000000000057</v>
      </c>
      <c r="CU191" s="17">
        <f>CT191*VLOOKUP('Données projet'!$B$13,Paramètres!$A$1:$I$89,3,0)*VLOOKUP('Données projet'!$B$13,Paramètres!$A$1:$I$89,5,0)</f>
        <v>184.4700000000004</v>
      </c>
      <c r="CV191" s="13">
        <f t="shared" si="173"/>
        <v>46.31525458251663</v>
      </c>
      <c r="CW191" s="20">
        <f t="shared" si="174"/>
        <v>401.95098506455048</v>
      </c>
      <c r="CX191" s="59">
        <f t="shared" si="122"/>
        <v>691.86938220323077</v>
      </c>
      <c r="CY191" s="59">
        <f ca="1">AVERAGE(OFFSET($CX$3,0,0,'Données projet'!$E$13+1,1))-AVERAGE(OFFSET($H$3,0,0,'Données projet'!$E$13+1,1))</f>
        <v>324.58754156328285</v>
      </c>
      <c r="CZ191" s="59">
        <f t="shared" si="150"/>
        <v>226.01037731977604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1.7996597383528764E-25</v>
      </c>
      <c r="DI191" s="22">
        <f t="shared" si="175"/>
        <v>1.7996597383528764E-25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3.4106051316484809E-13</v>
      </c>
      <c r="DP191" s="17">
        <f>DO191*VLOOKUP('Données projet'!$B$14,Paramètres!$A$1:$I$89,3,0)*VLOOKUP('Données projet'!$B$14,Paramètres!$A$1:$I$89,5,0)</f>
        <v>1.5961632016114892E-13</v>
      </c>
      <c r="DQ191" s="13">
        <f t="shared" si="176"/>
        <v>2.2708641912150958E-12</v>
      </c>
      <c r="DR191" s="20">
        <f t="shared" si="177"/>
        <v>4.2330868906469593E-12</v>
      </c>
      <c r="DS191" s="59">
        <f t="shared" si="125"/>
        <v>289.91839713868444</v>
      </c>
      <c r="DT191" s="59">
        <f ca="1">AVERAGE(OFFSET($DS$3,0,0,'Données projet'!$E$14+1,1))-AVERAGE(OFFSET($H$3,0,0,'Données projet'!$E$14+1,1))</f>
        <v>325.93182817189722</v>
      </c>
      <c r="DU191" s="59">
        <f t="shared" si="152"/>
        <v>280.04509991782709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5.6843418860808015E-14</v>
      </c>
      <c r="EK191" s="17">
        <f>EJ191*VLOOKUP('Données projet'!$B$15,Paramètres!$A$1:$I$89,3,0)*VLOOKUP('Données projet'!$B$15,Paramètres!$A$1:$I$89,5,0)</f>
        <v>4.5224624045658861E-14</v>
      </c>
      <c r="EL191" s="13">
        <f t="shared" si="179"/>
        <v>7.4514601661523691E-13</v>
      </c>
      <c r="EM191" s="20">
        <f t="shared" si="180"/>
        <v>1.3765621991510601E-12</v>
      </c>
      <c r="EN191" s="59">
        <f t="shared" si="128"/>
        <v>289.9183971386816</v>
      </c>
      <c r="EO191" s="59">
        <f ca="1">AVERAGE(OFFSET($EN$3,0,0,'Données projet'!$E$15+1,1))-AVERAGE(OFFSET($H$3,0,0,'Données projet'!$E$15+1,1))</f>
        <v>333.52903437536651</v>
      </c>
      <c r="EP191" s="59">
        <f t="shared" si="154"/>
        <v>359.47288701414777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4.7346871709131391E-2</v>
      </c>
      <c r="EX191" s="21">
        <f>EXP(-LN(2)/2)*EX190+(1-EXP(-LN(2)/2))/(LN(2)/2)*ER191*EU191*VLOOKUP('Données projet'!$B$15,Paramètres!$A$1:$I$89,3,0)*0.475*44/12</f>
        <v>4.1719384843634861E-25</v>
      </c>
      <c r="EY191" s="22">
        <f t="shared" si="181"/>
        <v>4.7346871709131391E-2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-2.8421709430404007E-13</v>
      </c>
      <c r="FF191" s="17">
        <f>FE191*VLOOKUP('Données projet'!$B$16,Paramètres!$A$1:$I$89,3,0)*VLOOKUP('Données projet'!$B$16,Paramètres!$A$1:$I$89,5,0)</f>
        <v>-1.69961822393816E-13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313.26988717307376</v>
      </c>
      <c r="FK191" s="59">
        <f t="shared" si="156"/>
        <v>248.17359813993201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0.101997399525235</v>
      </c>
      <c r="FR191" s="21">
        <f>EXP(-LN(2)/25)*FR190+(1-EXP(-LN(2)/25))/(LN(2)/25)*Calculateur!FM191*Calculateur!FO191*VLOOKUP('Données projet'!$B$16,Paramètres!$A$1:$I$89,3,0)*0.475*44/12</f>
        <v>9.4366443421244117E-2</v>
      </c>
      <c r="FS191" s="21">
        <f>EXP(-LN(2)/2)*FS190+(1-EXP(-LN(2)/2))/(LN(2)/2)*FM191*FP191*VLOOKUP('Données projet'!$B$16,Paramètres!$A$1:$I$89,3,0)*0.475*44/12</f>
        <v>6.9653496244103099E-24</v>
      </c>
      <c r="FT191" s="22">
        <f t="shared" si="184"/>
        <v>0.19636384294647913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181.00000000000009</v>
      </c>
      <c r="GA191" s="17">
        <f>FZ191*VLOOKUP('Données projet'!$B$17,Paramètres!$A$1:$I$89,3,0)*VLOOKUP('Données projet'!$B$17,Paramètres!$A$1:$I$89,5,0)</f>
        <v>194.82840000000007</v>
      </c>
      <c r="GB191" s="13">
        <f t="shared" si="185"/>
        <v>48.605879434898576</v>
      </c>
      <c r="GC191" s="20">
        <f t="shared" si="186"/>
        <v>423.98137001578181</v>
      </c>
      <c r="GD191" s="59">
        <f t="shared" si="134"/>
        <v>713.8997671544621</v>
      </c>
      <c r="GE191" s="59">
        <f ca="1">AVERAGE(OFFSET($GD$3,0,0,'Données projet'!$E$17+1,1))-AVERAGE(OFFSET($H$3,0,0,'Données projet'!$E$17+1,1))</f>
        <v>313.51355235711543</v>
      </c>
      <c r="GF191" s="59">
        <f t="shared" si="158"/>
        <v>186.0840067781198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0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0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275.00000000000057</v>
      </c>
      <c r="O192" s="13">
        <f>N192*VLOOKUP('Données projet'!$B$9,Paramètres!$A$1:$I$89,3,0)*VLOOKUP('Données projet'!$B$9,Paramètres!$A$1:$I$89,5,0)</f>
        <v>278.85000000000059</v>
      </c>
      <c r="P192" s="13">
        <f t="shared" si="141"/>
        <v>66.723922641153095</v>
      </c>
      <c r="Q192" s="20">
        <f t="shared" si="162"/>
        <v>601.8745819333426</v>
      </c>
      <c r="R192" s="59">
        <f t="shared" si="109"/>
        <v>891.85222058034651</v>
      </c>
      <c r="S192" s="59">
        <f ca="1">AVERAGE(OFFSET($R$3,0,0,'Données projet'!$E$9+1,1))-AVERAGE(OFFSET($H$3,0,0,'Données projet'!$E$9+1,1))</f>
        <v>452.67426184967104</v>
      </c>
      <c r="T192" s="59">
        <f t="shared" si="142"/>
        <v>310.47823616327639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-3.979039320256561E-13</v>
      </c>
      <c r="AJ192" s="13">
        <f>AI192*VLOOKUP('Données projet'!$B$10,Paramètres!$A$1:$I$89,3,0)*VLOOKUP('Données projet'!$B$10,Paramètres!$A$1:$I$89,5,0)</f>
        <v>-4.158891897532158E-13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528.45201982036087</v>
      </c>
      <c r="AO192" s="59">
        <f t="shared" si="144"/>
        <v>321.23004033257985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1.1554854112157491E-25</v>
      </c>
      <c r="AX192" s="21">
        <f t="shared" si="166"/>
        <v>1.1554854112157491E-25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181.00000000000009</v>
      </c>
      <c r="BE192" s="13">
        <f>BD192*VLOOKUP('Données projet'!$B$11,Paramètres!$A$1:$I$89,3,0)*VLOOKUP('Données projet'!$B$11,Paramètres!$A$1:$I$89,5,0)</f>
        <v>175.06320000000008</v>
      </c>
      <c r="BF192" s="13">
        <f t="shared" si="167"/>
        <v>44.222067746824763</v>
      </c>
      <c r="BG192" s="20">
        <f t="shared" si="168"/>
        <v>381.92184132571992</v>
      </c>
      <c r="BH192" s="59">
        <f t="shared" si="116"/>
        <v>671.89947997272384</v>
      </c>
      <c r="BI192" s="59">
        <f ca="1">AVERAGE(OFFSET($BH$3,0,0,'Données projet'!$E$11+1,1))-AVERAGE(OFFSET($H$3,0,0,'Données projet'!$E$11+1,1))</f>
        <v>289.06522051625166</v>
      </c>
      <c r="BJ192" s="59">
        <f t="shared" si="146"/>
        <v>173.19148969173838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234.00000000000045</v>
      </c>
      <c r="BZ192" s="13">
        <f>BY192*VLOOKUP('Données projet'!$B$12,Paramètres!$A$1:$I$89,3,0)*VLOOKUP('Données projet'!$B$12,Paramètres!$A$1:$I$89,5,0)</f>
        <v>189.82080000000036</v>
      </c>
      <c r="CA192" s="13">
        <f t="shared" si="170"/>
        <v>47.500332100049881</v>
      </c>
      <c r="CB192" s="20">
        <f t="shared" si="171"/>
        <v>413.33430507425419</v>
      </c>
      <c r="CC192" s="59">
        <f t="shared" si="119"/>
        <v>703.3119437212581</v>
      </c>
      <c r="CD192" s="59">
        <f ca="1">AVERAGE(OFFSET($CC$3,0,0,'Données projet'!$E$12+1,1))-AVERAGE(OFFSET($H$3,0,0,'Données projet'!$E$12+1,1))</f>
        <v>306.06916761900357</v>
      </c>
      <c r="CE192" s="59">
        <f t="shared" si="148"/>
        <v>258.90832875500337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2.0984994751751105E-25</v>
      </c>
      <c r="CN192" s="22">
        <f t="shared" si="172"/>
        <v>2.0984994751751105E-25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275.00000000000057</v>
      </c>
      <c r="CU192" s="17">
        <f>CT192*VLOOKUP('Données projet'!$B$13,Paramètres!$A$1:$I$89,3,0)*VLOOKUP('Données projet'!$B$13,Paramètres!$A$1:$I$89,5,0)</f>
        <v>184.4700000000004</v>
      </c>
      <c r="CV192" s="13">
        <f t="shared" si="173"/>
        <v>46.31525458251663</v>
      </c>
      <c r="CW192" s="20">
        <f t="shared" si="174"/>
        <v>401.95098506455048</v>
      </c>
      <c r="CX192" s="59">
        <f t="shared" si="122"/>
        <v>691.92862371155434</v>
      </c>
      <c r="CY192" s="59">
        <f ca="1">AVERAGE(OFFSET($CX$3,0,0,'Données projet'!$E$13+1,1))-AVERAGE(OFFSET($H$3,0,0,'Données projet'!$E$13+1,1))</f>
        <v>324.58754156328285</v>
      </c>
      <c r="CZ192" s="59">
        <f t="shared" si="150"/>
        <v>226.01037731977604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1.2725516048177267E-25</v>
      </c>
      <c r="DI192" s="22">
        <f t="shared" si="175"/>
        <v>1.2725516048177267E-25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3.4106051316484809E-13</v>
      </c>
      <c r="DP192" s="17">
        <f>DO192*VLOOKUP('Données projet'!$B$14,Paramètres!$A$1:$I$89,3,0)*VLOOKUP('Données projet'!$B$14,Paramètres!$A$1:$I$89,5,0)</f>
        <v>1.5961632016114892E-13</v>
      </c>
      <c r="DQ192" s="13">
        <f t="shared" si="176"/>
        <v>2.2708641912150958E-12</v>
      </c>
      <c r="DR192" s="20">
        <f t="shared" si="177"/>
        <v>4.2330868906469593E-12</v>
      </c>
      <c r="DS192" s="59">
        <f t="shared" si="125"/>
        <v>289.97763864700806</v>
      </c>
      <c r="DT192" s="59">
        <f ca="1">AVERAGE(OFFSET($DS$3,0,0,'Données projet'!$E$14+1,1))-AVERAGE(OFFSET($H$3,0,0,'Données projet'!$E$14+1,1))</f>
        <v>325.93182817189722</v>
      </c>
      <c r="DU192" s="59">
        <f t="shared" si="152"/>
        <v>280.04509991782709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5.6843418860808015E-14</v>
      </c>
      <c r="EK192" s="17">
        <f>EJ192*VLOOKUP('Données projet'!$B$15,Paramètres!$A$1:$I$89,3,0)*VLOOKUP('Données projet'!$B$15,Paramètres!$A$1:$I$89,5,0)</f>
        <v>4.5224624045658861E-14</v>
      </c>
      <c r="EL192" s="13">
        <f t="shared" si="179"/>
        <v>7.4514601661523691E-13</v>
      </c>
      <c r="EM192" s="20">
        <f t="shared" si="180"/>
        <v>1.3765621991510601E-12</v>
      </c>
      <c r="EN192" s="59">
        <f t="shared" si="128"/>
        <v>289.97763864700522</v>
      </c>
      <c r="EO192" s="59">
        <f ca="1">AVERAGE(OFFSET($EN$3,0,0,'Données projet'!$E$15+1,1))-AVERAGE(OFFSET($H$3,0,0,'Données projet'!$E$15+1,1))</f>
        <v>333.52903437536651</v>
      </c>
      <c r="EP192" s="59">
        <f t="shared" si="154"/>
        <v>359.47288701414777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4.6052169012381426E-2</v>
      </c>
      <c r="EX192" s="21">
        <f>EXP(-LN(2)/2)*EX191+(1-EXP(-LN(2)/2))/(LN(2)/2)*ER192*EU192*VLOOKUP('Données projet'!$B$15,Paramètres!$A$1:$I$89,3,0)*0.475*44/12</f>
        <v>2.9500059929865484E-25</v>
      </c>
      <c r="EY192" s="22">
        <f t="shared" si="181"/>
        <v>4.6052169012381426E-2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-2.8421709430404007E-13</v>
      </c>
      <c r="FF192" s="17">
        <f>FE192*VLOOKUP('Données projet'!$B$16,Paramètres!$A$1:$I$89,3,0)*VLOOKUP('Données projet'!$B$16,Paramètres!$A$1:$I$89,5,0)</f>
        <v>-1.69961822393816E-13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313.26988717307376</v>
      </c>
      <c r="FK192" s="59">
        <f t="shared" si="156"/>
        <v>248.17359813993201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9.9997292732815893E-2</v>
      </c>
      <c r="FR192" s="21">
        <f>EXP(-LN(2)/25)*FR191+(1-EXP(-LN(2)/25))/(LN(2)/25)*Calculateur!FM192*Calculateur!FO192*VLOOKUP('Données projet'!$B$16,Paramètres!$A$1:$I$89,3,0)*0.475*44/12</f>
        <v>9.178598806337461E-2</v>
      </c>
      <c r="FS192" s="21">
        <f>EXP(-LN(2)/2)*FS191+(1-EXP(-LN(2)/2))/(LN(2)/2)*FM192*FP192*VLOOKUP('Données projet'!$B$16,Paramètres!$A$1:$I$89,3,0)*0.475*44/12</f>
        <v>4.9252459527557022E-24</v>
      </c>
      <c r="FT192" s="22">
        <f t="shared" si="184"/>
        <v>0.1917832807961905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181.00000000000009</v>
      </c>
      <c r="GA192" s="17">
        <f>FZ192*VLOOKUP('Données projet'!$B$17,Paramètres!$A$1:$I$89,3,0)*VLOOKUP('Données projet'!$B$17,Paramètres!$A$1:$I$89,5,0)</f>
        <v>194.82840000000007</v>
      </c>
      <c r="GB192" s="13">
        <f t="shared" si="185"/>
        <v>48.605879434898576</v>
      </c>
      <c r="GC192" s="20">
        <f t="shared" si="186"/>
        <v>423.98137001578181</v>
      </c>
      <c r="GD192" s="59">
        <f t="shared" si="134"/>
        <v>713.95900866278566</v>
      </c>
      <c r="GE192" s="59">
        <f ca="1">AVERAGE(OFFSET($GD$3,0,0,'Données projet'!$E$17+1,1))-AVERAGE(OFFSET($H$3,0,0,'Données projet'!$E$17+1,1))</f>
        <v>313.51355235711543</v>
      </c>
      <c r="GF192" s="59">
        <f t="shared" si="158"/>
        <v>186.0840067781198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0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0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275.00000000000057</v>
      </c>
      <c r="O193" s="13">
        <f>N193*VLOOKUP('Données projet'!$B$9,Paramètres!$A$1:$I$89,3,0)*VLOOKUP('Données projet'!$B$9,Paramètres!$A$1:$I$89,5,0)</f>
        <v>278.85000000000059</v>
      </c>
      <c r="P193" s="13">
        <f t="shared" si="141"/>
        <v>66.723922641153095</v>
      </c>
      <c r="Q193" s="20">
        <f t="shared" si="162"/>
        <v>601.8745819333426</v>
      </c>
      <c r="R193" s="59">
        <f t="shared" si="109"/>
        <v>891.91043438094493</v>
      </c>
      <c r="S193" s="59">
        <f ca="1">AVERAGE(OFFSET($R$3,0,0,'Données projet'!$E$9+1,1))-AVERAGE(OFFSET($H$3,0,0,'Données projet'!$E$9+1,1))</f>
        <v>452.67426184967104</v>
      </c>
      <c r="T193" s="59">
        <f t="shared" si="142"/>
        <v>310.47823616327639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-3.979039320256561E-13</v>
      </c>
      <c r="AJ193" s="13">
        <f>AI193*VLOOKUP('Données projet'!$B$10,Paramètres!$A$1:$I$89,3,0)*VLOOKUP('Données projet'!$B$10,Paramètres!$A$1:$I$89,5,0)</f>
        <v>-4.158891897532158E-13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528.45201982036087</v>
      </c>
      <c r="AO193" s="59">
        <f t="shared" si="144"/>
        <v>321.23004033257985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8.1705156983278257E-26</v>
      </c>
      <c r="AX193" s="21">
        <f t="shared" si="166"/>
        <v>8.1705156983278257E-26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181.00000000000009</v>
      </c>
      <c r="BE193" s="13">
        <f>BD193*VLOOKUP('Données projet'!$B$11,Paramètres!$A$1:$I$89,3,0)*VLOOKUP('Données projet'!$B$11,Paramètres!$A$1:$I$89,5,0)</f>
        <v>175.06320000000008</v>
      </c>
      <c r="BF193" s="13">
        <f t="shared" si="167"/>
        <v>44.222067746824763</v>
      </c>
      <c r="BG193" s="20">
        <f t="shared" si="168"/>
        <v>381.92184132571992</v>
      </c>
      <c r="BH193" s="59">
        <f t="shared" si="116"/>
        <v>671.95769377332226</v>
      </c>
      <c r="BI193" s="59">
        <f ca="1">AVERAGE(OFFSET($BH$3,0,0,'Données projet'!$E$11+1,1))-AVERAGE(OFFSET($H$3,0,0,'Données projet'!$E$11+1,1))</f>
        <v>289.06522051625166</v>
      </c>
      <c r="BJ193" s="59">
        <f t="shared" si="146"/>
        <v>173.19148969173838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234.00000000000045</v>
      </c>
      <c r="BZ193" s="13">
        <f>BY193*VLOOKUP('Données projet'!$B$12,Paramètres!$A$1:$I$89,3,0)*VLOOKUP('Données projet'!$B$12,Paramètres!$A$1:$I$89,5,0)</f>
        <v>189.82080000000036</v>
      </c>
      <c r="CA193" s="13">
        <f t="shared" si="170"/>
        <v>47.500332100049881</v>
      </c>
      <c r="CB193" s="20">
        <f t="shared" si="171"/>
        <v>413.33430507425419</v>
      </c>
      <c r="CC193" s="59">
        <f t="shared" si="119"/>
        <v>703.37015752185653</v>
      </c>
      <c r="CD193" s="59">
        <f ca="1">AVERAGE(OFFSET($CC$3,0,0,'Données projet'!$E$12+1,1))-AVERAGE(OFFSET($H$3,0,0,'Données projet'!$E$12+1,1))</f>
        <v>306.06916761900357</v>
      </c>
      <c r="CE193" s="59">
        <f t="shared" si="148"/>
        <v>258.90832875500337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1.4838632092127317E-25</v>
      </c>
      <c r="CN193" s="22">
        <f t="shared" si="172"/>
        <v>1.4838632092127317E-25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275.00000000000057</v>
      </c>
      <c r="CU193" s="17">
        <f>CT193*VLOOKUP('Données projet'!$B$13,Paramètres!$A$1:$I$89,3,0)*VLOOKUP('Données projet'!$B$13,Paramètres!$A$1:$I$89,5,0)</f>
        <v>184.4700000000004</v>
      </c>
      <c r="CV193" s="13">
        <f t="shared" si="173"/>
        <v>46.31525458251663</v>
      </c>
      <c r="CW193" s="20">
        <f t="shared" si="174"/>
        <v>401.95098506455048</v>
      </c>
      <c r="CX193" s="59">
        <f t="shared" si="122"/>
        <v>691.98683751215276</v>
      </c>
      <c r="CY193" s="59">
        <f ca="1">AVERAGE(OFFSET($CX$3,0,0,'Données projet'!$E$13+1,1))-AVERAGE(OFFSET($H$3,0,0,'Données projet'!$E$13+1,1))</f>
        <v>324.58754156328285</v>
      </c>
      <c r="CZ193" s="59">
        <f t="shared" si="150"/>
        <v>226.01037731977604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8.9982986917643819E-26</v>
      </c>
      <c r="DI193" s="22">
        <f t="shared" si="175"/>
        <v>8.9982986917643819E-26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3.4106051316484809E-13</v>
      </c>
      <c r="DP193" s="17">
        <f>DO193*VLOOKUP('Données projet'!$B$14,Paramètres!$A$1:$I$89,3,0)*VLOOKUP('Données projet'!$B$14,Paramètres!$A$1:$I$89,5,0)</f>
        <v>1.5961632016114892E-13</v>
      </c>
      <c r="DQ193" s="13">
        <f t="shared" si="176"/>
        <v>2.2708641912150958E-12</v>
      </c>
      <c r="DR193" s="20">
        <f t="shared" si="177"/>
        <v>4.2330868906469593E-12</v>
      </c>
      <c r="DS193" s="59">
        <f t="shared" si="125"/>
        <v>290.03585244760649</v>
      </c>
      <c r="DT193" s="59">
        <f ca="1">AVERAGE(OFFSET($DS$3,0,0,'Données projet'!$E$14+1,1))-AVERAGE(OFFSET($H$3,0,0,'Données projet'!$E$14+1,1))</f>
        <v>325.93182817189722</v>
      </c>
      <c r="DU193" s="59">
        <f t="shared" si="152"/>
        <v>280.04509991782709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5.6843418860808015E-14</v>
      </c>
      <c r="EK193" s="17">
        <f>EJ193*VLOOKUP('Données projet'!$B$15,Paramètres!$A$1:$I$89,3,0)*VLOOKUP('Données projet'!$B$15,Paramètres!$A$1:$I$89,5,0)</f>
        <v>4.5224624045658861E-14</v>
      </c>
      <c r="EL193" s="13">
        <f t="shared" si="179"/>
        <v>7.4514601661523691E-13</v>
      </c>
      <c r="EM193" s="20">
        <f t="shared" si="180"/>
        <v>1.3765621991510601E-12</v>
      </c>
      <c r="EN193" s="59">
        <f t="shared" si="128"/>
        <v>290.03585244760365</v>
      </c>
      <c r="EO193" s="59">
        <f ca="1">AVERAGE(OFFSET($EN$3,0,0,'Données projet'!$E$15+1,1))-AVERAGE(OFFSET($H$3,0,0,'Données projet'!$E$15+1,1))</f>
        <v>333.52903437536651</v>
      </c>
      <c r="EP193" s="59">
        <f t="shared" si="154"/>
        <v>359.47288701414777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4.4792870028959542E-2</v>
      </c>
      <c r="EX193" s="21">
        <f>EXP(-LN(2)/2)*EX192+(1-EXP(-LN(2)/2))/(LN(2)/2)*ER193*EU193*VLOOKUP('Données projet'!$B$15,Paramètres!$A$1:$I$89,3,0)*0.475*44/12</f>
        <v>2.0859692421817431E-25</v>
      </c>
      <c r="EY193" s="22">
        <f t="shared" si="181"/>
        <v>4.4792870028959542E-2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-2.8421709430404007E-13</v>
      </c>
      <c r="FF193" s="17">
        <f>FE193*VLOOKUP('Données projet'!$B$16,Paramètres!$A$1:$I$89,3,0)*VLOOKUP('Données projet'!$B$16,Paramètres!$A$1:$I$89,5,0)</f>
        <v>-1.69961822393816E-13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313.26988717307376</v>
      </c>
      <c r="FK193" s="59">
        <f t="shared" si="156"/>
        <v>248.17359813993201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9.803640681465145E-2</v>
      </c>
      <c r="FR193" s="21">
        <f>EXP(-LN(2)/25)*FR192+(1-EXP(-LN(2)/25))/(LN(2)/25)*Calculateur!FM193*Calculateur!FO193*VLOOKUP('Données projet'!$B$16,Paramètres!$A$1:$I$89,3,0)*0.475*44/12</f>
        <v>8.9276095392966298E-2</v>
      </c>
      <c r="FS193" s="21">
        <f>EXP(-LN(2)/2)*FS192+(1-EXP(-LN(2)/2))/(LN(2)/2)*FM193*FP193*VLOOKUP('Données projet'!$B$16,Paramètres!$A$1:$I$89,3,0)*0.475*44/12</f>
        <v>3.482674812205155E-24</v>
      </c>
      <c r="FT193" s="22">
        <f t="shared" si="184"/>
        <v>0.18731250220761775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181.00000000000009</v>
      </c>
      <c r="GA193" s="17">
        <f>FZ193*VLOOKUP('Données projet'!$B$17,Paramètres!$A$1:$I$89,3,0)*VLOOKUP('Données projet'!$B$17,Paramètres!$A$1:$I$89,5,0)</f>
        <v>194.82840000000007</v>
      </c>
      <c r="GB193" s="13">
        <f t="shared" si="185"/>
        <v>48.605879434898576</v>
      </c>
      <c r="GC193" s="20">
        <f t="shared" si="186"/>
        <v>423.98137001578181</v>
      </c>
      <c r="GD193" s="59">
        <f t="shared" si="134"/>
        <v>714.01722246338409</v>
      </c>
      <c r="GE193" s="59">
        <f ca="1">AVERAGE(OFFSET($GD$3,0,0,'Données projet'!$E$17+1,1))-AVERAGE(OFFSET($H$3,0,0,'Données projet'!$E$17+1,1))</f>
        <v>313.51355235711543</v>
      </c>
      <c r="GF193" s="59">
        <f t="shared" si="158"/>
        <v>186.0840067781198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0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0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275.00000000000057</v>
      </c>
      <c r="O194" s="13">
        <f>N194*VLOOKUP('Données projet'!$B$9,Paramètres!$A$1:$I$89,3,0)*VLOOKUP('Données projet'!$B$9,Paramètres!$A$1:$I$89,5,0)</f>
        <v>278.85000000000059</v>
      </c>
      <c r="P194" s="13">
        <f t="shared" si="141"/>
        <v>66.723922641153095</v>
      </c>
      <c r="Q194" s="20">
        <f t="shared" si="162"/>
        <v>601.8745819333426</v>
      </c>
      <c r="R194" s="59">
        <f t="shared" si="109"/>
        <v>891.9676383022495</v>
      </c>
      <c r="S194" s="59">
        <f ca="1">AVERAGE(OFFSET($R$3,0,0,'Données projet'!$E$9+1,1))-AVERAGE(OFFSET($H$3,0,0,'Données projet'!$E$9+1,1))</f>
        <v>452.67426184967104</v>
      </c>
      <c r="T194" s="59">
        <f t="shared" si="142"/>
        <v>310.47823616327639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-3.979039320256561E-13</v>
      </c>
      <c r="AJ194" s="13">
        <f>AI194*VLOOKUP('Données projet'!$B$10,Paramètres!$A$1:$I$89,3,0)*VLOOKUP('Données projet'!$B$10,Paramètres!$A$1:$I$89,5,0)</f>
        <v>-4.158891897532158E-13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528.45201982036087</v>
      </c>
      <c r="AO194" s="59">
        <f t="shared" si="144"/>
        <v>321.23004033257985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5.7774270560787453E-26</v>
      </c>
      <c r="AX194" s="21">
        <f t="shared" si="166"/>
        <v>5.7774270560787453E-26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181.00000000000009</v>
      </c>
      <c r="BE194" s="13">
        <f>BD194*VLOOKUP('Données projet'!$B$11,Paramètres!$A$1:$I$89,3,0)*VLOOKUP('Données projet'!$B$11,Paramètres!$A$1:$I$89,5,0)</f>
        <v>175.06320000000008</v>
      </c>
      <c r="BF194" s="13">
        <f t="shared" si="167"/>
        <v>44.222067746824763</v>
      </c>
      <c r="BG194" s="20">
        <f t="shared" si="168"/>
        <v>381.92184132571992</v>
      </c>
      <c r="BH194" s="59">
        <f t="shared" si="116"/>
        <v>672.01489769462682</v>
      </c>
      <c r="BI194" s="59">
        <f ca="1">AVERAGE(OFFSET($BH$3,0,0,'Données projet'!$E$11+1,1))-AVERAGE(OFFSET($H$3,0,0,'Données projet'!$E$11+1,1))</f>
        <v>289.06522051625166</v>
      </c>
      <c r="BJ194" s="59">
        <f t="shared" si="146"/>
        <v>173.19148969173838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234.00000000000045</v>
      </c>
      <c r="BZ194" s="13">
        <f>BY194*VLOOKUP('Données projet'!$B$12,Paramètres!$A$1:$I$89,3,0)*VLOOKUP('Données projet'!$B$12,Paramètres!$A$1:$I$89,5,0)</f>
        <v>189.82080000000036</v>
      </c>
      <c r="CA194" s="13">
        <f t="shared" si="170"/>
        <v>47.500332100049881</v>
      </c>
      <c r="CB194" s="20">
        <f t="shared" si="171"/>
        <v>413.33430507425419</v>
      </c>
      <c r="CC194" s="59">
        <f t="shared" si="119"/>
        <v>703.42736144316109</v>
      </c>
      <c r="CD194" s="59">
        <f ca="1">AVERAGE(OFFSET($CC$3,0,0,'Données projet'!$E$12+1,1))-AVERAGE(OFFSET($H$3,0,0,'Données projet'!$E$12+1,1))</f>
        <v>306.06916761900357</v>
      </c>
      <c r="CE194" s="59">
        <f t="shared" si="148"/>
        <v>258.90832875500337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1.0492497375875553E-25</v>
      </c>
      <c r="CN194" s="22">
        <f t="shared" si="172"/>
        <v>1.0492497375875553E-25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275.00000000000057</v>
      </c>
      <c r="CU194" s="17">
        <f>CT194*VLOOKUP('Données projet'!$B$13,Paramètres!$A$1:$I$89,3,0)*VLOOKUP('Données projet'!$B$13,Paramètres!$A$1:$I$89,5,0)</f>
        <v>184.4700000000004</v>
      </c>
      <c r="CV194" s="13">
        <f t="shared" si="173"/>
        <v>46.31525458251663</v>
      </c>
      <c r="CW194" s="20">
        <f t="shared" si="174"/>
        <v>401.95098506455048</v>
      </c>
      <c r="CX194" s="59">
        <f t="shared" si="122"/>
        <v>692.04404143345732</v>
      </c>
      <c r="CY194" s="59">
        <f ca="1">AVERAGE(OFFSET($CX$3,0,0,'Données projet'!$E$13+1,1))-AVERAGE(OFFSET($H$3,0,0,'Données projet'!$E$13+1,1))</f>
        <v>324.58754156328285</v>
      </c>
      <c r="CZ194" s="59">
        <f t="shared" si="150"/>
        <v>226.01037731977604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6.3627580240886336E-26</v>
      </c>
      <c r="DI194" s="22">
        <f t="shared" si="175"/>
        <v>6.3627580240886336E-26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3.4106051316484809E-13</v>
      </c>
      <c r="DP194" s="17">
        <f>DO194*VLOOKUP('Données projet'!$B$14,Paramètres!$A$1:$I$89,3,0)*VLOOKUP('Données projet'!$B$14,Paramètres!$A$1:$I$89,5,0)</f>
        <v>1.5961632016114892E-13</v>
      </c>
      <c r="DQ194" s="13">
        <f t="shared" si="176"/>
        <v>2.2708641912150958E-12</v>
      </c>
      <c r="DR194" s="20">
        <f t="shared" si="177"/>
        <v>4.2330868906469593E-12</v>
      </c>
      <c r="DS194" s="59">
        <f t="shared" si="125"/>
        <v>290.09305636891105</v>
      </c>
      <c r="DT194" s="59">
        <f ca="1">AVERAGE(OFFSET($DS$3,0,0,'Données projet'!$E$14+1,1))-AVERAGE(OFFSET($H$3,0,0,'Données projet'!$E$14+1,1))</f>
        <v>325.93182817189722</v>
      </c>
      <c r="DU194" s="59">
        <f t="shared" si="152"/>
        <v>280.04509991782709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5.6843418860808015E-14</v>
      </c>
      <c r="EK194" s="17">
        <f>EJ194*VLOOKUP('Données projet'!$B$15,Paramètres!$A$1:$I$89,3,0)*VLOOKUP('Données projet'!$B$15,Paramètres!$A$1:$I$89,5,0)</f>
        <v>4.5224624045658861E-14</v>
      </c>
      <c r="EL194" s="13">
        <f t="shared" si="179"/>
        <v>7.4514601661523691E-13</v>
      </c>
      <c r="EM194" s="20">
        <f t="shared" si="180"/>
        <v>1.3765621991510601E-12</v>
      </c>
      <c r="EN194" s="59">
        <f t="shared" si="128"/>
        <v>290.09305636890821</v>
      </c>
      <c r="EO194" s="59">
        <f ca="1">AVERAGE(OFFSET($EN$3,0,0,'Données projet'!$E$15+1,1))-AVERAGE(OFFSET($H$3,0,0,'Données projet'!$E$15+1,1))</f>
        <v>333.52903437536651</v>
      </c>
      <c r="EP194" s="59">
        <f t="shared" si="154"/>
        <v>359.47288701414777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4.3568006642462985E-2</v>
      </c>
      <c r="EX194" s="21">
        <f>EXP(-LN(2)/2)*EX193+(1-EXP(-LN(2)/2))/(LN(2)/2)*ER194*EU194*VLOOKUP('Données projet'!$B$15,Paramètres!$A$1:$I$89,3,0)*0.475*44/12</f>
        <v>1.4750029964932742E-25</v>
      </c>
      <c r="EY194" s="22">
        <f t="shared" si="181"/>
        <v>4.3568006642462985E-2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-2.8421709430404007E-13</v>
      </c>
      <c r="FF194" s="17">
        <f>FE194*VLOOKUP('Données projet'!$B$16,Paramètres!$A$1:$I$89,3,0)*VLOOKUP('Données projet'!$B$16,Paramètres!$A$1:$I$89,5,0)</f>
        <v>-1.69961822393816E-13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313.26988717307376</v>
      </c>
      <c r="FK194" s="59">
        <f t="shared" si="156"/>
        <v>248.17359813993201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9.6113972673319892E-2</v>
      </c>
      <c r="FR194" s="21">
        <f>EXP(-LN(2)/25)*FR193+(1-EXP(-LN(2)/25))/(LN(2)/25)*Calculateur!FM194*Calculateur!FO194*VLOOKUP('Données projet'!$B$16,Paramètres!$A$1:$I$89,3,0)*0.475*44/12</f>
        <v>8.683483586961982E-2</v>
      </c>
      <c r="FS194" s="21">
        <f>EXP(-LN(2)/2)*FS193+(1-EXP(-LN(2)/2))/(LN(2)/2)*FM194*FP194*VLOOKUP('Données projet'!$B$16,Paramètres!$A$1:$I$89,3,0)*0.475*44/12</f>
        <v>2.4626229763778511E-24</v>
      </c>
      <c r="FT194" s="22">
        <f t="shared" si="184"/>
        <v>0.18294880854293971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181.00000000000009</v>
      </c>
      <c r="GA194" s="17">
        <f>FZ194*VLOOKUP('Données projet'!$B$17,Paramètres!$A$1:$I$89,3,0)*VLOOKUP('Données projet'!$B$17,Paramètres!$A$1:$I$89,5,0)</f>
        <v>194.82840000000007</v>
      </c>
      <c r="GB194" s="13">
        <f t="shared" si="185"/>
        <v>48.605879434898576</v>
      </c>
      <c r="GC194" s="20">
        <f t="shared" si="186"/>
        <v>423.98137001578181</v>
      </c>
      <c r="GD194" s="59">
        <f t="shared" si="134"/>
        <v>714.07442638468865</v>
      </c>
      <c r="GE194" s="59">
        <f ca="1">AVERAGE(OFFSET($GD$3,0,0,'Données projet'!$E$17+1,1))-AVERAGE(OFFSET($H$3,0,0,'Données projet'!$E$17+1,1))</f>
        <v>313.51355235711543</v>
      </c>
      <c r="GF194" s="59">
        <f t="shared" si="158"/>
        <v>186.0840067781198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0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0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275.00000000000057</v>
      </c>
      <c r="O195" s="13">
        <f>N195*VLOOKUP('Données projet'!$B$9,Paramètres!$A$1:$I$89,3,0)*VLOOKUP('Données projet'!$B$9,Paramètres!$A$1:$I$89,5,0)</f>
        <v>278.85000000000059</v>
      </c>
      <c r="P195" s="13">
        <f t="shared" si="141"/>
        <v>66.723922641153095</v>
      </c>
      <c r="Q195" s="20">
        <f t="shared" si="162"/>
        <v>601.8745819333426</v>
      </c>
      <c r="R195" s="59">
        <f t="shared" ref="R195:R203" si="191">Q195+(I195+J195)*44/12</f>
        <v>892.02384986340826</v>
      </c>
      <c r="S195" s="59">
        <f ca="1">AVERAGE(OFFSET($R$3,0,0,'Données projet'!$E$9+1,1))-AVERAGE(OFFSET($H$3,0,0,'Données projet'!$E$9+1,1))</f>
        <v>452.67426184967104</v>
      </c>
      <c r="T195" s="59">
        <f t="shared" si="142"/>
        <v>310.47823616327639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-3.979039320256561E-13</v>
      </c>
      <c r="AJ195" s="13">
        <f>AI195*VLOOKUP('Données projet'!$B$10,Paramètres!$A$1:$I$89,3,0)*VLOOKUP('Données projet'!$B$10,Paramètres!$A$1:$I$89,5,0)</f>
        <v>-4.158891897532158E-13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528.45201982036087</v>
      </c>
      <c r="AO195" s="59">
        <f t="shared" si="144"/>
        <v>321.23004033257985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4.0852578491639129E-26</v>
      </c>
      <c r="AX195" s="21">
        <f t="shared" si="166"/>
        <v>4.0852578491639129E-26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181.00000000000009</v>
      </c>
      <c r="BE195" s="13">
        <f>BD195*VLOOKUP('Données projet'!$B$11,Paramètres!$A$1:$I$89,3,0)*VLOOKUP('Données projet'!$B$11,Paramètres!$A$1:$I$89,5,0)</f>
        <v>175.06320000000008</v>
      </c>
      <c r="BF195" s="13">
        <f t="shared" si="167"/>
        <v>44.222067746824763</v>
      </c>
      <c r="BG195" s="20">
        <f t="shared" si="168"/>
        <v>381.92184132571992</v>
      </c>
      <c r="BH195" s="59">
        <f t="shared" si="116"/>
        <v>672.07110925578559</v>
      </c>
      <c r="BI195" s="59">
        <f ca="1">AVERAGE(OFFSET($BH$3,0,0,'Données projet'!$E$11+1,1))-AVERAGE(OFFSET($H$3,0,0,'Données projet'!$E$11+1,1))</f>
        <v>289.06522051625166</v>
      </c>
      <c r="BJ195" s="59">
        <f t="shared" si="146"/>
        <v>173.19148969173838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234.00000000000045</v>
      </c>
      <c r="BZ195" s="13">
        <f>BY195*VLOOKUP('Données projet'!$B$12,Paramètres!$A$1:$I$89,3,0)*VLOOKUP('Données projet'!$B$12,Paramètres!$A$1:$I$89,5,0)</f>
        <v>189.82080000000036</v>
      </c>
      <c r="CA195" s="13">
        <f t="shared" si="170"/>
        <v>47.500332100049881</v>
      </c>
      <c r="CB195" s="20">
        <f t="shared" si="171"/>
        <v>413.33430507425419</v>
      </c>
      <c r="CC195" s="59">
        <f t="shared" si="119"/>
        <v>703.48357300431985</v>
      </c>
      <c r="CD195" s="59">
        <f ca="1">AVERAGE(OFFSET($CC$3,0,0,'Données projet'!$E$12+1,1))-AVERAGE(OFFSET($H$3,0,0,'Données projet'!$E$12+1,1))</f>
        <v>306.06916761900357</v>
      </c>
      <c r="CE195" s="59">
        <f t="shared" si="148"/>
        <v>258.90832875500337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7.4193160460636585E-26</v>
      </c>
      <c r="CN195" s="22">
        <f t="shared" si="172"/>
        <v>7.4193160460636585E-26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275.00000000000057</v>
      </c>
      <c r="CU195" s="17">
        <f>CT195*VLOOKUP('Données projet'!$B$13,Paramètres!$A$1:$I$89,3,0)*VLOOKUP('Données projet'!$B$13,Paramètres!$A$1:$I$89,5,0)</f>
        <v>184.4700000000004</v>
      </c>
      <c r="CV195" s="13">
        <f t="shared" si="173"/>
        <v>46.31525458251663</v>
      </c>
      <c r="CW195" s="20">
        <f t="shared" si="174"/>
        <v>401.95098506455048</v>
      </c>
      <c r="CX195" s="59">
        <f t="shared" si="122"/>
        <v>692.10025299461608</v>
      </c>
      <c r="CY195" s="59">
        <f ca="1">AVERAGE(OFFSET($CX$3,0,0,'Données projet'!$E$13+1,1))-AVERAGE(OFFSET($H$3,0,0,'Données projet'!$E$13+1,1))</f>
        <v>324.58754156328285</v>
      </c>
      <c r="CZ195" s="59">
        <f t="shared" si="150"/>
        <v>226.01037731977604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4.499149345882191E-26</v>
      </c>
      <c r="DI195" s="22">
        <f t="shared" si="175"/>
        <v>4.499149345882191E-26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3.4106051316484809E-13</v>
      </c>
      <c r="DP195" s="17">
        <f>DO195*VLOOKUP('Données projet'!$B$14,Paramètres!$A$1:$I$89,3,0)*VLOOKUP('Données projet'!$B$14,Paramètres!$A$1:$I$89,5,0)</f>
        <v>1.5961632016114892E-13</v>
      </c>
      <c r="DQ195" s="13">
        <f t="shared" si="176"/>
        <v>2.2708641912150958E-12</v>
      </c>
      <c r="DR195" s="20">
        <f t="shared" si="177"/>
        <v>4.2330868906469593E-12</v>
      </c>
      <c r="DS195" s="59">
        <f t="shared" si="125"/>
        <v>290.14926793006987</v>
      </c>
      <c r="DT195" s="59">
        <f ca="1">AVERAGE(OFFSET($DS$3,0,0,'Données projet'!$E$14+1,1))-AVERAGE(OFFSET($H$3,0,0,'Données projet'!$E$14+1,1))</f>
        <v>325.93182817189722</v>
      </c>
      <c r="DU195" s="59">
        <f t="shared" si="152"/>
        <v>280.04509991782709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5.6843418860808015E-14</v>
      </c>
      <c r="EK195" s="17">
        <f>EJ195*VLOOKUP('Données projet'!$B$15,Paramètres!$A$1:$I$89,3,0)*VLOOKUP('Données projet'!$B$15,Paramètres!$A$1:$I$89,5,0)</f>
        <v>4.5224624045658861E-14</v>
      </c>
      <c r="EL195" s="13">
        <f t="shared" si="179"/>
        <v>7.4514601661523691E-13</v>
      </c>
      <c r="EM195" s="20">
        <f t="shared" si="180"/>
        <v>1.3765621991510601E-12</v>
      </c>
      <c r="EN195" s="59">
        <f t="shared" si="128"/>
        <v>290.14926793006703</v>
      </c>
      <c r="EO195" s="59">
        <f ca="1">AVERAGE(OFFSET($EN$3,0,0,'Données projet'!$E$15+1,1))-AVERAGE(OFFSET($H$3,0,0,'Données projet'!$E$15+1,1))</f>
        <v>333.52903437536651</v>
      </c>
      <c r="EP195" s="59">
        <f t="shared" si="154"/>
        <v>359.47288701414777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4.2376637209682939E-2</v>
      </c>
      <c r="EX195" s="21">
        <f>EXP(-LN(2)/2)*EX194+(1-EXP(-LN(2)/2))/(LN(2)/2)*ER195*EU195*VLOOKUP('Données projet'!$B$15,Paramètres!$A$1:$I$89,3,0)*0.475*44/12</f>
        <v>1.0429846210908715E-25</v>
      </c>
      <c r="EY195" s="22">
        <f t="shared" si="181"/>
        <v>4.2376637209682939E-2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-2.8421709430404007E-13</v>
      </c>
      <c r="FF195" s="17">
        <f>FE195*VLOOKUP('Données projet'!$B$16,Paramètres!$A$1:$I$89,3,0)*VLOOKUP('Données projet'!$B$16,Paramètres!$A$1:$I$89,5,0)</f>
        <v>-1.69961822393816E-13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313.26988717307376</v>
      </c>
      <c r="FK195" s="59">
        <f t="shared" si="156"/>
        <v>248.17359813993201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9.4229236292930812E-2</v>
      </c>
      <c r="FR195" s="21">
        <f>EXP(-LN(2)/25)*FR194+(1-EXP(-LN(2)/25))/(LN(2)/25)*Calculateur!FM195*Calculateur!FO195*VLOOKUP('Données projet'!$B$16,Paramètres!$A$1:$I$89,3,0)*0.475*44/12</f>
        <v>8.4460332716319517E-2</v>
      </c>
      <c r="FS195" s="21">
        <f>EXP(-LN(2)/2)*FS194+(1-EXP(-LN(2)/2))/(LN(2)/2)*FM195*FP195*VLOOKUP('Données projet'!$B$16,Paramètres!$A$1:$I$89,3,0)*0.475*44/12</f>
        <v>1.7413374061025775E-24</v>
      </c>
      <c r="FT195" s="22">
        <f t="shared" si="184"/>
        <v>0.17868956900925032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181.00000000000009</v>
      </c>
      <c r="GA195" s="17">
        <f>FZ195*VLOOKUP('Données projet'!$B$17,Paramètres!$A$1:$I$89,3,0)*VLOOKUP('Données projet'!$B$17,Paramètres!$A$1:$I$89,5,0)</f>
        <v>194.82840000000007</v>
      </c>
      <c r="GB195" s="13">
        <f t="shared" si="185"/>
        <v>48.605879434898576</v>
      </c>
      <c r="GC195" s="20">
        <f t="shared" si="186"/>
        <v>423.98137001578181</v>
      </c>
      <c r="GD195" s="59">
        <f t="shared" si="134"/>
        <v>714.13063794584741</v>
      </c>
      <c r="GE195" s="59">
        <f ca="1">AVERAGE(OFFSET($GD$3,0,0,'Données projet'!$E$17+1,1))-AVERAGE(OFFSET($H$3,0,0,'Données projet'!$E$17+1,1))</f>
        <v>313.51355235711543</v>
      </c>
      <c r="GF195" s="59">
        <f t="shared" si="158"/>
        <v>186.0840067781198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0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0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275.00000000000057</v>
      </c>
      <c r="O196" s="13">
        <f>N196*VLOOKUP('Données projet'!$B$9,Paramètres!$A$1:$I$89,3,0)*VLOOKUP('Données projet'!$B$9,Paramètres!$A$1:$I$89,5,0)</f>
        <v>278.85000000000059</v>
      </c>
      <c r="P196" s="13">
        <f t="shared" si="141"/>
        <v>66.723922641153095</v>
      </c>
      <c r="Q196" s="20">
        <f t="shared" si="162"/>
        <v>601.8745819333426</v>
      </c>
      <c r="R196" s="59">
        <f t="shared" si="191"/>
        <v>892.07908627965116</v>
      </c>
      <c r="S196" s="59">
        <f ca="1">AVERAGE(OFFSET($R$3,0,0,'Données projet'!$E$9+1,1))-AVERAGE(OFFSET($H$3,0,0,'Données projet'!$E$9+1,1))</f>
        <v>452.67426184967104</v>
      </c>
      <c r="T196" s="59">
        <f t="shared" si="142"/>
        <v>310.47823616327639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-3.979039320256561E-13</v>
      </c>
      <c r="AJ196" s="13">
        <f>AI196*VLOOKUP('Données projet'!$B$10,Paramètres!$A$1:$I$89,3,0)*VLOOKUP('Données projet'!$B$10,Paramètres!$A$1:$I$89,5,0)</f>
        <v>-4.158891897532158E-13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528.45201982036087</v>
      </c>
      <c r="AO196" s="59">
        <f t="shared" si="144"/>
        <v>321.23004033257985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2.8887135280393726E-26</v>
      </c>
      <c r="AX196" s="21">
        <f t="shared" si="166"/>
        <v>2.8887135280393726E-26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181.00000000000009</v>
      </c>
      <c r="BE196" s="13">
        <f>BD196*VLOOKUP('Données projet'!$B$11,Paramètres!$A$1:$I$89,3,0)*VLOOKUP('Données projet'!$B$11,Paramètres!$A$1:$I$89,5,0)</f>
        <v>175.06320000000008</v>
      </c>
      <c r="BF196" s="13">
        <f t="shared" si="167"/>
        <v>44.222067746824763</v>
      </c>
      <c r="BG196" s="20">
        <f t="shared" si="168"/>
        <v>381.92184132571992</v>
      </c>
      <c r="BH196" s="59">
        <f t="shared" ref="BH196:BH203" si="194">BG196+(AY196+AZ196)*44/12</f>
        <v>672.12634567202849</v>
      </c>
      <c r="BI196" s="59">
        <f ca="1">AVERAGE(OFFSET($BH$3,0,0,'Données projet'!$E$11+1,1))-AVERAGE(OFFSET($H$3,0,0,'Données projet'!$E$11+1,1))</f>
        <v>289.06522051625166</v>
      </c>
      <c r="BJ196" s="59">
        <f t="shared" si="146"/>
        <v>173.19148969173838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234.00000000000045</v>
      </c>
      <c r="BZ196" s="13">
        <f>BY196*VLOOKUP('Données projet'!$B$12,Paramètres!$A$1:$I$89,3,0)*VLOOKUP('Données projet'!$B$12,Paramètres!$A$1:$I$89,5,0)</f>
        <v>189.82080000000036</v>
      </c>
      <c r="CA196" s="13">
        <f t="shared" si="170"/>
        <v>47.500332100049881</v>
      </c>
      <c r="CB196" s="20">
        <f t="shared" si="171"/>
        <v>413.33430507425419</v>
      </c>
      <c r="CC196" s="59">
        <f t="shared" ref="CC196:CC203" si="195">CB196+(BT196+BU196)*44/12</f>
        <v>703.53880942056276</v>
      </c>
      <c r="CD196" s="59">
        <f ca="1">AVERAGE(OFFSET($CC$3,0,0,'Données projet'!$E$12+1,1))-AVERAGE(OFFSET($H$3,0,0,'Données projet'!$E$12+1,1))</f>
        <v>306.06916761900357</v>
      </c>
      <c r="CE196" s="59">
        <f t="shared" si="148"/>
        <v>258.90832875500337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5.2462486879377763E-26</v>
      </c>
      <c r="CN196" s="22">
        <f t="shared" si="172"/>
        <v>5.2462486879377763E-26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275.00000000000057</v>
      </c>
      <c r="CU196" s="17">
        <f>CT196*VLOOKUP('Données projet'!$B$13,Paramètres!$A$1:$I$89,3,0)*VLOOKUP('Données projet'!$B$13,Paramètres!$A$1:$I$89,5,0)</f>
        <v>184.4700000000004</v>
      </c>
      <c r="CV196" s="13">
        <f t="shared" si="173"/>
        <v>46.31525458251663</v>
      </c>
      <c r="CW196" s="20">
        <f t="shared" si="174"/>
        <v>401.95098506455048</v>
      </c>
      <c r="CX196" s="59">
        <f t="shared" ref="CX196:CX203" si="196">CW196+(CO196+CP196)*44/12</f>
        <v>692.15548941085899</v>
      </c>
      <c r="CY196" s="59">
        <f ca="1">AVERAGE(OFFSET($CX$3,0,0,'Données projet'!$E$13+1,1))-AVERAGE(OFFSET($H$3,0,0,'Données projet'!$E$13+1,1))</f>
        <v>324.58754156328285</v>
      </c>
      <c r="CZ196" s="59">
        <f t="shared" si="150"/>
        <v>226.01037731977604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3.1813790120443168E-26</v>
      </c>
      <c r="DI196" s="22">
        <f t="shared" si="175"/>
        <v>3.1813790120443168E-26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3.4106051316484809E-13</v>
      </c>
      <c r="DP196" s="17">
        <f>DO196*VLOOKUP('Données projet'!$B$14,Paramètres!$A$1:$I$89,3,0)*VLOOKUP('Données projet'!$B$14,Paramètres!$A$1:$I$89,5,0)</f>
        <v>1.5961632016114892E-13</v>
      </c>
      <c r="DQ196" s="13">
        <f t="shared" si="176"/>
        <v>2.2708641912150958E-12</v>
      </c>
      <c r="DR196" s="20">
        <f t="shared" si="177"/>
        <v>4.2330868906469593E-12</v>
      </c>
      <c r="DS196" s="59">
        <f t="shared" ref="DS196:DS203" si="197">DR196+(DJ196+DK196)*44/12</f>
        <v>290.20450434631272</v>
      </c>
      <c r="DT196" s="59">
        <f ca="1">AVERAGE(OFFSET($DS$3,0,0,'Données projet'!$E$14+1,1))-AVERAGE(OFFSET($H$3,0,0,'Données projet'!$E$14+1,1))</f>
        <v>325.93182817189722</v>
      </c>
      <c r="DU196" s="59">
        <f t="shared" si="152"/>
        <v>280.04509991782709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5.6843418860808015E-14</v>
      </c>
      <c r="EK196" s="17">
        <f>EJ196*VLOOKUP('Données projet'!$B$15,Paramètres!$A$1:$I$89,3,0)*VLOOKUP('Données projet'!$B$15,Paramètres!$A$1:$I$89,5,0)</f>
        <v>4.5224624045658861E-14</v>
      </c>
      <c r="EL196" s="13">
        <f t="shared" si="179"/>
        <v>7.4514601661523691E-13</v>
      </c>
      <c r="EM196" s="20">
        <f t="shared" si="180"/>
        <v>1.3765621991510601E-12</v>
      </c>
      <c r="EN196" s="59">
        <f t="shared" ref="EN196:EN203" si="198">EM196+(EE196+EF196)*44/12</f>
        <v>290.20450434630988</v>
      </c>
      <c r="EO196" s="59">
        <f ca="1">AVERAGE(OFFSET($EN$3,0,0,'Données projet'!$E$15+1,1))-AVERAGE(OFFSET($H$3,0,0,'Données projet'!$E$15+1,1))</f>
        <v>333.52903437536651</v>
      </c>
      <c r="EP196" s="59">
        <f t="shared" si="154"/>
        <v>359.47288701414777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4.1217845836693662E-2</v>
      </c>
      <c r="EX196" s="21">
        <f>EXP(-LN(2)/2)*EX195+(1-EXP(-LN(2)/2))/(LN(2)/2)*ER196*EU196*VLOOKUP('Données projet'!$B$15,Paramètres!$A$1:$I$89,3,0)*0.475*44/12</f>
        <v>7.3750149824663711E-26</v>
      </c>
      <c r="EY196" s="22">
        <f t="shared" si="181"/>
        <v>4.1217845836693662E-2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-2.8421709430404007E-13</v>
      </c>
      <c r="FF196" s="17">
        <f>FE196*VLOOKUP('Données projet'!$B$16,Paramètres!$A$1:$I$89,3,0)*VLOOKUP('Données projet'!$B$16,Paramètres!$A$1:$I$89,5,0)</f>
        <v>-1.69961822393816E-13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313.26988717307376</v>
      </c>
      <c r="FK196" s="59">
        <f t="shared" si="156"/>
        <v>248.17359813993201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9.2381458443385481E-2</v>
      </c>
      <c r="FR196" s="21">
        <f>EXP(-LN(2)/25)*FR195+(1-EXP(-LN(2)/25))/(LN(2)/25)*Calculateur!FM196*Calculateur!FO196*VLOOKUP('Données projet'!$B$16,Paramètres!$A$1:$I$89,3,0)*0.475*44/12</f>
        <v>8.2150760476615903E-2</v>
      </c>
      <c r="FS196" s="21">
        <f>EXP(-LN(2)/2)*FS195+(1-EXP(-LN(2)/2))/(LN(2)/2)*FM196*FP196*VLOOKUP('Données projet'!$B$16,Paramètres!$A$1:$I$89,3,0)*0.475*44/12</f>
        <v>1.2313114881889255E-24</v>
      </c>
      <c r="FT196" s="22">
        <f t="shared" si="184"/>
        <v>0.17453221892000137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181.00000000000009</v>
      </c>
      <c r="GA196" s="17">
        <f>FZ196*VLOOKUP('Données projet'!$B$17,Paramètres!$A$1:$I$89,3,0)*VLOOKUP('Données projet'!$B$17,Paramètres!$A$1:$I$89,5,0)</f>
        <v>194.82840000000007</v>
      </c>
      <c r="GB196" s="13">
        <f t="shared" si="185"/>
        <v>48.605879434898576</v>
      </c>
      <c r="GC196" s="20">
        <f t="shared" si="186"/>
        <v>423.98137001578181</v>
      </c>
      <c r="GD196" s="59">
        <f t="shared" ref="GD196:GD203" si="200">GC196+(FU196+FV196)*44/12</f>
        <v>714.18587436209032</v>
      </c>
      <c r="GE196" s="59">
        <f ca="1">AVERAGE(OFFSET($GD$3,0,0,'Données projet'!$E$17+1,1))-AVERAGE(OFFSET($H$3,0,0,'Données projet'!$E$17+1,1))</f>
        <v>313.51355235711543</v>
      </c>
      <c r="GF196" s="59">
        <f t="shared" si="158"/>
        <v>186.0840067781198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0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0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275.00000000000057</v>
      </c>
      <c r="O197" s="13">
        <f>N197*VLOOKUP('Données projet'!$B$9,Paramètres!$A$1:$I$89,3,0)*VLOOKUP('Données projet'!$B$9,Paramètres!$A$1:$I$89,5,0)</f>
        <v>278.85000000000059</v>
      </c>
      <c r="P197" s="13">
        <f t="shared" ref="P197:P203" si="203">EXP(-1.0587+0.8836*LN(O197)+0.284)</f>
        <v>66.723922641153095</v>
      </c>
      <c r="Q197" s="20">
        <f t="shared" si="162"/>
        <v>601.8745819333426</v>
      </c>
      <c r="R197" s="59">
        <f t="shared" si="191"/>
        <v>892.13336446756239</v>
      </c>
      <c r="S197" s="59">
        <f ca="1">AVERAGE(OFFSET($R$3,0,0,'Données projet'!$E$9+1,1))-AVERAGE(OFFSET($H$3,0,0,'Données projet'!$E$9+1,1))</f>
        <v>452.67426184967104</v>
      </c>
      <c r="T197" s="59">
        <f t="shared" ref="T197:T203" si="204">$T$3</f>
        <v>310.47823616327639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-3.979039320256561E-13</v>
      </c>
      <c r="AJ197" s="13">
        <f>AI197*VLOOKUP('Données projet'!$B$10,Paramètres!$A$1:$I$89,3,0)*VLOOKUP('Données projet'!$B$10,Paramètres!$A$1:$I$89,5,0)</f>
        <v>-4.158891897532158E-13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528.45201982036087</v>
      </c>
      <c r="AO197" s="59">
        <f t="shared" ref="AO197:AO203" si="205">$AO$3</f>
        <v>321.23004033257985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2.0426289245819564E-26</v>
      </c>
      <c r="AX197" s="21">
        <f t="shared" si="166"/>
        <v>2.0426289245819564E-26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181.00000000000009</v>
      </c>
      <c r="BE197" s="13">
        <f>BD197*VLOOKUP('Données projet'!$B$11,Paramètres!$A$1:$I$89,3,0)*VLOOKUP('Données projet'!$B$11,Paramètres!$A$1:$I$89,5,0)</f>
        <v>175.06320000000008</v>
      </c>
      <c r="BF197" s="13">
        <f t="shared" si="167"/>
        <v>44.222067746824763</v>
      </c>
      <c r="BG197" s="20">
        <f t="shared" si="168"/>
        <v>381.92184132571992</v>
      </c>
      <c r="BH197" s="59">
        <f t="shared" si="194"/>
        <v>672.18062385993971</v>
      </c>
      <c r="BI197" s="59">
        <f ca="1">AVERAGE(OFFSET($BH$3,0,0,'Données projet'!$E$11+1,1))-AVERAGE(OFFSET($H$3,0,0,'Données projet'!$E$11+1,1))</f>
        <v>289.06522051625166</v>
      </c>
      <c r="BJ197" s="59">
        <f t="shared" ref="BJ197:BJ203" si="206">$BJ$3</f>
        <v>173.19148969173838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234.00000000000045</v>
      </c>
      <c r="BZ197" s="13">
        <f>BY197*VLOOKUP('Données projet'!$B$12,Paramètres!$A$1:$I$89,3,0)*VLOOKUP('Données projet'!$B$12,Paramètres!$A$1:$I$89,5,0)</f>
        <v>189.82080000000036</v>
      </c>
      <c r="CA197" s="13">
        <f t="shared" si="170"/>
        <v>47.500332100049881</v>
      </c>
      <c r="CB197" s="20">
        <f t="shared" si="171"/>
        <v>413.33430507425419</v>
      </c>
      <c r="CC197" s="59">
        <f t="shared" si="195"/>
        <v>703.59308760847398</v>
      </c>
      <c r="CD197" s="59">
        <f ca="1">AVERAGE(OFFSET($CC$3,0,0,'Données projet'!$E$12+1,1))-AVERAGE(OFFSET($H$3,0,0,'Données projet'!$E$12+1,1))</f>
        <v>306.06916761900357</v>
      </c>
      <c r="CE197" s="59">
        <f t="shared" ref="CE197:CE203" si="207">$CE$3</f>
        <v>258.90832875500337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3.7096580230318293E-26</v>
      </c>
      <c r="CN197" s="22">
        <f t="shared" si="172"/>
        <v>3.7096580230318293E-26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275.00000000000057</v>
      </c>
      <c r="CU197" s="17">
        <f>CT197*VLOOKUP('Données projet'!$B$13,Paramètres!$A$1:$I$89,3,0)*VLOOKUP('Données projet'!$B$13,Paramètres!$A$1:$I$89,5,0)</f>
        <v>184.4700000000004</v>
      </c>
      <c r="CV197" s="13">
        <f t="shared" si="173"/>
        <v>46.31525458251663</v>
      </c>
      <c r="CW197" s="20">
        <f t="shared" si="174"/>
        <v>401.95098506455048</v>
      </c>
      <c r="CX197" s="59">
        <f t="shared" si="196"/>
        <v>692.20976759877021</v>
      </c>
      <c r="CY197" s="59">
        <f ca="1">AVERAGE(OFFSET($CX$3,0,0,'Données projet'!$E$13+1,1))-AVERAGE(OFFSET($H$3,0,0,'Données projet'!$E$13+1,1))</f>
        <v>324.58754156328285</v>
      </c>
      <c r="CZ197" s="59">
        <f t="shared" ref="CZ197:CZ203" si="208">$CZ$3</f>
        <v>226.01037731977604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2.2495746729410955E-26</v>
      </c>
      <c r="DI197" s="22">
        <f t="shared" si="175"/>
        <v>2.2495746729410955E-26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3.4106051316484809E-13</v>
      </c>
      <c r="DP197" s="17">
        <f>DO197*VLOOKUP('Données projet'!$B$14,Paramètres!$A$1:$I$89,3,0)*VLOOKUP('Données projet'!$B$14,Paramètres!$A$1:$I$89,5,0)</f>
        <v>1.5961632016114892E-13</v>
      </c>
      <c r="DQ197" s="13">
        <f t="shared" si="176"/>
        <v>2.2708641912150958E-12</v>
      </c>
      <c r="DR197" s="20">
        <f t="shared" si="177"/>
        <v>4.2330868906469593E-12</v>
      </c>
      <c r="DS197" s="59">
        <f t="shared" si="197"/>
        <v>290.25878253422394</v>
      </c>
      <c r="DT197" s="59">
        <f ca="1">AVERAGE(OFFSET($DS$3,0,0,'Données projet'!$E$14+1,1))-AVERAGE(OFFSET($H$3,0,0,'Données projet'!$E$14+1,1))</f>
        <v>325.93182817189722</v>
      </c>
      <c r="DU197" s="59">
        <f t="shared" ref="DU197:DU203" si="209">$DU$3</f>
        <v>280.04509991782709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5.6843418860808015E-14</v>
      </c>
      <c r="EK197" s="17">
        <f>EJ197*VLOOKUP('Données projet'!$B$15,Paramètres!$A$1:$I$89,3,0)*VLOOKUP('Données projet'!$B$15,Paramètres!$A$1:$I$89,5,0)</f>
        <v>4.5224624045658861E-14</v>
      </c>
      <c r="EL197" s="13">
        <f t="shared" si="179"/>
        <v>7.4514601661523691E-13</v>
      </c>
      <c r="EM197" s="20">
        <f t="shared" si="180"/>
        <v>1.3765621991510601E-12</v>
      </c>
      <c r="EN197" s="59">
        <f t="shared" si="198"/>
        <v>290.2587825342211</v>
      </c>
      <c r="EO197" s="59">
        <f ca="1">AVERAGE(OFFSET($EN$3,0,0,'Données projet'!$E$15+1,1))-AVERAGE(OFFSET($H$3,0,0,'Données projet'!$E$15+1,1))</f>
        <v>333.52903437536651</v>
      </c>
      <c r="EP197" s="59">
        <f t="shared" ref="EP197:EP203" si="210">$EP$3</f>
        <v>359.47288701414777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4.0090741674736967E-2</v>
      </c>
      <c r="EX197" s="21">
        <f>EXP(-LN(2)/2)*EX196+(1-EXP(-LN(2)/2))/(LN(2)/2)*ER197*EU197*VLOOKUP('Données projet'!$B$15,Paramètres!$A$1:$I$89,3,0)*0.475*44/12</f>
        <v>5.2149231054543577E-26</v>
      </c>
      <c r="EY197" s="22">
        <f t="shared" si="181"/>
        <v>4.0090741674736967E-2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-2.8421709430404007E-13</v>
      </c>
      <c r="FF197" s="17">
        <f>FE197*VLOOKUP('Données projet'!$B$16,Paramètres!$A$1:$I$89,3,0)*VLOOKUP('Données projet'!$B$16,Paramètres!$A$1:$I$89,5,0)</f>
        <v>-1.69961822393816E-13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313.26988717307376</v>
      </c>
      <c r="FK197" s="59">
        <f t="shared" ref="FK197:FK203" si="211">$FK$3</f>
        <v>248.17359813993201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9.0569914390436532E-2</v>
      </c>
      <c r="FR197" s="21">
        <f>EXP(-LN(2)/25)*FR196+(1-EXP(-LN(2)/25))/(LN(2)/25)*Calculateur!FM197*Calculateur!FO197*VLOOKUP('Données projet'!$B$16,Paramètres!$A$1:$I$89,3,0)*0.475*44/12</f>
        <v>7.9904343611262099E-2</v>
      </c>
      <c r="FS197" s="21">
        <f>EXP(-LN(2)/2)*FS196+(1-EXP(-LN(2)/2))/(LN(2)/2)*FM197*FP197*VLOOKUP('Données projet'!$B$16,Paramètres!$A$1:$I$89,3,0)*0.475*44/12</f>
        <v>8.7066870305128874E-25</v>
      </c>
      <c r="FT197" s="22">
        <f t="shared" si="184"/>
        <v>0.17047425800169863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181.00000000000009</v>
      </c>
      <c r="GA197" s="17">
        <f>FZ197*VLOOKUP('Données projet'!$B$17,Paramètres!$A$1:$I$89,3,0)*VLOOKUP('Données projet'!$B$17,Paramètres!$A$1:$I$89,5,0)</f>
        <v>194.82840000000007</v>
      </c>
      <c r="GB197" s="13">
        <f t="shared" si="185"/>
        <v>48.605879434898576</v>
      </c>
      <c r="GC197" s="20">
        <f t="shared" si="186"/>
        <v>423.98137001578181</v>
      </c>
      <c r="GD197" s="59">
        <f t="shared" si="200"/>
        <v>714.24015255000154</v>
      </c>
      <c r="GE197" s="59">
        <f ca="1">AVERAGE(OFFSET($GD$3,0,0,'Données projet'!$E$17+1,1))-AVERAGE(OFFSET($H$3,0,0,'Données projet'!$E$17+1,1))</f>
        <v>313.51355235711543</v>
      </c>
      <c r="GF197" s="59">
        <f t="shared" ref="GF197:GF203" si="212">$GF$3</f>
        <v>186.0840067781198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0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0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275.00000000000057</v>
      </c>
      <c r="O198" s="13">
        <f>N198*VLOOKUP('Données projet'!$B$9,Paramètres!$A$1:$I$89,3,0)*VLOOKUP('Données projet'!$B$9,Paramètres!$A$1:$I$89,5,0)</f>
        <v>278.85000000000059</v>
      </c>
      <c r="P198" s="13">
        <f t="shared" si="203"/>
        <v>66.723922641153095</v>
      </c>
      <c r="Q198" s="20">
        <f t="shared" si="162"/>
        <v>601.8745819333426</v>
      </c>
      <c r="R198" s="59">
        <f t="shared" si="191"/>
        <v>892.18670105026104</v>
      </c>
      <c r="S198" s="59">
        <f ca="1">AVERAGE(OFFSET($R$3,0,0,'Données projet'!$E$9+1,1))-AVERAGE(OFFSET($H$3,0,0,'Données projet'!$E$9+1,1))</f>
        <v>452.67426184967104</v>
      </c>
      <c r="T198" s="59">
        <f t="shared" si="204"/>
        <v>310.47823616327639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-3.979039320256561E-13</v>
      </c>
      <c r="AJ198" s="13">
        <f>AI198*VLOOKUP('Données projet'!$B$10,Paramètres!$A$1:$I$89,3,0)*VLOOKUP('Données projet'!$B$10,Paramètres!$A$1:$I$89,5,0)</f>
        <v>-4.158891897532158E-13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528.45201982036087</v>
      </c>
      <c r="AO198" s="59">
        <f t="shared" si="205"/>
        <v>321.23004033257985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1.4443567640196863E-26</v>
      </c>
      <c r="AX198" s="21">
        <f t="shared" si="166"/>
        <v>1.4443567640196863E-26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181.00000000000009</v>
      </c>
      <c r="BE198" s="13">
        <f>BD198*VLOOKUP('Données projet'!$B$11,Paramètres!$A$1:$I$89,3,0)*VLOOKUP('Données projet'!$B$11,Paramètres!$A$1:$I$89,5,0)</f>
        <v>175.06320000000008</v>
      </c>
      <c r="BF198" s="13">
        <f t="shared" si="167"/>
        <v>44.222067746824763</v>
      </c>
      <c r="BG198" s="20">
        <f t="shared" si="168"/>
        <v>381.92184132571992</v>
      </c>
      <c r="BH198" s="59">
        <f t="shared" si="194"/>
        <v>672.23396044263836</v>
      </c>
      <c r="BI198" s="59">
        <f ca="1">AVERAGE(OFFSET($BH$3,0,0,'Données projet'!$E$11+1,1))-AVERAGE(OFFSET($H$3,0,0,'Données projet'!$E$11+1,1))</f>
        <v>289.06522051625166</v>
      </c>
      <c r="BJ198" s="59">
        <f t="shared" si="206"/>
        <v>173.19148969173838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234.00000000000045</v>
      </c>
      <c r="BZ198" s="13">
        <f>BY198*VLOOKUP('Données projet'!$B$12,Paramètres!$A$1:$I$89,3,0)*VLOOKUP('Données projet'!$B$12,Paramètres!$A$1:$I$89,5,0)</f>
        <v>189.82080000000036</v>
      </c>
      <c r="CA198" s="13">
        <f t="shared" si="170"/>
        <v>47.500332100049881</v>
      </c>
      <c r="CB198" s="20">
        <f t="shared" si="171"/>
        <v>413.33430507425419</v>
      </c>
      <c r="CC198" s="59">
        <f t="shared" si="195"/>
        <v>703.64642419117263</v>
      </c>
      <c r="CD198" s="59">
        <f ca="1">AVERAGE(OFFSET($CC$3,0,0,'Données projet'!$E$12+1,1))-AVERAGE(OFFSET($H$3,0,0,'Données projet'!$E$12+1,1))</f>
        <v>306.06916761900357</v>
      </c>
      <c r="CE198" s="59">
        <f t="shared" si="207"/>
        <v>258.90832875500337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2.6231243439688881E-26</v>
      </c>
      <c r="CN198" s="22">
        <f t="shared" si="172"/>
        <v>2.6231243439688881E-26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275.00000000000057</v>
      </c>
      <c r="CU198" s="17">
        <f>CT198*VLOOKUP('Données projet'!$B$13,Paramètres!$A$1:$I$89,3,0)*VLOOKUP('Données projet'!$B$13,Paramètres!$A$1:$I$89,5,0)</f>
        <v>184.4700000000004</v>
      </c>
      <c r="CV198" s="13">
        <f t="shared" si="173"/>
        <v>46.31525458251663</v>
      </c>
      <c r="CW198" s="20">
        <f t="shared" si="174"/>
        <v>401.95098506455048</v>
      </c>
      <c r="CX198" s="59">
        <f t="shared" si="196"/>
        <v>692.26310418146898</v>
      </c>
      <c r="CY198" s="59">
        <f ca="1">AVERAGE(OFFSET($CX$3,0,0,'Données projet'!$E$13+1,1))-AVERAGE(OFFSET($H$3,0,0,'Données projet'!$E$13+1,1))</f>
        <v>324.58754156328285</v>
      </c>
      <c r="CZ198" s="59">
        <f t="shared" si="208"/>
        <v>226.01037731977604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1.5906895060221584E-26</v>
      </c>
      <c r="DI198" s="22">
        <f t="shared" si="175"/>
        <v>1.5906895060221584E-26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3.4106051316484809E-13</v>
      </c>
      <c r="DP198" s="17">
        <f>DO198*VLOOKUP('Données projet'!$B$14,Paramètres!$A$1:$I$89,3,0)*VLOOKUP('Données projet'!$B$14,Paramètres!$A$1:$I$89,5,0)</f>
        <v>1.5961632016114892E-13</v>
      </c>
      <c r="DQ198" s="13">
        <f t="shared" si="176"/>
        <v>2.2708641912150958E-12</v>
      </c>
      <c r="DR198" s="20">
        <f t="shared" si="177"/>
        <v>4.2330868906469593E-12</v>
      </c>
      <c r="DS198" s="59">
        <f t="shared" si="197"/>
        <v>290.3121191169227</v>
      </c>
      <c r="DT198" s="59">
        <f ca="1">AVERAGE(OFFSET($DS$3,0,0,'Données projet'!$E$14+1,1))-AVERAGE(OFFSET($H$3,0,0,'Données projet'!$E$14+1,1))</f>
        <v>325.93182817189722</v>
      </c>
      <c r="DU198" s="59">
        <f t="shared" si="209"/>
        <v>280.04509991782709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5.6843418860808015E-14</v>
      </c>
      <c r="EK198" s="17">
        <f>EJ198*VLOOKUP('Données projet'!$B$15,Paramètres!$A$1:$I$89,3,0)*VLOOKUP('Données projet'!$B$15,Paramètres!$A$1:$I$89,5,0)</f>
        <v>4.5224624045658861E-14</v>
      </c>
      <c r="EL198" s="13">
        <f t="shared" si="179"/>
        <v>7.4514601661523691E-13</v>
      </c>
      <c r="EM198" s="20">
        <f t="shared" si="180"/>
        <v>1.3765621991510601E-12</v>
      </c>
      <c r="EN198" s="59">
        <f t="shared" si="198"/>
        <v>290.31211911691986</v>
      </c>
      <c r="EO198" s="59">
        <f ca="1">AVERAGE(OFFSET($EN$3,0,0,'Données projet'!$E$15+1,1))-AVERAGE(OFFSET($H$3,0,0,'Données projet'!$E$15+1,1))</f>
        <v>333.52903437536651</v>
      </c>
      <c r="EP198" s="59">
        <f t="shared" si="210"/>
        <v>359.47288701414777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3.899445823536081E-2</v>
      </c>
      <c r="EX198" s="21">
        <f>EXP(-LN(2)/2)*EX197+(1-EXP(-LN(2)/2))/(LN(2)/2)*ER198*EU198*VLOOKUP('Données projet'!$B$15,Paramètres!$A$1:$I$89,3,0)*0.475*44/12</f>
        <v>3.6875074912331855E-26</v>
      </c>
      <c r="EY198" s="22">
        <f t="shared" si="181"/>
        <v>3.899445823536081E-2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-2.8421709430404007E-13</v>
      </c>
      <c r="FF198" s="17">
        <f>FE198*VLOOKUP('Données projet'!$B$16,Paramètres!$A$1:$I$89,3,0)*VLOOKUP('Données projet'!$B$16,Paramètres!$A$1:$I$89,5,0)</f>
        <v>-1.69961822393816E-13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313.26988717307376</v>
      </c>
      <c r="FK198" s="59">
        <f t="shared" si="211"/>
        <v>248.17359813993201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8.8793893611433139E-2</v>
      </c>
      <c r="FR198" s="21">
        <f>EXP(-LN(2)/25)*FR197+(1-EXP(-LN(2)/25))/(LN(2)/25)*Calculateur!FM198*Calculateur!FO198*VLOOKUP('Données projet'!$B$16,Paramètres!$A$1:$I$89,3,0)*0.475*44/12</f>
        <v>7.7719355133225324E-2</v>
      </c>
      <c r="FS198" s="21">
        <f>EXP(-LN(2)/2)*FS197+(1-EXP(-LN(2)/2))/(LN(2)/2)*FM198*FP198*VLOOKUP('Données projet'!$B$16,Paramètres!$A$1:$I$89,3,0)*0.475*44/12</f>
        <v>6.1565574409446277E-25</v>
      </c>
      <c r="FT198" s="22">
        <f t="shared" si="184"/>
        <v>0.16651324874465845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181.00000000000009</v>
      </c>
      <c r="GA198" s="17">
        <f>FZ198*VLOOKUP('Données projet'!$B$17,Paramètres!$A$1:$I$89,3,0)*VLOOKUP('Données projet'!$B$17,Paramètres!$A$1:$I$89,5,0)</f>
        <v>194.82840000000007</v>
      </c>
      <c r="GB198" s="13">
        <f t="shared" si="185"/>
        <v>48.605879434898576</v>
      </c>
      <c r="GC198" s="20">
        <f t="shared" si="186"/>
        <v>423.98137001578181</v>
      </c>
      <c r="GD198" s="59">
        <f t="shared" si="200"/>
        <v>714.2934891327003</v>
      </c>
      <c r="GE198" s="59">
        <f ca="1">AVERAGE(OFFSET($GD$3,0,0,'Données projet'!$E$17+1,1))-AVERAGE(OFFSET($H$3,0,0,'Données projet'!$E$17+1,1))</f>
        <v>313.51355235711543</v>
      </c>
      <c r="GF198" s="59">
        <f t="shared" si="212"/>
        <v>186.0840067781198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0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0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275.00000000000057</v>
      </c>
      <c r="O199" s="13">
        <f>N199*VLOOKUP('Données projet'!$B$9,Paramètres!$A$1:$I$89,3,0)*VLOOKUP('Données projet'!$B$9,Paramètres!$A$1:$I$89,5,0)</f>
        <v>278.85000000000059</v>
      </c>
      <c r="P199" s="13">
        <f t="shared" si="203"/>
        <v>66.723922641153095</v>
      </c>
      <c r="Q199" s="20">
        <f t="shared" si="162"/>
        <v>601.8745819333426</v>
      </c>
      <c r="R199" s="59">
        <f t="shared" si="191"/>
        <v>892.23911236249273</v>
      </c>
      <c r="S199" s="59">
        <f ca="1">AVERAGE(OFFSET($R$3,0,0,'Données projet'!$E$9+1,1))-AVERAGE(OFFSET($H$3,0,0,'Données projet'!$E$9+1,1))</f>
        <v>452.67426184967104</v>
      </c>
      <c r="T199" s="59">
        <f t="shared" si="204"/>
        <v>310.47823616327639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-3.979039320256561E-13</v>
      </c>
      <c r="AJ199" s="13">
        <f>AI199*VLOOKUP('Données projet'!$B$10,Paramètres!$A$1:$I$89,3,0)*VLOOKUP('Données projet'!$B$10,Paramètres!$A$1:$I$89,5,0)</f>
        <v>-4.158891897532158E-13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528.45201982036087</v>
      </c>
      <c r="AO199" s="59">
        <f t="shared" si="205"/>
        <v>321.23004033257985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1.0213144622909782E-26</v>
      </c>
      <c r="AX199" s="21">
        <f t="shared" si="166"/>
        <v>1.0213144622909782E-26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181.00000000000009</v>
      </c>
      <c r="BE199" s="13">
        <f>BD199*VLOOKUP('Données projet'!$B$11,Paramètres!$A$1:$I$89,3,0)*VLOOKUP('Données projet'!$B$11,Paramètres!$A$1:$I$89,5,0)</f>
        <v>175.06320000000008</v>
      </c>
      <c r="BF199" s="13">
        <f t="shared" si="167"/>
        <v>44.222067746824763</v>
      </c>
      <c r="BG199" s="20">
        <f t="shared" si="168"/>
        <v>381.92184132571992</v>
      </c>
      <c r="BH199" s="59">
        <f t="shared" si="194"/>
        <v>672.28637175487006</v>
      </c>
      <c r="BI199" s="59">
        <f ca="1">AVERAGE(OFFSET($BH$3,0,0,'Données projet'!$E$11+1,1))-AVERAGE(OFFSET($H$3,0,0,'Données projet'!$E$11+1,1))</f>
        <v>289.06522051625166</v>
      </c>
      <c r="BJ199" s="59">
        <f t="shared" si="206"/>
        <v>173.19148969173838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234.00000000000045</v>
      </c>
      <c r="BZ199" s="13">
        <f>BY199*VLOOKUP('Données projet'!$B$12,Paramètres!$A$1:$I$89,3,0)*VLOOKUP('Données projet'!$B$12,Paramètres!$A$1:$I$89,5,0)</f>
        <v>189.82080000000036</v>
      </c>
      <c r="CA199" s="13">
        <f t="shared" si="170"/>
        <v>47.500332100049881</v>
      </c>
      <c r="CB199" s="20">
        <f t="shared" si="171"/>
        <v>413.33430507425419</v>
      </c>
      <c r="CC199" s="59">
        <f t="shared" si="195"/>
        <v>703.69883550340433</v>
      </c>
      <c r="CD199" s="59">
        <f ca="1">AVERAGE(OFFSET($CC$3,0,0,'Données projet'!$E$12+1,1))-AVERAGE(OFFSET($H$3,0,0,'Données projet'!$E$12+1,1))</f>
        <v>306.06916761900357</v>
      </c>
      <c r="CE199" s="59">
        <f t="shared" si="207"/>
        <v>258.90832875500337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1.8548290115159146E-26</v>
      </c>
      <c r="CN199" s="22">
        <f t="shared" si="172"/>
        <v>1.8548290115159146E-26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275.00000000000057</v>
      </c>
      <c r="CU199" s="17">
        <f>CT199*VLOOKUP('Données projet'!$B$13,Paramètres!$A$1:$I$89,3,0)*VLOOKUP('Données projet'!$B$13,Paramètres!$A$1:$I$89,5,0)</f>
        <v>184.4700000000004</v>
      </c>
      <c r="CV199" s="13">
        <f t="shared" si="173"/>
        <v>46.31525458251663</v>
      </c>
      <c r="CW199" s="20">
        <f t="shared" si="174"/>
        <v>401.95098506455048</v>
      </c>
      <c r="CX199" s="59">
        <f t="shared" si="196"/>
        <v>692.31551549370067</v>
      </c>
      <c r="CY199" s="59">
        <f ca="1">AVERAGE(OFFSET($CX$3,0,0,'Données projet'!$E$13+1,1))-AVERAGE(OFFSET($H$3,0,0,'Données projet'!$E$13+1,1))</f>
        <v>324.58754156328285</v>
      </c>
      <c r="CZ199" s="59">
        <f t="shared" si="208"/>
        <v>226.01037731977604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1.1247873364705477E-26</v>
      </c>
      <c r="DI199" s="22">
        <f t="shared" si="175"/>
        <v>1.1247873364705477E-26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3.4106051316484809E-13</v>
      </c>
      <c r="DP199" s="17">
        <f>DO199*VLOOKUP('Données projet'!$B$14,Paramètres!$A$1:$I$89,3,0)*VLOOKUP('Données projet'!$B$14,Paramètres!$A$1:$I$89,5,0)</f>
        <v>1.5961632016114892E-13</v>
      </c>
      <c r="DQ199" s="13">
        <f t="shared" si="176"/>
        <v>2.2708641912150958E-12</v>
      </c>
      <c r="DR199" s="20">
        <f t="shared" si="177"/>
        <v>4.2330868906469593E-12</v>
      </c>
      <c r="DS199" s="59">
        <f t="shared" si="197"/>
        <v>290.3645304291544</v>
      </c>
      <c r="DT199" s="59">
        <f ca="1">AVERAGE(OFFSET($DS$3,0,0,'Données projet'!$E$14+1,1))-AVERAGE(OFFSET($H$3,0,0,'Données projet'!$E$14+1,1))</f>
        <v>325.93182817189722</v>
      </c>
      <c r="DU199" s="59">
        <f t="shared" si="209"/>
        <v>280.04509991782709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5.6843418860808015E-14</v>
      </c>
      <c r="EK199" s="17">
        <f>EJ199*VLOOKUP('Données projet'!$B$15,Paramètres!$A$1:$I$89,3,0)*VLOOKUP('Données projet'!$B$15,Paramètres!$A$1:$I$89,5,0)</f>
        <v>4.5224624045658861E-14</v>
      </c>
      <c r="EL199" s="13">
        <f t="shared" si="179"/>
        <v>7.4514601661523691E-13</v>
      </c>
      <c r="EM199" s="20">
        <f t="shared" si="180"/>
        <v>1.3765621991510601E-12</v>
      </c>
      <c r="EN199" s="59">
        <f t="shared" si="198"/>
        <v>290.36453042915156</v>
      </c>
      <c r="EO199" s="59">
        <f ca="1">AVERAGE(OFFSET($EN$3,0,0,'Données projet'!$E$15+1,1))-AVERAGE(OFFSET($H$3,0,0,'Données projet'!$E$15+1,1))</f>
        <v>333.52903437536651</v>
      </c>
      <c r="EP199" s="59">
        <f t="shared" si="210"/>
        <v>359.47288701414777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3.792815272428543E-2</v>
      </c>
      <c r="EX199" s="21">
        <f>EXP(-LN(2)/2)*EX198+(1-EXP(-LN(2)/2))/(LN(2)/2)*ER199*EU199*VLOOKUP('Données projet'!$B$15,Paramètres!$A$1:$I$89,3,0)*0.475*44/12</f>
        <v>2.6074615527271788E-26</v>
      </c>
      <c r="EY199" s="22">
        <f t="shared" si="181"/>
        <v>3.792815272428543E-2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-2.8421709430404007E-13</v>
      </c>
      <c r="FF199" s="17">
        <f>FE199*VLOOKUP('Données projet'!$B$16,Paramètres!$A$1:$I$89,3,0)*VLOOKUP('Données projet'!$B$16,Paramètres!$A$1:$I$89,5,0)</f>
        <v>-1.69961822393816E-13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313.26988717307376</v>
      </c>
      <c r="FK199" s="59">
        <f t="shared" si="211"/>
        <v>248.17359813993201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8.7052699516640283E-2</v>
      </c>
      <c r="FR199" s="21">
        <f>EXP(-LN(2)/25)*FR198+(1-EXP(-LN(2)/25))/(LN(2)/25)*Calculateur!FM199*Calculateur!FO199*VLOOKUP('Données projet'!$B$16,Paramètres!$A$1:$I$89,3,0)*0.475*44/12</f>
        <v>7.5594115280024021E-2</v>
      </c>
      <c r="FS199" s="21">
        <f>EXP(-LN(2)/2)*FS198+(1-EXP(-LN(2)/2))/(LN(2)/2)*FM199*FP199*VLOOKUP('Données projet'!$B$16,Paramètres!$A$1:$I$89,3,0)*0.475*44/12</f>
        <v>4.3533435152564437E-25</v>
      </c>
      <c r="FT199" s="22">
        <f t="shared" si="184"/>
        <v>0.16264681479666432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181.00000000000009</v>
      </c>
      <c r="GA199" s="17">
        <f>FZ199*VLOOKUP('Données projet'!$B$17,Paramètres!$A$1:$I$89,3,0)*VLOOKUP('Données projet'!$B$17,Paramètres!$A$1:$I$89,5,0)</f>
        <v>194.82840000000007</v>
      </c>
      <c r="GB199" s="13">
        <f t="shared" si="185"/>
        <v>48.605879434898576</v>
      </c>
      <c r="GC199" s="20">
        <f t="shared" si="186"/>
        <v>423.98137001578181</v>
      </c>
      <c r="GD199" s="59">
        <f t="shared" si="200"/>
        <v>714.345900444932</v>
      </c>
      <c r="GE199" s="59">
        <f ca="1">AVERAGE(OFFSET($GD$3,0,0,'Données projet'!$E$17+1,1))-AVERAGE(OFFSET($H$3,0,0,'Données projet'!$E$17+1,1))</f>
        <v>313.51355235711543</v>
      </c>
      <c r="GF199" s="59">
        <f t="shared" si="212"/>
        <v>186.0840067781198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0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0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275.00000000000057</v>
      </c>
      <c r="O200" s="13">
        <f>N200*VLOOKUP('Données projet'!$B$9,Paramètres!$A$1:$I$89,3,0)*VLOOKUP('Données projet'!$B$9,Paramètres!$A$1:$I$89,5,0)</f>
        <v>278.85000000000059</v>
      </c>
      <c r="P200" s="13">
        <f t="shared" si="203"/>
        <v>66.723922641153095</v>
      </c>
      <c r="Q200" s="20">
        <f t="shared" si="162"/>
        <v>601.8745819333426</v>
      </c>
      <c r="R200" s="59">
        <f t="shared" si="191"/>
        <v>892.29061445563138</v>
      </c>
      <c r="S200" s="59">
        <f ca="1">AVERAGE(OFFSET($R$3,0,0,'Données projet'!$E$9+1,1))-AVERAGE(OFFSET($H$3,0,0,'Données projet'!$E$9+1,1))</f>
        <v>452.67426184967104</v>
      </c>
      <c r="T200" s="59">
        <f t="shared" si="204"/>
        <v>310.47823616327639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-3.979039320256561E-13</v>
      </c>
      <c r="AJ200" s="13">
        <f>AI200*VLOOKUP('Données projet'!$B$10,Paramètres!$A$1:$I$89,3,0)*VLOOKUP('Données projet'!$B$10,Paramètres!$A$1:$I$89,5,0)</f>
        <v>-4.158891897532158E-13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528.45201982036087</v>
      </c>
      <c r="AO200" s="59">
        <f t="shared" si="205"/>
        <v>321.23004033257985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7.2217838200984316E-27</v>
      </c>
      <c r="AX200" s="21">
        <f t="shared" si="166"/>
        <v>7.2217838200984316E-27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181.00000000000009</v>
      </c>
      <c r="BE200" s="13">
        <f>BD200*VLOOKUP('Données projet'!$B$11,Paramètres!$A$1:$I$89,3,0)*VLOOKUP('Données projet'!$B$11,Paramètres!$A$1:$I$89,5,0)</f>
        <v>175.06320000000008</v>
      </c>
      <c r="BF200" s="13">
        <f t="shared" si="167"/>
        <v>44.222067746824763</v>
      </c>
      <c r="BG200" s="20">
        <f t="shared" si="168"/>
        <v>381.92184132571992</v>
      </c>
      <c r="BH200" s="59">
        <f t="shared" si="194"/>
        <v>672.33787384800871</v>
      </c>
      <c r="BI200" s="59">
        <f ca="1">AVERAGE(OFFSET($BH$3,0,0,'Données projet'!$E$11+1,1))-AVERAGE(OFFSET($H$3,0,0,'Données projet'!$E$11+1,1))</f>
        <v>289.06522051625166</v>
      </c>
      <c r="BJ200" s="59">
        <f t="shared" si="206"/>
        <v>173.19148969173838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234.00000000000045</v>
      </c>
      <c r="BZ200" s="13">
        <f>BY200*VLOOKUP('Données projet'!$B$12,Paramètres!$A$1:$I$89,3,0)*VLOOKUP('Données projet'!$B$12,Paramètres!$A$1:$I$89,5,0)</f>
        <v>189.82080000000036</v>
      </c>
      <c r="CA200" s="13">
        <f t="shared" si="170"/>
        <v>47.500332100049881</v>
      </c>
      <c r="CB200" s="20">
        <f t="shared" si="171"/>
        <v>413.33430507425419</v>
      </c>
      <c r="CC200" s="59">
        <f t="shared" si="195"/>
        <v>703.75033759654298</v>
      </c>
      <c r="CD200" s="59">
        <f ca="1">AVERAGE(OFFSET($CC$3,0,0,'Données projet'!$E$12+1,1))-AVERAGE(OFFSET($H$3,0,0,'Données projet'!$E$12+1,1))</f>
        <v>306.06916761900357</v>
      </c>
      <c r="CE200" s="59">
        <f t="shared" si="207"/>
        <v>258.90832875500337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1.3115621719844441E-26</v>
      </c>
      <c r="CN200" s="22">
        <f t="shared" si="172"/>
        <v>1.3115621719844441E-26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275.00000000000057</v>
      </c>
      <c r="CU200" s="17">
        <f>CT200*VLOOKUP('Données projet'!$B$13,Paramètres!$A$1:$I$89,3,0)*VLOOKUP('Données projet'!$B$13,Paramètres!$A$1:$I$89,5,0)</f>
        <v>184.4700000000004</v>
      </c>
      <c r="CV200" s="13">
        <f t="shared" si="173"/>
        <v>46.31525458251663</v>
      </c>
      <c r="CW200" s="20">
        <f t="shared" si="174"/>
        <v>401.95098506455048</v>
      </c>
      <c r="CX200" s="59">
        <f t="shared" si="196"/>
        <v>692.36701758683921</v>
      </c>
      <c r="CY200" s="59">
        <f ca="1">AVERAGE(OFFSET($CX$3,0,0,'Données projet'!$E$13+1,1))-AVERAGE(OFFSET($H$3,0,0,'Données projet'!$E$13+1,1))</f>
        <v>324.58754156328285</v>
      </c>
      <c r="CZ200" s="59">
        <f t="shared" si="208"/>
        <v>226.01037731977604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7.953447530110792E-27</v>
      </c>
      <c r="DI200" s="22">
        <f t="shared" si="175"/>
        <v>7.953447530110792E-27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3.4106051316484809E-13</v>
      </c>
      <c r="DP200" s="17">
        <f>DO200*VLOOKUP('Données projet'!$B$14,Paramètres!$A$1:$I$89,3,0)*VLOOKUP('Données projet'!$B$14,Paramètres!$A$1:$I$89,5,0)</f>
        <v>1.5961632016114892E-13</v>
      </c>
      <c r="DQ200" s="13">
        <f t="shared" si="176"/>
        <v>2.2708641912150958E-12</v>
      </c>
      <c r="DR200" s="20">
        <f t="shared" si="177"/>
        <v>4.2330868906469593E-12</v>
      </c>
      <c r="DS200" s="59">
        <f t="shared" si="197"/>
        <v>290.41603252229299</v>
      </c>
      <c r="DT200" s="59">
        <f ca="1">AVERAGE(OFFSET($DS$3,0,0,'Données projet'!$E$14+1,1))-AVERAGE(OFFSET($H$3,0,0,'Données projet'!$E$14+1,1))</f>
        <v>325.93182817189722</v>
      </c>
      <c r="DU200" s="59">
        <f t="shared" si="209"/>
        <v>280.04509991782709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5.6843418860808015E-14</v>
      </c>
      <c r="EK200" s="17">
        <f>EJ200*VLOOKUP('Données projet'!$B$15,Paramètres!$A$1:$I$89,3,0)*VLOOKUP('Données projet'!$B$15,Paramètres!$A$1:$I$89,5,0)</f>
        <v>4.5224624045658861E-14</v>
      </c>
      <c r="EL200" s="13">
        <f t="shared" si="179"/>
        <v>7.4514601661523691E-13</v>
      </c>
      <c r="EM200" s="20">
        <f t="shared" si="180"/>
        <v>1.3765621991510601E-12</v>
      </c>
      <c r="EN200" s="59">
        <f t="shared" si="198"/>
        <v>290.41603252229015</v>
      </c>
      <c r="EO200" s="59">
        <f ca="1">AVERAGE(OFFSET($EN$3,0,0,'Données projet'!$E$15+1,1))-AVERAGE(OFFSET($H$3,0,0,'Données projet'!$E$15+1,1))</f>
        <v>333.52903437536651</v>
      </c>
      <c r="EP200" s="59">
        <f t="shared" si="210"/>
        <v>359.47288701414777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3.6891005393484978E-2</v>
      </c>
      <c r="EX200" s="21">
        <f>EXP(-LN(2)/2)*EX199+(1-EXP(-LN(2)/2))/(LN(2)/2)*ER200*EU200*VLOOKUP('Données projet'!$B$15,Paramètres!$A$1:$I$89,3,0)*0.475*44/12</f>
        <v>1.8437537456165928E-26</v>
      </c>
      <c r="EY200" s="22">
        <f t="shared" si="181"/>
        <v>3.6891005393484978E-2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-2.8421709430404007E-13</v>
      </c>
      <c r="FF200" s="17">
        <f>FE200*VLOOKUP('Données projet'!$B$16,Paramètres!$A$1:$I$89,3,0)*VLOOKUP('Données projet'!$B$16,Paramètres!$A$1:$I$89,5,0)</f>
        <v>-1.69961822393816E-13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313.26988717307376</v>
      </c>
      <c r="FK200" s="59">
        <f t="shared" si="211"/>
        <v>248.17359813993201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8.5345649176022789E-2</v>
      </c>
      <c r="FR200" s="21">
        <f>EXP(-LN(2)/25)*FR199+(1-EXP(-LN(2)/25))/(LN(2)/25)*Calculateur!FM200*Calculateur!FO200*VLOOKUP('Données projet'!$B$16,Paramètres!$A$1:$I$89,3,0)*0.475*44/12</f>
        <v>7.3526990222370012E-2</v>
      </c>
      <c r="FS200" s="21">
        <f>EXP(-LN(2)/2)*FS199+(1-EXP(-LN(2)/2))/(LN(2)/2)*FM200*FP200*VLOOKUP('Données projet'!$B$16,Paramètres!$A$1:$I$89,3,0)*0.475*44/12</f>
        <v>3.0782787204723139E-25</v>
      </c>
      <c r="FT200" s="22">
        <f t="shared" si="184"/>
        <v>0.1588726393983928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181.00000000000009</v>
      </c>
      <c r="GA200" s="17">
        <f>FZ200*VLOOKUP('Données projet'!$B$17,Paramètres!$A$1:$I$89,3,0)*VLOOKUP('Données projet'!$B$17,Paramètres!$A$1:$I$89,5,0)</f>
        <v>194.82840000000007</v>
      </c>
      <c r="GB200" s="13">
        <f t="shared" si="185"/>
        <v>48.605879434898576</v>
      </c>
      <c r="GC200" s="20">
        <f t="shared" si="186"/>
        <v>423.98137001578181</v>
      </c>
      <c r="GD200" s="59">
        <f t="shared" si="200"/>
        <v>714.39740253807054</v>
      </c>
      <c r="GE200" s="59">
        <f ca="1">AVERAGE(OFFSET($GD$3,0,0,'Données projet'!$E$17+1,1))-AVERAGE(OFFSET($H$3,0,0,'Données projet'!$E$17+1,1))</f>
        <v>313.51355235711543</v>
      </c>
      <c r="GF200" s="59">
        <f t="shared" si="212"/>
        <v>186.0840067781198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0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0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275.00000000000057</v>
      </c>
      <c r="O201" s="13">
        <f>N201*VLOOKUP('Données projet'!$B$9,Paramètres!$A$1:$I$89,3,0)*VLOOKUP('Données projet'!$B$9,Paramètres!$A$1:$I$89,5,0)</f>
        <v>278.85000000000059</v>
      </c>
      <c r="P201" s="13">
        <f t="shared" si="203"/>
        <v>66.723922641153095</v>
      </c>
      <c r="Q201" s="20">
        <f t="shared" si="162"/>
        <v>601.8745819333426</v>
      </c>
      <c r="R201" s="59">
        <f t="shared" si="191"/>
        <v>892.34122310259545</v>
      </c>
      <c r="S201" s="59">
        <f ca="1">AVERAGE(OFFSET($R$3,0,0,'Données projet'!$E$9+1,1))-AVERAGE(OFFSET($H$3,0,0,'Données projet'!$E$9+1,1))</f>
        <v>452.67426184967104</v>
      </c>
      <c r="T201" s="59">
        <f t="shared" si="204"/>
        <v>310.47823616327639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-3.979039320256561E-13</v>
      </c>
      <c r="AJ201" s="13">
        <f>AI201*VLOOKUP('Données projet'!$B$10,Paramètres!$A$1:$I$89,3,0)*VLOOKUP('Données projet'!$B$10,Paramètres!$A$1:$I$89,5,0)</f>
        <v>-4.158891897532158E-13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528.45201982036087</v>
      </c>
      <c r="AO201" s="59">
        <f t="shared" si="205"/>
        <v>321.23004033257985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5.1065723114548911E-27</v>
      </c>
      <c r="AX201" s="21">
        <f t="shared" si="166"/>
        <v>5.1065723114548911E-27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181.00000000000009</v>
      </c>
      <c r="BE201" s="13">
        <f>BD201*VLOOKUP('Données projet'!$B$11,Paramètres!$A$1:$I$89,3,0)*VLOOKUP('Données projet'!$B$11,Paramètres!$A$1:$I$89,5,0)</f>
        <v>175.06320000000008</v>
      </c>
      <c r="BF201" s="13">
        <f t="shared" si="167"/>
        <v>44.222067746824763</v>
      </c>
      <c r="BG201" s="20">
        <f t="shared" si="168"/>
        <v>381.92184132571992</v>
      </c>
      <c r="BH201" s="59">
        <f t="shared" si="194"/>
        <v>672.38848249497278</v>
      </c>
      <c r="BI201" s="59">
        <f ca="1">AVERAGE(OFFSET($BH$3,0,0,'Données projet'!$E$11+1,1))-AVERAGE(OFFSET($H$3,0,0,'Données projet'!$E$11+1,1))</f>
        <v>289.06522051625166</v>
      </c>
      <c r="BJ201" s="59">
        <f t="shared" si="206"/>
        <v>173.19148969173838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234.00000000000045</v>
      </c>
      <c r="BZ201" s="13">
        <f>BY201*VLOOKUP('Données projet'!$B$12,Paramètres!$A$1:$I$89,3,0)*VLOOKUP('Données projet'!$B$12,Paramètres!$A$1:$I$89,5,0)</f>
        <v>189.82080000000036</v>
      </c>
      <c r="CA201" s="13">
        <f t="shared" si="170"/>
        <v>47.500332100049881</v>
      </c>
      <c r="CB201" s="20">
        <f t="shared" si="171"/>
        <v>413.33430507425419</v>
      </c>
      <c r="CC201" s="59">
        <f t="shared" si="195"/>
        <v>703.80094624350704</v>
      </c>
      <c r="CD201" s="59">
        <f ca="1">AVERAGE(OFFSET($CC$3,0,0,'Données projet'!$E$12+1,1))-AVERAGE(OFFSET($H$3,0,0,'Données projet'!$E$12+1,1))</f>
        <v>306.06916761900357</v>
      </c>
      <c r="CE201" s="59">
        <f t="shared" si="207"/>
        <v>258.90832875500337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9.2741450575795732E-27</v>
      </c>
      <c r="CN201" s="22">
        <f t="shared" si="172"/>
        <v>9.2741450575795732E-27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275.00000000000057</v>
      </c>
      <c r="CU201" s="17">
        <f>CT201*VLOOKUP('Données projet'!$B$13,Paramètres!$A$1:$I$89,3,0)*VLOOKUP('Données projet'!$B$13,Paramètres!$A$1:$I$89,5,0)</f>
        <v>184.4700000000004</v>
      </c>
      <c r="CV201" s="13">
        <f t="shared" si="173"/>
        <v>46.31525458251663</v>
      </c>
      <c r="CW201" s="20">
        <f t="shared" si="174"/>
        <v>401.95098506455048</v>
      </c>
      <c r="CX201" s="59">
        <f t="shared" si="196"/>
        <v>692.41762623380339</v>
      </c>
      <c r="CY201" s="59">
        <f ca="1">AVERAGE(OFFSET($CX$3,0,0,'Données projet'!$E$13+1,1))-AVERAGE(OFFSET($H$3,0,0,'Données projet'!$E$13+1,1))</f>
        <v>324.58754156328285</v>
      </c>
      <c r="CZ201" s="59">
        <f t="shared" si="208"/>
        <v>226.01037731977604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5.6239366823527387E-27</v>
      </c>
      <c r="DI201" s="22">
        <f t="shared" si="175"/>
        <v>5.6239366823527387E-27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3.4106051316484809E-13</v>
      </c>
      <c r="DP201" s="17">
        <f>DO201*VLOOKUP('Données projet'!$B$14,Paramètres!$A$1:$I$89,3,0)*VLOOKUP('Données projet'!$B$14,Paramètres!$A$1:$I$89,5,0)</f>
        <v>1.5961632016114892E-13</v>
      </c>
      <c r="DQ201" s="13">
        <f t="shared" si="176"/>
        <v>2.2708641912150958E-12</v>
      </c>
      <c r="DR201" s="20">
        <f t="shared" si="177"/>
        <v>4.2330868906469593E-12</v>
      </c>
      <c r="DS201" s="59">
        <f t="shared" si="197"/>
        <v>290.46664116925712</v>
      </c>
      <c r="DT201" s="59">
        <f ca="1">AVERAGE(OFFSET($DS$3,0,0,'Données projet'!$E$14+1,1))-AVERAGE(OFFSET($H$3,0,0,'Données projet'!$E$14+1,1))</f>
        <v>325.93182817189722</v>
      </c>
      <c r="DU201" s="59">
        <f t="shared" si="209"/>
        <v>280.04509991782709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5.6843418860808015E-14</v>
      </c>
      <c r="EK201" s="17">
        <f>EJ201*VLOOKUP('Données projet'!$B$15,Paramètres!$A$1:$I$89,3,0)*VLOOKUP('Données projet'!$B$15,Paramètres!$A$1:$I$89,5,0)</f>
        <v>4.5224624045658861E-14</v>
      </c>
      <c r="EL201" s="13">
        <f t="shared" si="179"/>
        <v>7.4514601661523691E-13</v>
      </c>
      <c r="EM201" s="20">
        <f t="shared" si="180"/>
        <v>1.3765621991510601E-12</v>
      </c>
      <c r="EN201" s="59">
        <f t="shared" si="198"/>
        <v>290.46664116925427</v>
      </c>
      <c r="EO201" s="59">
        <f ca="1">AVERAGE(OFFSET($EN$3,0,0,'Données projet'!$E$15+1,1))-AVERAGE(OFFSET($H$3,0,0,'Données projet'!$E$15+1,1))</f>
        <v>333.52903437536651</v>
      </c>
      <c r="EP201" s="59">
        <f t="shared" si="210"/>
        <v>359.47288701414777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3.5882218910986474E-2</v>
      </c>
      <c r="EX201" s="21">
        <f>EXP(-LN(2)/2)*EX200+(1-EXP(-LN(2)/2))/(LN(2)/2)*ER201*EU201*VLOOKUP('Données projet'!$B$15,Paramètres!$A$1:$I$89,3,0)*0.475*44/12</f>
        <v>1.3037307763635894E-26</v>
      </c>
      <c r="EY201" s="22">
        <f t="shared" si="181"/>
        <v>3.5882218910986474E-2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-2.8421709430404007E-13</v>
      </c>
      <c r="FF201" s="17">
        <f>FE201*VLOOKUP('Données projet'!$B$16,Paramètres!$A$1:$I$89,3,0)*VLOOKUP('Données projet'!$B$16,Paramètres!$A$1:$I$89,5,0)</f>
        <v>-1.69961822393816E-13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313.26988717307376</v>
      </c>
      <c r="FK201" s="59">
        <f t="shared" si="211"/>
        <v>248.17359813993201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8.3672073051386908E-2</v>
      </c>
      <c r="FR201" s="21">
        <f>EXP(-LN(2)/25)*FR200+(1-EXP(-LN(2)/25))/(LN(2)/25)*Calculateur!FM201*Calculateur!FO201*VLOOKUP('Données projet'!$B$16,Paramètres!$A$1:$I$89,3,0)*0.475*44/12</f>
        <v>7.1516390808122943E-2</v>
      </c>
      <c r="FS201" s="21">
        <f>EXP(-LN(2)/2)*FS200+(1-EXP(-LN(2)/2))/(LN(2)/2)*FM201*FP201*VLOOKUP('Données projet'!$B$16,Paramètres!$A$1:$I$89,3,0)*0.475*44/12</f>
        <v>2.1766717576282219E-25</v>
      </c>
      <c r="FT201" s="22">
        <f t="shared" si="184"/>
        <v>0.15518846385950985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181.00000000000009</v>
      </c>
      <c r="GA201" s="17">
        <f>FZ201*VLOOKUP('Données projet'!$B$17,Paramètres!$A$1:$I$89,3,0)*VLOOKUP('Données projet'!$B$17,Paramètres!$A$1:$I$89,5,0)</f>
        <v>194.82840000000007</v>
      </c>
      <c r="GB201" s="13">
        <f t="shared" si="185"/>
        <v>48.605879434898576</v>
      </c>
      <c r="GC201" s="20">
        <f t="shared" si="186"/>
        <v>423.98137001578181</v>
      </c>
      <c r="GD201" s="59">
        <f t="shared" si="200"/>
        <v>714.44801118503472</v>
      </c>
      <c r="GE201" s="59">
        <f ca="1">AVERAGE(OFFSET($GD$3,0,0,'Données projet'!$E$17+1,1))-AVERAGE(OFFSET($H$3,0,0,'Données projet'!$E$17+1,1))</f>
        <v>313.51355235711543</v>
      </c>
      <c r="GF201" s="59">
        <f t="shared" si="212"/>
        <v>186.0840067781198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0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0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275.00000000000057</v>
      </c>
      <c r="O202" s="13">
        <f>N202*VLOOKUP('Données projet'!$B$9,Paramètres!$A$1:$I$89,3,0)*VLOOKUP('Données projet'!$B$9,Paramètres!$A$1:$I$89,5,0)</f>
        <v>278.85000000000059</v>
      </c>
      <c r="P202" s="13">
        <f t="shared" si="203"/>
        <v>66.723922641153095</v>
      </c>
      <c r="Q202" s="20">
        <f t="shared" si="162"/>
        <v>601.8745819333426</v>
      </c>
      <c r="R202" s="59">
        <f t="shared" si="191"/>
        <v>892.39095380267872</v>
      </c>
      <c r="S202" s="59">
        <f ca="1">AVERAGE(OFFSET($R$3,0,0,'Données projet'!$E$9+1,1))-AVERAGE(OFFSET($H$3,0,0,'Données projet'!$E$9+1,1))</f>
        <v>452.67426184967104</v>
      </c>
      <c r="T202" s="59">
        <f t="shared" si="204"/>
        <v>310.47823616327639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-3.979039320256561E-13</v>
      </c>
      <c r="AJ202" s="13">
        <f>AI202*VLOOKUP('Données projet'!$B$10,Paramètres!$A$1:$I$89,3,0)*VLOOKUP('Données projet'!$B$10,Paramètres!$A$1:$I$89,5,0)</f>
        <v>-4.158891897532158E-13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528.45201982036087</v>
      </c>
      <c r="AO202" s="59">
        <f t="shared" si="205"/>
        <v>321.23004033257985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3.6108919100492158E-27</v>
      </c>
      <c r="AX202" s="21">
        <f t="shared" si="166"/>
        <v>3.6108919100492158E-27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181.00000000000009</v>
      </c>
      <c r="BE202" s="13">
        <f>BD202*VLOOKUP('Données projet'!$B$11,Paramètres!$A$1:$I$89,3,0)*VLOOKUP('Données projet'!$B$11,Paramètres!$A$1:$I$89,5,0)</f>
        <v>175.06320000000008</v>
      </c>
      <c r="BF202" s="13">
        <f t="shared" si="167"/>
        <v>44.222067746824763</v>
      </c>
      <c r="BG202" s="20">
        <f t="shared" si="168"/>
        <v>381.92184132571992</v>
      </c>
      <c r="BH202" s="59">
        <f t="shared" si="194"/>
        <v>672.43821319505605</v>
      </c>
      <c r="BI202" s="59">
        <f ca="1">AVERAGE(OFFSET($BH$3,0,0,'Données projet'!$E$11+1,1))-AVERAGE(OFFSET($H$3,0,0,'Données projet'!$E$11+1,1))</f>
        <v>289.06522051625166</v>
      </c>
      <c r="BJ202" s="59">
        <f t="shared" si="206"/>
        <v>173.19148969173838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234.00000000000045</v>
      </c>
      <c r="BZ202" s="13">
        <f>BY202*VLOOKUP('Données projet'!$B$12,Paramètres!$A$1:$I$89,3,0)*VLOOKUP('Données projet'!$B$12,Paramètres!$A$1:$I$89,5,0)</f>
        <v>189.82080000000036</v>
      </c>
      <c r="CA202" s="13">
        <f t="shared" si="170"/>
        <v>47.500332100049881</v>
      </c>
      <c r="CB202" s="20">
        <f t="shared" si="171"/>
        <v>413.33430507425419</v>
      </c>
      <c r="CC202" s="59">
        <f t="shared" si="195"/>
        <v>703.85067694359032</v>
      </c>
      <c r="CD202" s="59">
        <f ca="1">AVERAGE(OFFSET($CC$3,0,0,'Données projet'!$E$12+1,1))-AVERAGE(OFFSET($H$3,0,0,'Données projet'!$E$12+1,1))</f>
        <v>306.06916761900357</v>
      </c>
      <c r="CE202" s="59">
        <f t="shared" si="207"/>
        <v>258.90832875500337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6.5578108599222203E-27</v>
      </c>
      <c r="CN202" s="22">
        <f t="shared" si="172"/>
        <v>6.5578108599222203E-27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275.00000000000057</v>
      </c>
      <c r="CU202" s="17">
        <f>CT202*VLOOKUP('Données projet'!$B$13,Paramètres!$A$1:$I$89,3,0)*VLOOKUP('Données projet'!$B$13,Paramètres!$A$1:$I$89,5,0)</f>
        <v>184.4700000000004</v>
      </c>
      <c r="CV202" s="13">
        <f t="shared" si="173"/>
        <v>46.31525458251663</v>
      </c>
      <c r="CW202" s="20">
        <f t="shared" si="174"/>
        <v>401.95098506455048</v>
      </c>
      <c r="CX202" s="59">
        <f t="shared" si="196"/>
        <v>692.46735693388655</v>
      </c>
      <c r="CY202" s="59">
        <f ca="1">AVERAGE(OFFSET($CX$3,0,0,'Données projet'!$E$13+1,1))-AVERAGE(OFFSET($H$3,0,0,'Données projet'!$E$13+1,1))</f>
        <v>324.58754156328285</v>
      </c>
      <c r="CZ202" s="59">
        <f t="shared" si="208"/>
        <v>226.01037731977604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3.976723765055396E-27</v>
      </c>
      <c r="DI202" s="22">
        <f t="shared" si="175"/>
        <v>3.976723765055396E-27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3.4106051316484809E-13</v>
      </c>
      <c r="DP202" s="17">
        <f>DO202*VLOOKUP('Données projet'!$B$14,Paramètres!$A$1:$I$89,3,0)*VLOOKUP('Données projet'!$B$14,Paramètres!$A$1:$I$89,5,0)</f>
        <v>1.5961632016114892E-13</v>
      </c>
      <c r="DQ202" s="13">
        <f t="shared" si="176"/>
        <v>2.2708641912150958E-12</v>
      </c>
      <c r="DR202" s="20">
        <f t="shared" si="177"/>
        <v>4.2330868906469593E-12</v>
      </c>
      <c r="DS202" s="59">
        <f t="shared" si="197"/>
        <v>290.51637186934033</v>
      </c>
      <c r="DT202" s="59">
        <f ca="1">AVERAGE(OFFSET($DS$3,0,0,'Données projet'!$E$14+1,1))-AVERAGE(OFFSET($H$3,0,0,'Données projet'!$E$14+1,1))</f>
        <v>325.93182817189722</v>
      </c>
      <c r="DU202" s="59">
        <f t="shared" si="209"/>
        <v>280.04509991782709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5.6843418860808015E-14</v>
      </c>
      <c r="EK202" s="17">
        <f>EJ202*VLOOKUP('Données projet'!$B$15,Paramètres!$A$1:$I$89,3,0)*VLOOKUP('Données projet'!$B$15,Paramètres!$A$1:$I$89,5,0)</f>
        <v>4.5224624045658861E-14</v>
      </c>
      <c r="EL202" s="13">
        <f t="shared" si="179"/>
        <v>7.4514601661523691E-13</v>
      </c>
      <c r="EM202" s="20">
        <f t="shared" si="180"/>
        <v>1.3765621991510601E-12</v>
      </c>
      <c r="EN202" s="59">
        <f t="shared" si="198"/>
        <v>290.51637186933749</v>
      </c>
      <c r="EO202" s="59">
        <f ca="1">AVERAGE(OFFSET($EN$3,0,0,'Données projet'!$E$15+1,1))-AVERAGE(OFFSET($H$3,0,0,'Données projet'!$E$15+1,1))</f>
        <v>333.52903437536651</v>
      </c>
      <c r="EP202" s="59">
        <f t="shared" si="210"/>
        <v>359.47288701414777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3.4901017747901664E-2</v>
      </c>
      <c r="EX202" s="21">
        <f>EXP(-LN(2)/2)*EX201+(1-EXP(-LN(2)/2))/(LN(2)/2)*ER202*EU202*VLOOKUP('Données projet'!$B$15,Paramètres!$A$1:$I$89,3,0)*0.475*44/12</f>
        <v>9.2187687280829639E-27</v>
      </c>
      <c r="EY202" s="22">
        <f t="shared" si="181"/>
        <v>3.4901017747901664E-2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-2.8421709430404007E-13</v>
      </c>
      <c r="FF202" s="17">
        <f>FE202*VLOOKUP('Données projet'!$B$16,Paramètres!$A$1:$I$89,3,0)*VLOOKUP('Données projet'!$B$16,Paramètres!$A$1:$I$89,5,0)</f>
        <v>-1.69961822393816E-13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313.26988717307376</v>
      </c>
      <c r="FK202" s="59">
        <f t="shared" si="211"/>
        <v>248.17359813993201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8.2031314733774494E-2</v>
      </c>
      <c r="FR202" s="21">
        <f>EXP(-LN(2)/25)*FR201+(1-EXP(-LN(2)/25))/(LN(2)/25)*Calculateur!FM202*Calculateur!FO202*VLOOKUP('Données projet'!$B$16,Paramètres!$A$1:$I$89,3,0)*0.475*44/12</f>
        <v>6.9560771340591285E-2</v>
      </c>
      <c r="FS202" s="21">
        <f>EXP(-LN(2)/2)*FS201+(1-EXP(-LN(2)/2))/(LN(2)/2)*FM202*FP202*VLOOKUP('Données projet'!$B$16,Paramètres!$A$1:$I$89,3,0)*0.475*44/12</f>
        <v>1.5391393602361569E-25</v>
      </c>
      <c r="FT202" s="22">
        <f t="shared" si="184"/>
        <v>0.15159208607436578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181.00000000000009</v>
      </c>
      <c r="GA202" s="17">
        <f>FZ202*VLOOKUP('Données projet'!$B$17,Paramètres!$A$1:$I$89,3,0)*VLOOKUP('Données projet'!$B$17,Paramètres!$A$1:$I$89,5,0)</f>
        <v>194.82840000000007</v>
      </c>
      <c r="GB202" s="13">
        <f t="shared" si="185"/>
        <v>48.605879434898576</v>
      </c>
      <c r="GC202" s="20">
        <f t="shared" si="186"/>
        <v>423.98137001578181</v>
      </c>
      <c r="GD202" s="59">
        <f t="shared" si="200"/>
        <v>714.49774188511788</v>
      </c>
      <c r="GE202" s="59">
        <f ca="1">AVERAGE(OFFSET($GD$3,0,0,'Données projet'!$E$17+1,1))-AVERAGE(OFFSET($H$3,0,0,'Données projet'!$E$17+1,1))</f>
        <v>313.51355235711543</v>
      </c>
      <c r="GF202" s="59">
        <f t="shared" si="212"/>
        <v>186.0840067781198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0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0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275.00000000000057</v>
      </c>
      <c r="O203" s="13">
        <f>N203*VLOOKUP('Données projet'!$B$9,Paramètres!$A$1:$I$89,3,0)*VLOOKUP('Données projet'!$B$9,Paramètres!$A$1:$I$89,5,0)</f>
        <v>278.85000000000059</v>
      </c>
      <c r="P203" s="13">
        <f t="shared" si="203"/>
        <v>66.723922641153095</v>
      </c>
      <c r="Q203" s="20">
        <f t="shared" si="162"/>
        <v>601.8745819333426</v>
      </c>
      <c r="R203" s="59">
        <f t="shared" si="191"/>
        <v>892.43982178629676</v>
      </c>
      <c r="S203" s="59">
        <f ca="1">AVERAGE(OFFSET($R$3,0,0,'Données projet'!$E$9+1,1))-AVERAGE(OFFSET($H$3,0,0,'Données projet'!$E$9+1,1))</f>
        <v>452.67426184967104</v>
      </c>
      <c r="T203" s="59">
        <f t="shared" si="204"/>
        <v>310.47823616327639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-3.979039320256561E-13</v>
      </c>
      <c r="AJ203" s="13">
        <f>AI203*VLOOKUP('Données projet'!$B$10,Paramètres!$A$1:$I$89,3,0)*VLOOKUP('Données projet'!$B$10,Paramètres!$A$1:$I$89,5,0)</f>
        <v>-4.158891897532158E-13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528.45201982036087</v>
      </c>
      <c r="AO203" s="59">
        <f t="shared" si="205"/>
        <v>321.23004033257985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2.5532861557274455E-27</v>
      </c>
      <c r="AX203" s="21">
        <f t="shared" si="166"/>
        <v>2.5532861557274455E-27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181.00000000000009</v>
      </c>
      <c r="BE203" s="13">
        <f>BD203*VLOOKUP('Données projet'!$B$11,Paramètres!$A$1:$I$89,3,0)*VLOOKUP('Données projet'!$B$11,Paramètres!$A$1:$I$89,5,0)</f>
        <v>175.06320000000008</v>
      </c>
      <c r="BF203" s="13">
        <f t="shared" si="167"/>
        <v>44.222067746824763</v>
      </c>
      <c r="BG203" s="20">
        <f t="shared" si="168"/>
        <v>381.92184132571992</v>
      </c>
      <c r="BH203" s="59">
        <f t="shared" si="194"/>
        <v>672.48708117867409</v>
      </c>
      <c r="BI203" s="59">
        <f ca="1">AVERAGE(OFFSET($BH$3,0,0,'Données projet'!$E$11+1,1))-AVERAGE(OFFSET($H$3,0,0,'Données projet'!$E$11+1,1))</f>
        <v>289.06522051625166</v>
      </c>
      <c r="BJ203" s="59">
        <f t="shared" si="206"/>
        <v>173.19148969173838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234.00000000000045</v>
      </c>
      <c r="BZ203" s="13">
        <f>BY203*VLOOKUP('Données projet'!$B$12,Paramètres!$A$1:$I$89,3,0)*VLOOKUP('Données projet'!$B$12,Paramètres!$A$1:$I$89,5,0)</f>
        <v>189.82080000000036</v>
      </c>
      <c r="CA203" s="13">
        <f t="shared" si="170"/>
        <v>47.500332100049881</v>
      </c>
      <c r="CB203" s="20">
        <f t="shared" si="171"/>
        <v>413.33430507425419</v>
      </c>
      <c r="CC203" s="59">
        <f t="shared" si="195"/>
        <v>703.89954492720835</v>
      </c>
      <c r="CD203" s="59">
        <f ca="1">AVERAGE(OFFSET($CC$3,0,0,'Données projet'!$E$12+1,1))-AVERAGE(OFFSET($H$3,0,0,'Données projet'!$E$12+1,1))</f>
        <v>306.06916761900357</v>
      </c>
      <c r="CE203" s="59">
        <f t="shared" si="207"/>
        <v>258.90832875500337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4.6370725287897866E-27</v>
      </c>
      <c r="CN203" s="22">
        <f t="shared" si="172"/>
        <v>4.6370725287897866E-27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275.00000000000057</v>
      </c>
      <c r="CU203" s="17">
        <f>CT203*VLOOKUP('Données projet'!$B$13,Paramètres!$A$1:$I$89,3,0)*VLOOKUP('Données projet'!$B$13,Paramètres!$A$1:$I$89,5,0)</f>
        <v>184.4700000000004</v>
      </c>
      <c r="CV203" s="13">
        <f t="shared" si="173"/>
        <v>46.31525458251663</v>
      </c>
      <c r="CW203" s="20">
        <f t="shared" si="174"/>
        <v>401.95098506455048</v>
      </c>
      <c r="CX203" s="59">
        <f t="shared" si="196"/>
        <v>692.51622491750459</v>
      </c>
      <c r="CY203" s="59">
        <f ca="1">AVERAGE(OFFSET($CX$3,0,0,'Données projet'!$E$13+1,1))-AVERAGE(OFFSET($H$3,0,0,'Données projet'!$E$13+1,1))</f>
        <v>324.58754156328285</v>
      </c>
      <c r="CZ203" s="59">
        <f t="shared" si="208"/>
        <v>226.01037731977604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2.8119683411763694E-27</v>
      </c>
      <c r="DI203" s="22">
        <f t="shared" si="175"/>
        <v>2.8119683411763694E-27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3.4106051316484809E-13</v>
      </c>
      <c r="DP203" s="17">
        <f>DO203*VLOOKUP('Données projet'!$B$14,Paramètres!$A$1:$I$89,3,0)*VLOOKUP('Données projet'!$B$14,Paramètres!$A$1:$I$89,5,0)</f>
        <v>1.5961632016114892E-13</v>
      </c>
      <c r="DQ203" s="13">
        <f t="shared" si="176"/>
        <v>2.2708641912150958E-12</v>
      </c>
      <c r="DR203" s="20">
        <f t="shared" si="177"/>
        <v>4.2330868906469593E-12</v>
      </c>
      <c r="DS203" s="59">
        <f t="shared" si="197"/>
        <v>290.56523985295831</v>
      </c>
      <c r="DT203" s="59">
        <f ca="1">AVERAGE(OFFSET($DS$3,0,0,'Données projet'!$E$14+1,1))-AVERAGE(OFFSET($H$3,0,0,'Données projet'!$E$14+1,1))</f>
        <v>325.93182817189722</v>
      </c>
      <c r="DU203" s="59">
        <f t="shared" si="209"/>
        <v>280.04509991782709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5.6843418860808015E-14</v>
      </c>
      <c r="EK203" s="17">
        <f>EJ203*VLOOKUP('Données projet'!$B$15,Paramètres!$A$1:$I$89,3,0)*VLOOKUP('Données projet'!$B$15,Paramètres!$A$1:$I$89,5,0)</f>
        <v>4.5224624045658861E-14</v>
      </c>
      <c r="EL203" s="13">
        <f t="shared" si="179"/>
        <v>7.4514601661523691E-13</v>
      </c>
      <c r="EM203" s="20">
        <f t="shared" si="180"/>
        <v>1.3765621991510601E-12</v>
      </c>
      <c r="EN203" s="59">
        <f t="shared" si="198"/>
        <v>290.56523985295547</v>
      </c>
      <c r="EO203" s="59">
        <f ca="1">AVERAGE(OFFSET($EN$3,0,0,'Données projet'!$E$15+1,1))-AVERAGE(OFFSET($H$3,0,0,'Données projet'!$E$15+1,1))</f>
        <v>333.52903437536651</v>
      </c>
      <c r="EP203" s="59">
        <f t="shared" si="210"/>
        <v>359.47288701414777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3.3946647582220539E-2</v>
      </c>
      <c r="EX203" s="21">
        <f>EXP(-LN(2)/2)*EX202+(1-EXP(-LN(2)/2))/(LN(2)/2)*ER203*EU203*VLOOKUP('Données projet'!$B$15,Paramètres!$A$1:$I$89,3,0)*0.475*44/12</f>
        <v>6.5186538818179471E-27</v>
      </c>
      <c r="EY203" s="22">
        <f t="shared" si="181"/>
        <v>3.3946647582220539E-2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-2.8421709430404007E-13</v>
      </c>
      <c r="FF203" s="17">
        <f>FE203*VLOOKUP('Données projet'!$B$16,Paramètres!$A$1:$I$89,3,0)*VLOOKUP('Données projet'!$B$16,Paramètres!$A$1:$I$89,5,0)</f>
        <v>-1.69961822393816E-13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313.26988717307376</v>
      </c>
      <c r="FK203" s="59">
        <f t="shared" si="211"/>
        <v>248.17359813993201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8.0422730686006694E-2</v>
      </c>
      <c r="FR203" s="21">
        <f>EXP(-LN(2)/25)*FR202+(1-EXP(-LN(2)/25))/(LN(2)/25)*Calculateur!FM203*Calculateur!FO203*VLOOKUP('Données projet'!$B$16,Paramètres!$A$1:$I$89,3,0)*0.475*44/12</f>
        <v>6.7658628390240838E-2</v>
      </c>
      <c r="FS203" s="21">
        <f>EXP(-LN(2)/2)*FS202+(1-EXP(-LN(2)/2))/(LN(2)/2)*FM203*FP203*VLOOKUP('Données projet'!$B$16,Paramètres!$A$1:$I$89,3,0)*0.475*44/12</f>
        <v>1.0883358788141109E-25</v>
      </c>
      <c r="FT203" s="22">
        <f t="shared" si="184"/>
        <v>0.14808135907624753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181.00000000000009</v>
      </c>
      <c r="GA203" s="17">
        <f>FZ203*VLOOKUP('Données projet'!$B$17,Paramètres!$A$1:$I$89,3,0)*VLOOKUP('Données projet'!$B$17,Paramètres!$A$1:$I$89,5,0)</f>
        <v>194.82840000000007</v>
      </c>
      <c r="GB203" s="13">
        <f t="shared" si="185"/>
        <v>48.605879434898576</v>
      </c>
      <c r="GC203" s="20">
        <f t="shared" si="186"/>
        <v>423.98137001578181</v>
      </c>
      <c r="GD203" s="59">
        <f t="shared" si="200"/>
        <v>714.54660986873591</v>
      </c>
      <c r="GE203" s="59">
        <f ca="1">AVERAGE(OFFSET($GD$3,0,0,'Données projet'!$E$17+1,1))-AVERAGE(OFFSET($H$3,0,0,'Données projet'!$E$17+1,1))</f>
        <v>313.51355235711543</v>
      </c>
      <c r="GF203" s="59">
        <f t="shared" si="212"/>
        <v>186.0840067781198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0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0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107</v>
      </c>
      <c r="BA204" s="81" t="s">
        <v>107</v>
      </c>
      <c r="BV204" s="81" t="s">
        <v>107</v>
      </c>
      <c r="CQ204" s="81" t="s">
        <v>107</v>
      </c>
      <c r="DL204" s="81" t="s">
        <v>107</v>
      </c>
      <c r="EG204" s="81" t="s">
        <v>107</v>
      </c>
      <c r="FB204" s="81" t="s">
        <v>107</v>
      </c>
      <c r="FW204" s="81" t="s">
        <v>107</v>
      </c>
      <c r="GR204" s="81" t="s">
        <v>107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1.2240347367580502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1.2548684989282006</v>
      </c>
      <c r="BA205" s="82">
        <f>EXP(LN('Données projet'!B88)/'Données projet'!A88)</f>
        <v>1.1644235083052243</v>
      </c>
      <c r="BV205" s="82">
        <f>EXP(LN('Données projet'!B114)/'Données projet'!A114)</f>
        <v>1.2357836771486921</v>
      </c>
      <c r="CQ205" s="82">
        <f>EXP(LN('Données projet'!B140)/'Données projet'!A140)</f>
        <v>1.2240347367580502</v>
      </c>
      <c r="DL205" s="82">
        <f>EXP(LN('Données projet'!B166)/'Données projet'!A166)</f>
        <v>1.1963772029987372</v>
      </c>
      <c r="EG205" s="82">
        <f>EXP(LN('Données projet'!B192)/'Données projet'!A192)</f>
        <v>1.2557008269631629</v>
      </c>
      <c r="FB205" s="82">
        <f>EXP(LN('Données projet'!B218)/'Données projet'!A218)</f>
        <v>1.2691631451226497</v>
      </c>
      <c r="FW205" s="82">
        <f>EXP(LN('Données projet'!B244)/'Données projet'!A244)</f>
        <v>1.1644235083052243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108</v>
      </c>
      <c r="B1" s="112" t="s">
        <v>109</v>
      </c>
      <c r="C1" s="113" t="s">
        <v>110</v>
      </c>
      <c r="D1" s="112" t="s">
        <v>111</v>
      </c>
      <c r="E1" s="113" t="s">
        <v>112</v>
      </c>
      <c r="F1" s="113" t="s">
        <v>111</v>
      </c>
      <c r="G1" s="113" t="s">
        <v>113</v>
      </c>
      <c r="H1" s="113" t="s">
        <v>111</v>
      </c>
      <c r="I1" s="114" t="s">
        <v>114</v>
      </c>
      <c r="J1" s="78"/>
      <c r="K1" s="78"/>
      <c r="L1" s="78"/>
      <c r="M1" s="78"/>
      <c r="N1" s="78"/>
    </row>
    <row r="2" spans="1:16" x14ac:dyDescent="0.3">
      <c r="A2" s="115" t="s">
        <v>16</v>
      </c>
      <c r="B2" s="116" t="s">
        <v>115</v>
      </c>
      <c r="C2" s="117">
        <v>0.62</v>
      </c>
      <c r="D2" s="117" t="s">
        <v>116</v>
      </c>
      <c r="E2" s="117">
        <v>1.56</v>
      </c>
      <c r="F2" s="117" t="s">
        <v>117</v>
      </c>
      <c r="G2" s="118">
        <v>0.43</v>
      </c>
      <c r="H2" s="119" t="s">
        <v>118</v>
      </c>
      <c r="I2" s="120">
        <v>0.25</v>
      </c>
      <c r="J2" s="78"/>
      <c r="K2" s="78"/>
      <c r="L2" s="78"/>
      <c r="M2" s="78"/>
      <c r="N2" s="78"/>
      <c r="O2" s="282" t="s">
        <v>119</v>
      </c>
      <c r="P2" s="121">
        <v>0</v>
      </c>
    </row>
    <row r="3" spans="1:16" ht="15" thickBot="1" x14ac:dyDescent="0.35">
      <c r="A3" s="122" t="s">
        <v>120</v>
      </c>
      <c r="B3" s="123" t="s">
        <v>121</v>
      </c>
      <c r="C3" s="124">
        <v>0.64</v>
      </c>
      <c r="D3" s="124" t="s">
        <v>116</v>
      </c>
      <c r="E3" s="124">
        <v>1.56</v>
      </c>
      <c r="F3" s="125" t="s">
        <v>117</v>
      </c>
      <c r="G3" s="126">
        <v>0.43</v>
      </c>
      <c r="H3" s="124" t="s">
        <v>118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122</v>
      </c>
      <c r="B4" s="123" t="s">
        <v>123</v>
      </c>
      <c r="C4" s="124">
        <v>0.42</v>
      </c>
      <c r="D4" s="124" t="s">
        <v>116</v>
      </c>
      <c r="E4" s="124">
        <v>1.56</v>
      </c>
      <c r="F4" s="125" t="s">
        <v>117</v>
      </c>
      <c r="G4" s="126">
        <v>0.43</v>
      </c>
      <c r="H4" s="124" t="s">
        <v>118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124</v>
      </c>
      <c r="B5" s="123" t="s">
        <v>125</v>
      </c>
      <c r="C5" s="124">
        <v>0.42</v>
      </c>
      <c r="D5" s="124" t="s">
        <v>116</v>
      </c>
      <c r="E5" s="124">
        <v>1.56</v>
      </c>
      <c r="F5" s="125" t="s">
        <v>117</v>
      </c>
      <c r="G5" s="126">
        <v>0.43</v>
      </c>
      <c r="H5" s="124" t="s">
        <v>118</v>
      </c>
      <c r="I5" s="127">
        <v>0.25</v>
      </c>
      <c r="J5" s="78"/>
      <c r="K5" s="78"/>
      <c r="L5" s="78"/>
      <c r="M5" s="78"/>
      <c r="N5" s="78"/>
      <c r="O5" s="282" t="s">
        <v>126</v>
      </c>
      <c r="P5" s="121">
        <v>0</v>
      </c>
    </row>
    <row r="6" spans="1:16" x14ac:dyDescent="0.3">
      <c r="A6" s="122" t="s">
        <v>127</v>
      </c>
      <c r="B6" s="123" t="s">
        <v>128</v>
      </c>
      <c r="C6" s="124">
        <v>0.42</v>
      </c>
      <c r="D6" s="124" t="s">
        <v>116</v>
      </c>
      <c r="E6" s="124">
        <v>1.56</v>
      </c>
      <c r="F6" s="125" t="s">
        <v>117</v>
      </c>
      <c r="G6" s="126">
        <v>0.43</v>
      </c>
      <c r="H6" s="124" t="s">
        <v>118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19</v>
      </c>
      <c r="B7" s="123" t="s">
        <v>129</v>
      </c>
      <c r="C7" s="124">
        <v>0.52</v>
      </c>
      <c r="D7" s="124" t="s">
        <v>116</v>
      </c>
      <c r="E7" s="124">
        <v>1.56</v>
      </c>
      <c r="F7" s="125" t="s">
        <v>117</v>
      </c>
      <c r="G7" s="126">
        <v>0.43</v>
      </c>
      <c r="H7" s="124" t="s">
        <v>118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130</v>
      </c>
      <c r="B8" s="123" t="s">
        <v>131</v>
      </c>
      <c r="C8" s="124">
        <v>0.36</v>
      </c>
      <c r="D8" s="124" t="s">
        <v>116</v>
      </c>
      <c r="E8" s="124">
        <v>1.3</v>
      </c>
      <c r="F8" s="125" t="s">
        <v>117</v>
      </c>
      <c r="G8" s="126">
        <v>0.55000000000000004</v>
      </c>
      <c r="H8" s="124" t="s">
        <v>132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21</v>
      </c>
      <c r="B9" s="123" t="s">
        <v>133</v>
      </c>
      <c r="C9" s="124">
        <v>0.61</v>
      </c>
      <c r="D9" s="124" t="s">
        <v>116</v>
      </c>
      <c r="E9" s="124">
        <v>1.56</v>
      </c>
      <c r="F9" s="125" t="s">
        <v>117</v>
      </c>
      <c r="G9" s="126">
        <v>0.43</v>
      </c>
      <c r="H9" s="124" t="s">
        <v>118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134</v>
      </c>
      <c r="B10" s="123" t="s">
        <v>135</v>
      </c>
      <c r="C10" s="124">
        <v>0.66</v>
      </c>
      <c r="D10" s="124" t="s">
        <v>116</v>
      </c>
      <c r="E10" s="124">
        <v>1.56</v>
      </c>
      <c r="F10" s="125" t="s">
        <v>117</v>
      </c>
      <c r="G10" s="126">
        <v>0.43</v>
      </c>
      <c r="H10" s="124" t="s">
        <v>118</v>
      </c>
      <c r="I10" s="127">
        <v>0.25</v>
      </c>
      <c r="J10" s="78"/>
      <c r="K10" s="78"/>
      <c r="L10" s="78"/>
      <c r="M10" s="78"/>
      <c r="N10" s="78"/>
      <c r="O10" s="282" t="s">
        <v>136</v>
      </c>
      <c r="P10" s="121">
        <v>0</v>
      </c>
    </row>
    <row r="11" spans="1:16" ht="15" thickBot="1" x14ac:dyDescent="0.35">
      <c r="A11" s="122" t="s">
        <v>137</v>
      </c>
      <c r="B11" s="123" t="s">
        <v>138</v>
      </c>
      <c r="C11" s="124">
        <v>0.47</v>
      </c>
      <c r="D11" s="124" t="s">
        <v>116</v>
      </c>
      <c r="E11" s="124">
        <v>1.56</v>
      </c>
      <c r="F11" s="125" t="s">
        <v>117</v>
      </c>
      <c r="G11" s="126">
        <v>0.43</v>
      </c>
      <c r="H11" s="124" t="s">
        <v>118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23</v>
      </c>
      <c r="B12" s="123" t="s">
        <v>139</v>
      </c>
      <c r="C12" s="124">
        <v>0.67</v>
      </c>
      <c r="D12" s="124" t="s">
        <v>116</v>
      </c>
      <c r="E12" s="124">
        <v>1.56</v>
      </c>
      <c r="F12" s="125" t="s">
        <v>117</v>
      </c>
      <c r="G12" s="126">
        <v>0.43</v>
      </c>
      <c r="H12" s="124" t="s">
        <v>140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141</v>
      </c>
      <c r="B13" s="123" t="s">
        <v>142</v>
      </c>
      <c r="C13" s="124">
        <v>0.7</v>
      </c>
      <c r="D13" s="124" t="s">
        <v>116</v>
      </c>
      <c r="E13" s="124">
        <v>1.56</v>
      </c>
      <c r="F13" s="125" t="s">
        <v>117</v>
      </c>
      <c r="G13" s="126">
        <v>0.43</v>
      </c>
      <c r="H13" s="124" t="s">
        <v>140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143</v>
      </c>
      <c r="B14" s="123" t="s">
        <v>144</v>
      </c>
      <c r="C14" s="124">
        <v>0.54</v>
      </c>
      <c r="D14" s="124" t="s">
        <v>116</v>
      </c>
      <c r="E14" s="124">
        <v>1.56</v>
      </c>
      <c r="F14" s="125" t="s">
        <v>117</v>
      </c>
      <c r="G14" s="126">
        <v>0.43</v>
      </c>
      <c r="H14" s="124" t="s">
        <v>140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27</v>
      </c>
      <c r="B15" s="123" t="s">
        <v>145</v>
      </c>
      <c r="C15" s="124">
        <v>0.65</v>
      </c>
      <c r="D15" s="124" t="s">
        <v>116</v>
      </c>
      <c r="E15" s="124">
        <v>1.56</v>
      </c>
      <c r="F15" s="125" t="s">
        <v>117</v>
      </c>
      <c r="G15" s="126">
        <v>0.43</v>
      </c>
      <c r="H15" s="124" t="s">
        <v>140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146</v>
      </c>
      <c r="B16" s="123" t="s">
        <v>147</v>
      </c>
      <c r="C16" s="124">
        <v>0.56000000000000005</v>
      </c>
      <c r="D16" s="124" t="s">
        <v>116</v>
      </c>
      <c r="E16" s="124">
        <v>1.56</v>
      </c>
      <c r="F16" s="125" t="s">
        <v>117</v>
      </c>
      <c r="G16" s="126">
        <v>0.43</v>
      </c>
      <c r="H16" s="124" t="s">
        <v>140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25</v>
      </c>
      <c r="B17" s="123" t="s">
        <v>148</v>
      </c>
      <c r="C17" s="124">
        <v>0.57999999999999996</v>
      </c>
      <c r="D17" s="124" t="s">
        <v>116</v>
      </c>
      <c r="E17" s="124">
        <v>1.56</v>
      </c>
      <c r="F17" s="125" t="s">
        <v>117</v>
      </c>
      <c r="G17" s="126">
        <v>0.43</v>
      </c>
      <c r="H17" s="124" t="s">
        <v>140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149</v>
      </c>
      <c r="B18" s="123" t="s">
        <v>150</v>
      </c>
      <c r="C18" s="124">
        <v>0.64</v>
      </c>
      <c r="D18" s="124" t="s">
        <v>116</v>
      </c>
      <c r="E18" s="124">
        <v>1.56</v>
      </c>
      <c r="F18" s="125" t="s">
        <v>117</v>
      </c>
      <c r="G18" s="126">
        <v>0.43</v>
      </c>
      <c r="H18" s="124" t="s">
        <v>140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151</v>
      </c>
      <c r="B19" s="123" t="s">
        <v>152</v>
      </c>
      <c r="C19" s="124">
        <v>0.73</v>
      </c>
      <c r="D19" s="124" t="s">
        <v>116</v>
      </c>
      <c r="E19" s="124">
        <v>1.56</v>
      </c>
      <c r="F19" s="125" t="s">
        <v>117</v>
      </c>
      <c r="G19" s="126">
        <v>0.43</v>
      </c>
      <c r="H19" s="124" t="s">
        <v>140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29</v>
      </c>
      <c r="B20" s="123" t="s">
        <v>153</v>
      </c>
      <c r="C20" s="124">
        <v>0.69</v>
      </c>
      <c r="D20" s="124" t="s">
        <v>154</v>
      </c>
      <c r="E20" s="124">
        <v>1.56</v>
      </c>
      <c r="F20" s="125" t="s">
        <v>117</v>
      </c>
      <c r="G20" s="126">
        <v>0.43</v>
      </c>
      <c r="H20" s="124" t="s">
        <v>155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156</v>
      </c>
      <c r="B21" s="123" t="s">
        <v>157</v>
      </c>
      <c r="C21" s="124">
        <v>0.36</v>
      </c>
      <c r="D21" s="124" t="s">
        <v>116</v>
      </c>
      <c r="E21" s="124">
        <v>1.3</v>
      </c>
      <c r="F21" s="125" t="s">
        <v>117</v>
      </c>
      <c r="G21" s="126">
        <v>0.55000000000000004</v>
      </c>
      <c r="H21" s="124" t="s">
        <v>132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158</v>
      </c>
      <c r="B22" s="123" t="s">
        <v>159</v>
      </c>
      <c r="C22" s="124">
        <v>0.4</v>
      </c>
      <c r="D22" s="124" t="s">
        <v>116</v>
      </c>
      <c r="E22" s="124">
        <v>1.3</v>
      </c>
      <c r="F22" s="125" t="s">
        <v>117</v>
      </c>
      <c r="G22" s="126">
        <v>0.55000000000000004</v>
      </c>
      <c r="H22" s="124" t="s">
        <v>132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160</v>
      </c>
      <c r="B23" s="123" t="s">
        <v>161</v>
      </c>
      <c r="C23" s="124">
        <v>0.43</v>
      </c>
      <c r="D23" s="124" t="s">
        <v>116</v>
      </c>
      <c r="E23" s="124">
        <v>1.3</v>
      </c>
      <c r="F23" s="125" t="s">
        <v>117</v>
      </c>
      <c r="G23" s="126">
        <v>0.55000000000000004</v>
      </c>
      <c r="H23" s="124" t="s">
        <v>132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162</v>
      </c>
      <c r="B24" s="123" t="s">
        <v>163</v>
      </c>
      <c r="C24" s="124">
        <v>0.37</v>
      </c>
      <c r="D24" s="124" t="s">
        <v>116</v>
      </c>
      <c r="E24" s="124">
        <v>1.3</v>
      </c>
      <c r="F24" s="125" t="s">
        <v>117</v>
      </c>
      <c r="G24" s="126">
        <v>0.55000000000000004</v>
      </c>
      <c r="H24" s="124" t="s">
        <v>140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164</v>
      </c>
      <c r="B25" s="123" t="s">
        <v>165</v>
      </c>
      <c r="C25" s="124">
        <v>0.36</v>
      </c>
      <c r="D25" s="124" t="s">
        <v>116</v>
      </c>
      <c r="E25" s="124">
        <v>1.3</v>
      </c>
      <c r="F25" s="125" t="s">
        <v>117</v>
      </c>
      <c r="G25" s="126">
        <v>0.55000000000000004</v>
      </c>
      <c r="H25" s="124" t="s">
        <v>140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31</v>
      </c>
      <c r="B26" s="123" t="s">
        <v>166</v>
      </c>
      <c r="C26" s="124">
        <v>0.56000000000000005</v>
      </c>
      <c r="D26" s="124" t="s">
        <v>116</v>
      </c>
      <c r="E26" s="124">
        <v>1.56</v>
      </c>
      <c r="F26" s="125" t="s">
        <v>117</v>
      </c>
      <c r="G26" s="126">
        <v>0.53</v>
      </c>
      <c r="H26" s="124" t="s">
        <v>167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33</v>
      </c>
      <c r="B27" s="123" t="s">
        <v>168</v>
      </c>
      <c r="C27" s="124">
        <v>0.51</v>
      </c>
      <c r="D27" s="124" t="s">
        <v>116</v>
      </c>
      <c r="E27" s="124">
        <v>1.56</v>
      </c>
      <c r="F27" s="125" t="s">
        <v>117</v>
      </c>
      <c r="G27" s="126">
        <v>0.53</v>
      </c>
      <c r="H27" s="124" t="s">
        <v>167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169</v>
      </c>
      <c r="B28" s="123" t="s">
        <v>170</v>
      </c>
      <c r="C28" s="124">
        <v>0.51</v>
      </c>
      <c r="D28" s="124" t="s">
        <v>116</v>
      </c>
      <c r="E28" s="124">
        <v>1.56</v>
      </c>
      <c r="F28" s="125" t="s">
        <v>117</v>
      </c>
      <c r="G28" s="126">
        <v>0.53</v>
      </c>
      <c r="H28" s="124" t="s">
        <v>167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171</v>
      </c>
      <c r="B29" s="123" t="s">
        <v>171</v>
      </c>
      <c r="C29" s="124">
        <v>0.56000000000000005</v>
      </c>
      <c r="D29" s="124" t="s">
        <v>116</v>
      </c>
      <c r="E29" s="124">
        <v>1.56</v>
      </c>
      <c r="F29" s="125" t="s">
        <v>117</v>
      </c>
      <c r="G29" s="126">
        <v>0.53</v>
      </c>
      <c r="H29" s="124" t="s">
        <v>167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35</v>
      </c>
      <c r="B30" s="123" t="s">
        <v>172</v>
      </c>
      <c r="C30" s="124">
        <v>0.55000000000000004</v>
      </c>
      <c r="D30" s="124" t="s">
        <v>116</v>
      </c>
      <c r="E30" s="124">
        <v>1.56</v>
      </c>
      <c r="F30" s="125" t="s">
        <v>117</v>
      </c>
      <c r="G30" s="126">
        <v>0.53</v>
      </c>
      <c r="H30" s="124" t="s">
        <v>140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173</v>
      </c>
      <c r="B31" s="123" t="s">
        <v>174</v>
      </c>
      <c r="C31" s="124">
        <v>0.56000000000000005</v>
      </c>
      <c r="D31" s="124" t="s">
        <v>116</v>
      </c>
      <c r="E31" s="124">
        <v>1.56</v>
      </c>
      <c r="F31" s="125" t="s">
        <v>117</v>
      </c>
      <c r="G31" s="126">
        <v>0.43</v>
      </c>
      <c r="H31" s="124" t="s">
        <v>118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175</v>
      </c>
      <c r="B32" s="123" t="s">
        <v>176</v>
      </c>
      <c r="C32" s="124">
        <v>0.48</v>
      </c>
      <c r="D32" s="124" t="s">
        <v>116</v>
      </c>
      <c r="E32" s="124">
        <v>1.3</v>
      </c>
      <c r="F32" s="125" t="s">
        <v>117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178</v>
      </c>
      <c r="B33" s="123" t="s">
        <v>179</v>
      </c>
      <c r="C33" s="124">
        <v>0.42</v>
      </c>
      <c r="D33" s="124" t="s">
        <v>116</v>
      </c>
      <c r="E33" s="124">
        <v>1.3</v>
      </c>
      <c r="F33" s="125" t="s">
        <v>117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117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184</v>
      </c>
      <c r="B35" s="123" t="s">
        <v>185</v>
      </c>
      <c r="C35" s="124">
        <v>0.5</v>
      </c>
      <c r="D35" s="124" t="s">
        <v>116</v>
      </c>
      <c r="E35" s="124">
        <v>1.56</v>
      </c>
      <c r="F35" s="125" t="s">
        <v>117</v>
      </c>
      <c r="G35" s="126">
        <v>0.43</v>
      </c>
      <c r="H35" s="124" t="s">
        <v>118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186</v>
      </c>
      <c r="B36" s="123" t="s">
        <v>187</v>
      </c>
      <c r="C36" s="124">
        <v>0.55000000000000004</v>
      </c>
      <c r="D36" s="124" t="s">
        <v>116</v>
      </c>
      <c r="E36" s="124">
        <v>1.56</v>
      </c>
      <c r="F36" s="125" t="s">
        <v>117</v>
      </c>
      <c r="G36" s="126">
        <v>0.53</v>
      </c>
      <c r="H36" s="124" t="s">
        <v>167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188</v>
      </c>
      <c r="B37" s="123" t="s">
        <v>189</v>
      </c>
      <c r="C37" s="124">
        <v>0.52</v>
      </c>
      <c r="D37" s="124" t="s">
        <v>116</v>
      </c>
      <c r="E37" s="124">
        <v>1.56</v>
      </c>
      <c r="F37" s="125" t="s">
        <v>117</v>
      </c>
      <c r="G37" s="126">
        <v>0.53</v>
      </c>
      <c r="H37" s="124" t="s">
        <v>167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190</v>
      </c>
      <c r="B38" s="123" t="s">
        <v>191</v>
      </c>
      <c r="C38" s="124">
        <v>0.52</v>
      </c>
      <c r="D38" s="124" t="s">
        <v>116</v>
      </c>
      <c r="E38" s="124">
        <v>1.56</v>
      </c>
      <c r="F38" s="125" t="s">
        <v>117</v>
      </c>
      <c r="G38" s="126">
        <v>0.43</v>
      </c>
      <c r="H38" s="124" t="s">
        <v>118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117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117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117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117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117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117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117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117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117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117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117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117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117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117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117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117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117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117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117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117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117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117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117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218</v>
      </c>
      <c r="B62" s="123" t="s">
        <v>219</v>
      </c>
      <c r="C62" s="124">
        <v>0.37</v>
      </c>
      <c r="D62" s="124" t="s">
        <v>116</v>
      </c>
      <c r="E62" s="124">
        <v>1.56</v>
      </c>
      <c r="F62" s="125" t="s">
        <v>117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220</v>
      </c>
      <c r="B63" s="123" t="s">
        <v>221</v>
      </c>
      <c r="C63" s="124">
        <v>0.45</v>
      </c>
      <c r="D63" s="124" t="s">
        <v>116</v>
      </c>
      <c r="E63" s="124">
        <v>1.3</v>
      </c>
      <c r="F63" s="125" t="s">
        <v>117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223</v>
      </c>
      <c r="B64" s="123" t="s">
        <v>224</v>
      </c>
      <c r="C64" s="124">
        <v>0.39</v>
      </c>
      <c r="D64" s="124" t="s">
        <v>116</v>
      </c>
      <c r="E64" s="124">
        <v>1.3</v>
      </c>
      <c r="F64" s="125" t="s">
        <v>117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225</v>
      </c>
      <c r="B65" s="123" t="s">
        <v>226</v>
      </c>
      <c r="C65" s="124">
        <v>0.44</v>
      </c>
      <c r="D65" s="124" t="s">
        <v>116</v>
      </c>
      <c r="E65" s="124">
        <v>1.3</v>
      </c>
      <c r="F65" s="125" t="s">
        <v>117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227</v>
      </c>
      <c r="B66" s="123" t="s">
        <v>228</v>
      </c>
      <c r="C66" s="124">
        <v>0.46</v>
      </c>
      <c r="D66" s="124" t="s">
        <v>116</v>
      </c>
      <c r="E66" s="124">
        <v>1.3</v>
      </c>
      <c r="F66" s="125" t="s">
        <v>117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229</v>
      </c>
      <c r="B67" s="123" t="s">
        <v>230</v>
      </c>
      <c r="C67" s="124">
        <v>0.46</v>
      </c>
      <c r="D67" s="124" t="s">
        <v>116</v>
      </c>
      <c r="E67" s="124">
        <v>1.3</v>
      </c>
      <c r="F67" s="125" t="s">
        <v>117</v>
      </c>
      <c r="G67" s="126">
        <v>0.45</v>
      </c>
      <c r="H67" s="124" t="s">
        <v>140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231</v>
      </c>
      <c r="B68" s="123" t="s">
        <v>232</v>
      </c>
      <c r="C68" s="124">
        <v>0.44</v>
      </c>
      <c r="D68" s="124" t="s">
        <v>116</v>
      </c>
      <c r="E68" s="124">
        <v>1.3</v>
      </c>
      <c r="F68" s="125" t="s">
        <v>117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233</v>
      </c>
      <c r="B69" s="123" t="s">
        <v>234</v>
      </c>
      <c r="C69" s="124">
        <v>0.46</v>
      </c>
      <c r="D69" s="124" t="s">
        <v>116</v>
      </c>
      <c r="E69" s="124">
        <v>1.3</v>
      </c>
      <c r="F69" s="125" t="s">
        <v>117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235</v>
      </c>
      <c r="B70" s="123" t="s">
        <v>236</v>
      </c>
      <c r="C70" s="124">
        <v>0.48</v>
      </c>
      <c r="D70" s="124" t="s">
        <v>116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117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241</v>
      </c>
      <c r="B72" s="123" t="s">
        <v>242</v>
      </c>
      <c r="C72" s="124">
        <v>0.44</v>
      </c>
      <c r="D72" s="124" t="s">
        <v>116</v>
      </c>
      <c r="E72" s="124">
        <v>1.3</v>
      </c>
      <c r="F72" s="125" t="s">
        <v>117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117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246</v>
      </c>
      <c r="B74" s="123" t="s">
        <v>247</v>
      </c>
      <c r="C74" s="124">
        <v>0.34</v>
      </c>
      <c r="D74" s="124" t="s">
        <v>116</v>
      </c>
      <c r="E74" s="124">
        <v>1.3</v>
      </c>
      <c r="F74" s="125" t="s">
        <v>117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248</v>
      </c>
      <c r="B75" s="123" t="s">
        <v>249</v>
      </c>
      <c r="C75" s="124">
        <v>0.5</v>
      </c>
      <c r="D75" s="124" t="s">
        <v>116</v>
      </c>
      <c r="E75" s="124">
        <v>1.56</v>
      </c>
      <c r="F75" s="125" t="s">
        <v>117</v>
      </c>
      <c r="G75" s="126">
        <v>0.53</v>
      </c>
      <c r="H75" s="124" t="s">
        <v>167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250</v>
      </c>
      <c r="B76" s="123" t="s">
        <v>251</v>
      </c>
      <c r="C76" s="124">
        <v>0.57999999999999996</v>
      </c>
      <c r="D76" s="124" t="s">
        <v>116</v>
      </c>
      <c r="E76" s="124">
        <v>1.56</v>
      </c>
      <c r="F76" s="125" t="s">
        <v>117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253</v>
      </c>
      <c r="B77" s="123" t="s">
        <v>254</v>
      </c>
      <c r="C77" s="124">
        <v>0.37</v>
      </c>
      <c r="D77" s="124" t="s">
        <v>116</v>
      </c>
      <c r="E77" s="124">
        <v>1.3</v>
      </c>
      <c r="F77" s="125" t="s">
        <v>117</v>
      </c>
      <c r="G77" s="126">
        <v>0.55000000000000004</v>
      </c>
      <c r="H77" s="124" t="s">
        <v>140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255</v>
      </c>
      <c r="B78" s="123" t="s">
        <v>256</v>
      </c>
      <c r="C78" s="124">
        <v>0.37</v>
      </c>
      <c r="D78" s="124" t="s">
        <v>116</v>
      </c>
      <c r="E78" s="124">
        <v>1.3</v>
      </c>
      <c r="F78" s="125" t="s">
        <v>117</v>
      </c>
      <c r="G78" s="126">
        <v>0.55000000000000004</v>
      </c>
      <c r="H78" s="124" t="s">
        <v>140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257</v>
      </c>
      <c r="B79" s="123" t="s">
        <v>258</v>
      </c>
      <c r="C79" s="124">
        <v>0.38</v>
      </c>
      <c r="D79" s="124" t="s">
        <v>116</v>
      </c>
      <c r="E79" s="124">
        <v>1.3</v>
      </c>
      <c r="F79" s="125" t="s">
        <v>117</v>
      </c>
      <c r="G79" s="126">
        <v>0.55000000000000004</v>
      </c>
      <c r="H79" s="124" t="s">
        <v>132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259</v>
      </c>
      <c r="B80" s="123" t="s">
        <v>260</v>
      </c>
      <c r="C80" s="124">
        <v>0.36</v>
      </c>
      <c r="D80" s="124" t="s">
        <v>116</v>
      </c>
      <c r="E80" s="124">
        <v>1.3</v>
      </c>
      <c r="F80" s="125" t="s">
        <v>117</v>
      </c>
      <c r="G80" s="126">
        <v>0.55000000000000004</v>
      </c>
      <c r="H80" s="124" t="s">
        <v>132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261</v>
      </c>
      <c r="B81" s="123" t="s">
        <v>262</v>
      </c>
      <c r="C81" s="124">
        <v>0.37</v>
      </c>
      <c r="D81" s="124" t="s">
        <v>116</v>
      </c>
      <c r="E81" s="124">
        <v>1.56</v>
      </c>
      <c r="F81" s="125" t="s">
        <v>117</v>
      </c>
      <c r="G81" s="126">
        <v>0.43</v>
      </c>
      <c r="H81" s="124" t="s">
        <v>118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117</v>
      </c>
      <c r="G82" s="126">
        <v>0.55000000000000004</v>
      </c>
      <c r="H82" s="124" t="s">
        <v>132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266</v>
      </c>
      <c r="B83" s="123" t="s">
        <v>267</v>
      </c>
      <c r="C83" s="124">
        <v>0.34</v>
      </c>
      <c r="D83" s="124" t="s">
        <v>116</v>
      </c>
      <c r="E83" s="124">
        <v>1.3</v>
      </c>
      <c r="F83" s="125" t="s">
        <v>117</v>
      </c>
      <c r="G83" s="126">
        <v>0.55000000000000004</v>
      </c>
      <c r="H83" s="124" t="s">
        <v>132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268</v>
      </c>
      <c r="B84" s="123" t="s">
        <v>269</v>
      </c>
      <c r="C84" s="124">
        <v>0.31</v>
      </c>
      <c r="D84" s="124" t="s">
        <v>116</v>
      </c>
      <c r="E84" s="124">
        <v>1.3</v>
      </c>
      <c r="F84" s="125" t="s">
        <v>117</v>
      </c>
      <c r="G84" s="126">
        <v>0.55000000000000004</v>
      </c>
      <c r="H84" s="124" t="s">
        <v>132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270</v>
      </c>
      <c r="B85" s="123" t="s">
        <v>271</v>
      </c>
      <c r="C85" s="124">
        <v>0.43</v>
      </c>
      <c r="D85" s="124" t="s">
        <v>116</v>
      </c>
      <c r="E85" s="124">
        <v>1.56</v>
      </c>
      <c r="F85" s="125" t="s">
        <v>117</v>
      </c>
      <c r="G85" s="126">
        <v>0.53</v>
      </c>
      <c r="H85" s="124" t="s">
        <v>167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272</v>
      </c>
      <c r="B86" s="123" t="s">
        <v>273</v>
      </c>
      <c r="C86" s="124">
        <v>0.38</v>
      </c>
      <c r="D86" s="124" t="s">
        <v>116</v>
      </c>
      <c r="E86" s="124">
        <v>1.56</v>
      </c>
      <c r="F86" s="125" t="s">
        <v>117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117</v>
      </c>
      <c r="G87" s="255">
        <v>0.43</v>
      </c>
      <c r="H87" s="253" t="s">
        <v>118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278</v>
      </c>
      <c r="B88" s="130"/>
      <c r="C88" s="124">
        <v>0.42</v>
      </c>
      <c r="D88" s="124" t="s">
        <v>116</v>
      </c>
      <c r="E88" s="124">
        <v>1.3</v>
      </c>
      <c r="F88" s="125" t="s">
        <v>117</v>
      </c>
      <c r="G88" s="131"/>
      <c r="H88" s="130"/>
      <c r="I88" s="132"/>
    </row>
    <row r="89" spans="1:14" ht="15" thickBot="1" x14ac:dyDescent="0.35">
      <c r="A89" s="133" t="s">
        <v>77</v>
      </c>
      <c r="B89" s="134"/>
      <c r="C89" s="135">
        <v>0.56999999999999995</v>
      </c>
      <c r="D89" s="136" t="s">
        <v>116</v>
      </c>
      <c r="E89" s="135">
        <v>1.56</v>
      </c>
      <c r="F89" s="135" t="s">
        <v>117</v>
      </c>
      <c r="G89" s="134"/>
      <c r="H89" s="134"/>
      <c r="I89" s="137"/>
    </row>
    <row r="93" spans="1:14" x14ac:dyDescent="0.3">
      <c r="A93" s="122" t="s">
        <v>78</v>
      </c>
    </row>
    <row r="94" spans="1:14" x14ac:dyDescent="0.3">
      <c r="A94" s="122" t="s">
        <v>79</v>
      </c>
    </row>
    <row r="95" spans="1:14" x14ac:dyDescent="0.3">
      <c r="A95" s="122" t="s">
        <v>80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J36" sqref="J3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3" t="s">
        <v>279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pubescent</v>
      </c>
      <c r="B6" s="146">
        <f>'Données projet'!D9</f>
        <v>7.4355456258954007</v>
      </c>
      <c r="C6" s="147">
        <f ca="1">IF(OR('Données projet'!B9="",'Données projet'!C9="",'Données projet'!C9=0%),0,Calculateur!S3)</f>
        <v>452.67426184967104</v>
      </c>
      <c r="D6" s="147">
        <f>IF(OR('Données projet'!B9="",'Données projet'!C9="",'Données projet'!C9=0%),0,Calculateur!T3)</f>
        <v>310.47823616327639</v>
      </c>
      <c r="E6" s="147">
        <f ca="1">MIN(C6,D6)</f>
        <v>310.47823616327639</v>
      </c>
      <c r="F6" s="147">
        <f ca="1">E6*B6</f>
        <v>2308.5750908395689</v>
      </c>
      <c r="G6" s="147">
        <f ca="1">F6*(100%-'Données projet'!$C$24)*(100%-'Données projet'!$C$25)*(100%-'Données projet'!$C$26)*(100%-'Données projet'!$C$27)</f>
        <v>2077.7175817556122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79.93211547837555</v>
      </c>
      <c r="K6" s="151">
        <f>J6*(100%-'Données projet'!$C$24)*(100%-'Données projet'!$C$25)*(100%-'Données projet'!$C$26)*(100%-'Données projet'!$C$27)</f>
        <v>71.938903930538004</v>
      </c>
      <c r="L6" s="152">
        <f ca="1">G6+I6+K6</f>
        <v>2149.6564856861501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chevelu</v>
      </c>
      <c r="B7" s="154">
        <f>'Données projet'!D10</f>
        <v>5.9686593295873314</v>
      </c>
      <c r="C7" s="147">
        <f ca="1">IF(OR('Données projet'!B10="",'Données projet'!C10="",'Données projet'!C10=0%),0,Calculateur!AN3)</f>
        <v>528.45201982036087</v>
      </c>
      <c r="D7" s="147">
        <f>IF(OR('Données projet'!B10="",'Données projet'!C10="",'Données projet'!C10=0%),0,Calculateur!AO3)</f>
        <v>321.23004033257985</v>
      </c>
      <c r="E7" s="147">
        <f t="shared" ref="E7:E15" ca="1" si="0">MIN(C7,D7)</f>
        <v>321.23004033257985</v>
      </c>
      <c r="F7" s="147">
        <f t="shared" ref="F7:F15" ca="1" si="1">E7*B7</f>
        <v>1917.3126771747675</v>
      </c>
      <c r="G7" s="147">
        <f ca="1">F7*(100%-'Données projet'!$C$24)*(100%-'Données projet'!$C$25)*(100%-'Données projet'!$C$26)*(100%-'Données projet'!$C$27)</f>
        <v>1725.5814094572909</v>
      </c>
      <c r="H7" s="155">
        <f>IF(OR('Données projet'!B10="",'Données projet'!C10="",'Données projet'!C10=0%),0,AVERAGE(Calculateur!$AX$3:$AX$33)*B7)</f>
        <v>2.0318920025360216</v>
      </c>
      <c r="I7" s="149">
        <f>H7*(100%-'Données projet'!$C$24)*(100%-'Données projet'!$C$25)*(100%-'Données projet'!$C$26)*(100%-'Données projet'!$C$27)</f>
        <v>1.8287028022824194</v>
      </c>
      <c r="J7" s="150">
        <f>IF(OR('Données projet'!B10="",'Données projet'!C10="",'Données projet'!C10=0%),0,SUM(Calculateur!$AQ$3:$AQ$33)*VLOOKUP('Données projet'!$B$10,Paramètres!$A$1:$I$89,9,0)*B7)</f>
        <v>42.086700400936309</v>
      </c>
      <c r="K7" s="151">
        <f>J7*(100%-'Données projet'!$C$24)*(100%-'Données projet'!$C$25)*(100%-'Données projet'!$C$26)*(100%-'Données projet'!$C$27)</f>
        <v>37.878030360842679</v>
      </c>
      <c r="L7" s="152">
        <f t="shared" ref="L7:L15" ca="1" si="2">G7+I7+K7</f>
        <v>1765.288142620416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Alisier torminal</v>
      </c>
      <c r="B8" s="154">
        <f>'Données projet'!D11</f>
        <v>2.5794352698974521</v>
      </c>
      <c r="C8" s="147">
        <f ca="1">IF(OR('Données projet'!B11="",'Données projet'!C11="",'Données projet'!C11=0%),0,Calculateur!BI3)</f>
        <v>289.06522051625166</v>
      </c>
      <c r="D8" s="147">
        <f>IF(OR('Données projet'!B11="",'Données projet'!C11="",'Données projet'!C11=0%),0,Calculateur!BJ3)</f>
        <v>173.19148969173838</v>
      </c>
      <c r="E8" s="147">
        <f t="shared" ca="1" si="0"/>
        <v>173.19148969173838</v>
      </c>
      <c r="F8" s="147">
        <f t="shared" ca="1" si="1"/>
        <v>446.73623695695096</v>
      </c>
      <c r="G8" s="147">
        <f ca="1">F8*(100%-'Données projet'!$C$24)*(100%-'Données projet'!$C$25)*(100%-'Données projet'!$C$26)*(100%-'Données projet'!$C$27)</f>
        <v>402.06261326125588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5.8037293572692672</v>
      </c>
      <c r="K8" s="151">
        <f>J8*(100%-'Données projet'!$C$24)*(100%-'Données projet'!$C$25)*(100%-'Données projet'!$C$26)*(100%-'Données projet'!$C$27)</f>
        <v>5.2233564215423405</v>
      </c>
      <c r="L8" s="152">
        <f t="shared" ca="1" si="2"/>
        <v>407.28596968279822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Bouleau verruqueux</v>
      </c>
      <c r="B9" s="154">
        <f>'Données projet'!D12</f>
        <v>1.8535469810093008</v>
      </c>
      <c r="C9" s="147">
        <f ca="1">IF(OR('Données projet'!B12="",'Données projet'!C12="",'Données projet'!C12=0%),0,Calculateur!CD3)</f>
        <v>306.06916761900357</v>
      </c>
      <c r="D9" s="147">
        <f>IF(OR('Données projet'!B12="",'Données projet'!C12="",'Données projet'!C12=0%),0,Calculateur!CE3)</f>
        <v>258.90832875500337</v>
      </c>
      <c r="E9" s="147">
        <f t="shared" ca="1" si="0"/>
        <v>258.90832875500337</v>
      </c>
      <c r="F9" s="147">
        <f t="shared" ca="1" si="1"/>
        <v>479.89875112200002</v>
      </c>
      <c r="G9" s="147">
        <f ca="1">F9*(100%-'Données projet'!$C$24)*(100%-'Données projet'!$C$25)*(100%-'Données projet'!$C$26)*(100%-'Données projet'!$C$27)</f>
        <v>431.90887600980005</v>
      </c>
      <c r="H9" s="155">
        <f>IF(OR('Données projet'!B12="",'Données projet'!C12="",'Données projet'!C12=0%),0,AVERAGE(Calculateur!$CN$3:$CN$33)*B9)</f>
        <v>1.1459662466823426</v>
      </c>
      <c r="I9" s="149">
        <f>H9*(100%-'Données projet'!$C$24)*(100%-'Données projet'!$C$25)*(100%-'Données projet'!$C$26)*(100%-'Données projet'!$C$27)</f>
        <v>1.0313696220141084</v>
      </c>
      <c r="J9" s="150">
        <f>IF(OR('Données projet'!B12="",'Données projet'!C12="",'Données projet'!C12=0%),0,SUM(Calculateur!$CG$3:$CG$33)*VLOOKUP('Données projet'!$B$12,Paramètres!$A$1:$I$89,9,0)*B9)</f>
        <v>16.681922829083707</v>
      </c>
      <c r="K9" s="151">
        <f>J9*(100%-'Données projet'!$C$24)*(100%-'Données projet'!$C$25)*(100%-'Données projet'!$C$26)*(100%-'Données projet'!$C$27)</f>
        <v>15.013730546175337</v>
      </c>
      <c r="L9" s="152">
        <f t="shared" ca="1" si="2"/>
        <v>447.95397617798949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Tilleul</v>
      </c>
      <c r="B10" s="154">
        <f>'Données projet'!D13</f>
        <v>1.515926354960869</v>
      </c>
      <c r="C10" s="147">
        <f ca="1">IF(OR('Données projet'!B13="",'Données projet'!C13="",'Données projet'!C13=0%),0,Calculateur!CY3)</f>
        <v>324.58754156328285</v>
      </c>
      <c r="D10" s="147">
        <f>IF(OR('Données projet'!B13="",'Données projet'!C13="",'Données projet'!C13=0%),0,Calculateur!CZ3)</f>
        <v>226.01037731977604</v>
      </c>
      <c r="E10" s="147">
        <f t="shared" ca="1" si="0"/>
        <v>226.01037731977604</v>
      </c>
      <c r="F10" s="147">
        <f t="shared" ca="1" si="1"/>
        <v>342.61508747369874</v>
      </c>
      <c r="G10" s="147">
        <f ca="1">F10*(100%-'Données projet'!$C$24)*(100%-'Données projet'!$C$25)*(100%-'Données projet'!$C$26)*(100%-'Données projet'!$C$27)</f>
        <v>308.35357872632886</v>
      </c>
      <c r="H10" s="155">
        <f>IF(OR('Données projet'!B13="",'Données projet'!C13="",'Données projet'!C13=0%),0,AVERAGE(Calculateur!$DI$3:$DI$33)*B10)</f>
        <v>0.5683460803335475</v>
      </c>
      <c r="I10" s="149">
        <f>H10*(100%-'Données projet'!$C$24)*(100%-'Données projet'!$C$25)*(100%-'Données projet'!$C$26)*(100%-'Données projet'!$C$27)</f>
        <v>0.51151147230019278</v>
      </c>
      <c r="J10" s="150">
        <f>IF(OR('Données projet'!B13="",'Données projet'!C13="",'Données projet'!C13=0%),0,SUM(Calculateur!$DB$3:$DB$33)*VLOOKUP('Données projet'!$B$13,Paramètres!$A$1:$I$89,9,0)*B10)</f>
        <v>16.296208315829343</v>
      </c>
      <c r="K10" s="151">
        <f>J10*(100%-'Données projet'!$C$24)*(100%-'Données projet'!$C$25)*(100%-'Données projet'!$C$26)*(100%-'Données projet'!$C$27)</f>
        <v>14.66658748424641</v>
      </c>
      <c r="L10" s="152">
        <f t="shared" ca="1" si="2"/>
        <v>323.53167768287545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Cèdre de l'Atlas</v>
      </c>
      <c r="B11" s="154">
        <f>'Données projet'!D14</f>
        <v>0.45758929790156566</v>
      </c>
      <c r="C11" s="147">
        <f ca="1">IF(OR('Données projet'!B14="",'Données projet'!C14="",'Données projet'!C14=0%),0,Calculateur!DT3)</f>
        <v>325.93182817189722</v>
      </c>
      <c r="D11" s="147">
        <f>IF(OR('Données projet'!B14="",'Données projet'!C14="",'Données projet'!C14=0%),0,Calculateur!DU3)</f>
        <v>280.04509991782709</v>
      </c>
      <c r="E11" s="147">
        <f t="shared" ca="1" si="0"/>
        <v>280.04509991782709</v>
      </c>
      <c r="F11" s="147">
        <f t="shared" ca="1" si="1"/>
        <v>128.14564065217229</v>
      </c>
      <c r="G11" s="147">
        <f ca="1">F11*(100%-'Données projet'!$C$24)*(100%-'Données projet'!$C$25)*(100%-'Données projet'!$C$26)*(100%-'Données projet'!$C$27)</f>
        <v>115.33107658695506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115.33107658695506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Erable plane</v>
      </c>
      <c r="B12" s="154">
        <f>'Données projet'!D15</f>
        <v>0.45616361044633641</v>
      </c>
      <c r="C12" s="147">
        <f ca="1">IF(OR('Données projet'!B15="",'Données projet'!C15="",'Données projet'!C15=0%),0,Calculateur!EO3)</f>
        <v>333.52903437536651</v>
      </c>
      <c r="D12" s="147">
        <f>IF(OR('Données projet'!B15="",'Données projet'!C15="",'Données projet'!C15=0%),0,Calculateur!EP3)</f>
        <v>359.47288701414777</v>
      </c>
      <c r="E12" s="147">
        <f t="shared" ca="1" si="0"/>
        <v>333.52903437536651</v>
      </c>
      <c r="F12" s="147">
        <f t="shared" ca="1" si="1"/>
        <v>152.14380850934742</v>
      </c>
      <c r="G12" s="147">
        <f ca="1">F12*(100%-'Données projet'!$C$24)*(100%-'Données projet'!$C$25)*(100%-'Données projet'!$C$26)*(100%-'Données projet'!$C$27)</f>
        <v>136.92942765841269</v>
      </c>
      <c r="H12" s="155">
        <f>IF(OR('Données projet'!B15="",'Données projet'!C15="",'Données projet'!C15=0%),0,AVERAGE(Calculateur!$EY$3:$EY$33)*B12)</f>
        <v>1.102498574980459</v>
      </c>
      <c r="I12" s="149">
        <f>H12*(100%-'Données projet'!$C$24)*(100%-'Données projet'!$C$25)*(100%-'Données projet'!$C$26)*(100%-'Données projet'!$C$27)</f>
        <v>0.99224871748241317</v>
      </c>
      <c r="J12" s="150">
        <f>IF(OR('Données projet'!B15="",'Données projet'!C15="",'Données projet'!C15=0%),0,SUM(Calculateur!$ER$3:$ER$33)*VLOOKUP('Données projet'!$B$15,Paramètres!$A$1:$I$89,9,0)*B12)</f>
        <v>11.290049358546826</v>
      </c>
      <c r="K12" s="151">
        <f>J12*(100%-'Données projet'!$C$24)*(100%-'Données projet'!$C$25)*(100%-'Données projet'!$C$26)*(100%-'Données projet'!$C$27)</f>
        <v>10.161044422692143</v>
      </c>
      <c r="L12" s="152">
        <f t="shared" ca="1" si="2"/>
        <v>148.08272079858727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>Pin laricio</v>
      </c>
      <c r="B13" s="154">
        <f>'Données projet'!D16</f>
        <v>0.28238028169014084</v>
      </c>
      <c r="C13" s="147">
        <f ca="1">IF(OR('Données projet'!B16="",'Données projet'!C16="",'Données projet'!C16=0%),0,Calculateur!FJ3)</f>
        <v>313.26988717307376</v>
      </c>
      <c r="D13" s="147">
        <f>IF(OR('Données projet'!B16="",'Données projet'!C16="",'Données projet'!C16=0%),0,Calculateur!FK3)</f>
        <v>248.17359813993201</v>
      </c>
      <c r="E13" s="147">
        <f t="shared" ca="1" si="0"/>
        <v>248.17359813993201</v>
      </c>
      <c r="F13" s="147">
        <f t="shared" ca="1" si="1"/>
        <v>70.079330550809814</v>
      </c>
      <c r="G13" s="147">
        <f ca="1">F13*(100%-'Données projet'!$C$24)*(100%-'Données projet'!$C$25)*(100%-'Données projet'!$C$26)*(100%-'Données projet'!$C$27)</f>
        <v>63.071397495728831</v>
      </c>
      <c r="H13" s="155">
        <f>IF(OR('Données projet'!B16="",'Données projet'!C16="",'Données projet'!C16=0%),0,AVERAGE(Calculateur!$FT$3:$FT$33)*B13)</f>
        <v>1.1792695746902933</v>
      </c>
      <c r="I13" s="149">
        <f>H13*(100%-'Données projet'!$C$24)*(100%-'Données projet'!$C$25)*(100%-'Données projet'!$C$26)*(100%-'Données projet'!$C$27)</f>
        <v>1.0613426172212639</v>
      </c>
      <c r="J13" s="150">
        <f>IF(OR('Données projet'!C16="",'Données projet'!C16=0%),0,SUM(Calculateur!$FM$3:$FM$33)*VLOOKUP('Données projet'!$B$16,Paramètres!$A$1:$I$89,9,0)*B13)</f>
        <v>10.61148171939328</v>
      </c>
      <c r="K13" s="151">
        <f>J13*(100%-'Données projet'!$C$24)*(100%-'Données projet'!$C$25)*(100%-'Données projet'!$C$26)*(100%-'Données projet'!$C$27)</f>
        <v>9.5503335474539526</v>
      </c>
      <c r="L13" s="152">
        <f t="shared" ca="1" si="2"/>
        <v>73.683073660404034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>Cormier</v>
      </c>
      <c r="B14" s="154">
        <f>'Données projet'!D17</f>
        <v>0.13677177344475394</v>
      </c>
      <c r="C14" s="147">
        <f ca="1">IF(OR('Données projet'!B17="",'Données projet'!C17="",'Données projet'!C17=0%),0,Calculateur!GE3)</f>
        <v>313.51355235711543</v>
      </c>
      <c r="D14" s="147">
        <f>IF(OR('Données projet'!B17="",'Données projet'!C17="",'Données projet'!C17=0%),0,Calculateur!GF3)</f>
        <v>186.0840067781198</v>
      </c>
      <c r="E14" s="147">
        <f t="shared" ca="1" si="0"/>
        <v>186.0840067781198</v>
      </c>
      <c r="F14" s="147">
        <f t="shared" ca="1" si="1"/>
        <v>25.451039616749057</v>
      </c>
      <c r="G14" s="147">
        <f ca="1">F14*(100%-'Données projet'!$C$24)*(100%-'Données projet'!$C$25)*(100%-'Données projet'!$C$26)*(100%-'Données projet'!$C$27)</f>
        <v>22.905935655074153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0.30773649025069638</v>
      </c>
      <c r="K14" s="151">
        <f>J14*(100%-'Données projet'!$C$24)*(100%-'Données projet'!$C$25)*(100%-'Données projet'!$C$26)*(100%-'Données projet'!$C$27)</f>
        <v>0.27696284122562675</v>
      </c>
      <c r="L14" s="152">
        <f t="shared" ca="1" si="2"/>
        <v>23.182898496299778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5870.957662896064</v>
      </c>
      <c r="G16" s="166">
        <f t="shared" ca="1" si="3"/>
        <v>5283.8618966064587</v>
      </c>
      <c r="H16" s="167">
        <f t="shared" si="3"/>
        <v>6.0279724792226634</v>
      </c>
      <c r="I16" s="167">
        <f t="shared" si="3"/>
        <v>5.4251752313003978</v>
      </c>
      <c r="J16" s="168">
        <f t="shared" si="3"/>
        <v>183.00994394968501</v>
      </c>
      <c r="K16" s="168">
        <f t="shared" si="3"/>
        <v>164.70894955471647</v>
      </c>
      <c r="L16" s="169">
        <f t="shared" ca="1" si="3"/>
        <v>5453.996021392476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290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pubescent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chevelu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Alisier torminal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Bouleau verruqueux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Tilleul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Cèdre de l'Atlas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Erable plane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>Pin laricio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>Cormier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85" zoomScaleNormal="85" workbookViewId="0">
      <selection activeCell="S38" sqref="S38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3" t="s">
        <v>291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9" t="s">
        <v>292</v>
      </c>
      <c r="I4" s="259"/>
      <c r="K4" s="301" t="s">
        <v>293</v>
      </c>
      <c r="L4" s="30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63</v>
      </c>
      <c r="O7" s="247"/>
      <c r="P7" s="248"/>
      <c r="Q7" s="249"/>
      <c r="R7" s="293" t="s">
        <v>294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Chêne pubescent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-1984.1072269338015</v>
      </c>
      <c r="U10" s="178">
        <f>'Données projet'!D9</f>
        <v>7.4355456258954007</v>
      </c>
      <c r="V10" s="177">
        <f>U10*T10</f>
        <v>-14752.919812535081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chevelu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-1959.6085384883393</v>
      </c>
      <c r="U11" s="178">
        <f>'Données projet'!D10</f>
        <v>5.9686593295873314</v>
      </c>
      <c r="V11" s="177">
        <f t="shared" ref="V11" si="0">U11*T11</f>
        <v>-11696.235785587422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Alisier torminal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-5375.1115653993438</v>
      </c>
      <c r="U12" s="178">
        <f>'Données projet'!D11</f>
        <v>2.5794352698974521</v>
      </c>
      <c r="V12" s="177">
        <f t="shared" ref="V12:V19" si="1">U12*T12</f>
        <v>-13864.752351424773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>Bouleau verruqueux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-528.91264605498498</v>
      </c>
      <c r="U13" s="178">
        <f>'Données projet'!D12</f>
        <v>1.8535469810093008</v>
      </c>
      <c r="V13" s="177">
        <f t="shared" si="1"/>
        <v>-980.36443831285828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15</v>
      </c>
      <c r="B14" s="174" t="str">
        <f>IF('Données projet'!$B$9="","",'Données projet'!$B$9)</f>
        <v>Chêne pubescent</v>
      </c>
      <c r="C14" s="4"/>
      <c r="D14" s="4"/>
      <c r="E14" s="4"/>
      <c r="F14" s="230"/>
      <c r="G14" s="23"/>
      <c r="H14" s="36" t="s">
        <v>82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Tilleul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-141.93003644271474</v>
      </c>
      <c r="U14" s="178">
        <f>'Données projet'!D13</f>
        <v>1.515926354960869</v>
      </c>
      <c r="V14" s="177">
        <f t="shared" si="1"/>
        <v>-215.15548280406784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4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Cèdre de l'Atlas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-791.74484330411155</v>
      </c>
      <c r="U15" s="178">
        <f>'Données projet'!D14</f>
        <v>0.45758929790156566</v>
      </c>
      <c r="V15" s="177">
        <f t="shared" si="1"/>
        <v>-362.29396696471355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54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304"/>
      <c r="H16" s="190"/>
      <c r="I16" s="191"/>
      <c r="J16" s="202"/>
      <c r="K16" s="208"/>
      <c r="L16" s="301" t="s">
        <v>311</v>
      </c>
      <c r="M16" s="302"/>
      <c r="N16" s="2"/>
      <c r="O16" s="23"/>
      <c r="P16" s="23"/>
      <c r="Q16" s="234"/>
      <c r="R16" s="23"/>
      <c r="S16" s="36" t="str">
        <f>B200</f>
        <v>Erable plane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234.95782449854494</v>
      </c>
      <c r="U16" s="178">
        <f>'Données projet'!D15</f>
        <v>0.45616361044633641</v>
      </c>
      <c r="V16" s="177">
        <f t="shared" si="1"/>
        <v>107.17920952587293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193</v>
      </c>
      <c r="C17" s="198" t="s">
        <v>193</v>
      </c>
      <c r="D17" s="197" t="s">
        <v>193</v>
      </c>
      <c r="E17" s="193">
        <v>2600</v>
      </c>
      <c r="F17" s="230"/>
      <c r="G17" s="304"/>
      <c r="J17" s="202"/>
      <c r="K17" s="208"/>
      <c r="L17" s="261" t="s">
        <v>312</v>
      </c>
      <c r="M17" s="263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Pin laricio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1121.9838895350219</v>
      </c>
      <c r="U17" s="178">
        <f>'Données projet'!D16</f>
        <v>0.28238028169014084</v>
      </c>
      <c r="V17" s="177">
        <f t="shared" si="1"/>
        <v>316.82612677869935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304"/>
      <c r="J18" s="202"/>
      <c r="K18" s="208"/>
      <c r="L18" s="261" t="s">
        <v>308</v>
      </c>
      <c r="M18" s="263"/>
      <c r="N18" s="192"/>
      <c r="O18" s="23"/>
      <c r="P18" s="23"/>
      <c r="Q18" s="234"/>
      <c r="R18" s="23"/>
      <c r="S18" s="36" t="str">
        <f>B262</f>
        <v>Cormier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-3983.6867041800947</v>
      </c>
      <c r="U18" s="178">
        <f>'Données projet'!D17</f>
        <v>0.13677177344475394</v>
      </c>
      <c r="V18" s="177">
        <f t="shared" si="1"/>
        <v>-544.85589537899841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304"/>
      <c r="H19" s="212" t="s">
        <v>82</v>
      </c>
      <c r="I19" s="212" t="s">
        <v>313</v>
      </c>
      <c r="J19" s="93"/>
      <c r="K19" s="173"/>
      <c r="L19" s="301" t="s">
        <v>314</v>
      </c>
      <c r="M19" s="302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304"/>
      <c r="H20" s="190">
        <v>0</v>
      </c>
      <c r="I20" s="191">
        <v>196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>
        <v>0</v>
      </c>
      <c r="I21" s="191">
        <v>2060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>
        <v>0</v>
      </c>
      <c r="I22" s="191">
        <v>892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11</v>
      </c>
      <c r="C23" s="193">
        <v>8</v>
      </c>
      <c r="D23" s="182">
        <f>B23*C23</f>
        <v>88</v>
      </c>
      <c r="E23" s="193"/>
      <c r="F23" s="230"/>
      <c r="H23" s="190">
        <v>0</v>
      </c>
      <c r="I23" s="191">
        <v>1489</v>
      </c>
      <c r="K23" s="208"/>
      <c r="L23" s="303" t="s">
        <v>315</v>
      </c>
      <c r="M23" s="303"/>
      <c r="N23" s="303"/>
      <c r="O23" s="23"/>
      <c r="P23" s="23"/>
      <c r="Q23" s="234"/>
      <c r="R23" s="23"/>
      <c r="S23" s="36" t="s">
        <v>316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-300525.32742974639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30</v>
      </c>
      <c r="B24" s="181">
        <f>'Données projet'!D37</f>
        <v>32</v>
      </c>
      <c r="C24" s="193">
        <v>12</v>
      </c>
      <c r="D24" s="182">
        <f t="shared" ref="D24:D42" si="2">B24*C24</f>
        <v>384</v>
      </c>
      <c r="E24" s="193"/>
      <c r="F24" s="233"/>
      <c r="H24" s="190">
        <v>0</v>
      </c>
      <c r="I24" s="191">
        <v>1911</v>
      </c>
      <c r="K24" s="208"/>
      <c r="O24" s="23"/>
      <c r="P24" s="23"/>
      <c r="Q24" s="234"/>
      <c r="R24" s="23"/>
      <c r="S24" s="36" t="s">
        <v>317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40</v>
      </c>
      <c r="B25" s="181">
        <f>'Données projet'!D38</f>
        <v>39</v>
      </c>
      <c r="C25" s="193">
        <v>15</v>
      </c>
      <c r="D25" s="182">
        <f t="shared" si="2"/>
        <v>585</v>
      </c>
      <c r="E25" s="193"/>
      <c r="F25" s="233"/>
      <c r="H25" s="190">
        <v>0</v>
      </c>
      <c r="I25" s="191">
        <v>3972</v>
      </c>
      <c r="K25" s="208"/>
      <c r="L25" s="130" t="s">
        <v>318</v>
      </c>
      <c r="M25" s="130"/>
      <c r="N25" s="130"/>
      <c r="O25" s="130"/>
      <c r="P25" s="192">
        <v>0</v>
      </c>
      <c r="Q25" s="234"/>
      <c r="R25" s="23"/>
      <c r="S25" s="186" t="s">
        <v>319</v>
      </c>
      <c r="T25" s="300">
        <f ca="1">T23-T24</f>
        <v>-300525.32742974639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50</v>
      </c>
      <c r="B26" s="181">
        <f>'Données projet'!D39</f>
        <v>43</v>
      </c>
      <c r="C26" s="193">
        <v>20</v>
      </c>
      <c r="D26" s="182">
        <f t="shared" si="2"/>
        <v>860</v>
      </c>
      <c r="E26" s="193"/>
      <c r="F26" s="233"/>
      <c r="G26" s="229"/>
      <c r="H26" s="190">
        <v>2</v>
      </c>
      <c r="I26" s="191">
        <v>600</v>
      </c>
      <c r="K26" s="208"/>
      <c r="L26" s="287" t="s">
        <v>320</v>
      </c>
      <c r="M26" s="288"/>
      <c r="N26" s="288"/>
      <c r="O26" s="288"/>
      <c r="P26" s="289"/>
      <c r="Q26" s="234"/>
      <c r="R26" s="23"/>
      <c r="S26" s="186" t="s">
        <v>321</v>
      </c>
      <c r="T26" s="297" t="str">
        <f ca="1">IF(T25&lt;0,"Votre projet est additionnel","Votre projet n'est pas additionnel")</f>
        <v>Votre projet est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60</v>
      </c>
      <c r="B27" s="181">
        <f>'Données projet'!D40</f>
        <v>44</v>
      </c>
      <c r="C27" s="193">
        <v>25</v>
      </c>
      <c r="D27" s="182">
        <f t="shared" si="2"/>
        <v>1100</v>
      </c>
      <c r="E27" s="193"/>
      <c r="F27" s="233"/>
      <c r="G27" s="229"/>
      <c r="H27" s="190">
        <v>4</v>
      </c>
      <c r="I27" s="191">
        <v>600</v>
      </c>
      <c r="K27" s="208"/>
      <c r="L27" s="290"/>
      <c r="M27" s="291"/>
      <c r="N27" s="291"/>
      <c r="O27" s="291"/>
      <c r="P27" s="292"/>
      <c r="Q27" s="234"/>
      <c r="R27" s="23"/>
      <c r="S27" s="296" t="s">
        <v>322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70</v>
      </c>
      <c r="B28" s="181">
        <f>'Données projet'!D41</f>
        <v>44</v>
      </c>
      <c r="C28" s="193">
        <v>30</v>
      </c>
      <c r="D28" s="182">
        <f t="shared" si="2"/>
        <v>1320</v>
      </c>
      <c r="E28" s="193"/>
      <c r="F28" s="233"/>
      <c r="G28" s="205"/>
      <c r="H28" s="190">
        <v>5</v>
      </c>
      <c r="I28" s="191">
        <v>600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80</v>
      </c>
      <c r="B29" s="181">
        <f>'Données projet'!D42</f>
        <v>43</v>
      </c>
      <c r="C29" s="193">
        <v>35</v>
      </c>
      <c r="D29" s="182">
        <f t="shared" si="2"/>
        <v>1505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90</v>
      </c>
      <c r="B30" s="181">
        <f>'Données projet'!D43</f>
        <v>40</v>
      </c>
      <c r="C30" s="193">
        <v>40</v>
      </c>
      <c r="D30" s="182">
        <f t="shared" si="2"/>
        <v>1600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100</v>
      </c>
      <c r="B31" s="181">
        <f>'Données projet'!D44</f>
        <v>37</v>
      </c>
      <c r="C31" s="193">
        <v>50</v>
      </c>
      <c r="D31" s="182">
        <f t="shared" si="2"/>
        <v>1850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110</v>
      </c>
      <c r="B32" s="181">
        <f>'Données projet'!D45</f>
        <v>34</v>
      </c>
      <c r="C32" s="193">
        <v>60</v>
      </c>
      <c r="D32" s="182">
        <f t="shared" si="2"/>
        <v>2040</v>
      </c>
      <c r="E32" s="193"/>
      <c r="F32" s="233"/>
      <c r="G32" s="203"/>
      <c r="H32" s="190"/>
      <c r="I32" s="191"/>
      <c r="K32" s="173"/>
      <c r="N32" s="4"/>
      <c r="O32" s="85" t="s">
        <v>82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120</v>
      </c>
      <c r="B33" s="181">
        <f>'Données projet'!D46</f>
        <v>31</v>
      </c>
      <c r="C33" s="193">
        <v>180</v>
      </c>
      <c r="D33" s="182">
        <f t="shared" si="2"/>
        <v>5580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18</v>
      </c>
      <c r="B45" s="174" t="str">
        <f>IF('Données projet'!$B$10="","",'Données projet'!$B$10)</f>
        <v>Chêne chevelu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54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193</v>
      </c>
      <c r="C48" s="198" t="s">
        <v>193</v>
      </c>
      <c r="D48" s="197" t="s">
        <v>193</v>
      </c>
      <c r="E48" s="193">
        <v>2510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15</v>
      </c>
      <c r="B54" s="181">
        <f>'Données projet'!D62</f>
        <v>3.8461538461538458</v>
      </c>
      <c r="C54" s="191">
        <v>8</v>
      </c>
      <c r="D54" s="179">
        <f>B54*C54</f>
        <v>30.769230769230766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20</v>
      </c>
      <c r="B55" s="181">
        <f>'Données projet'!D63</f>
        <v>6.4102564102564097</v>
      </c>
      <c r="C55" s="191">
        <v>12</v>
      </c>
      <c r="D55" s="179">
        <f t="shared" ref="D55:D73" si="4">B55*C55</f>
        <v>76.92307692307692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30</v>
      </c>
      <c r="B56" s="181">
        <f>'Données projet'!D64</f>
        <v>17.948717948717949</v>
      </c>
      <c r="C56" s="191">
        <v>15</v>
      </c>
      <c r="D56" s="179">
        <f t="shared" si="4"/>
        <v>269.23076923076923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40</v>
      </c>
      <c r="B57" s="181">
        <f>'Données projet'!D65</f>
        <v>22.435897435897434</v>
      </c>
      <c r="C57" s="191">
        <v>20</v>
      </c>
      <c r="D57" s="179">
        <f t="shared" si="4"/>
        <v>448.71794871794867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50</v>
      </c>
      <c r="B58" s="181">
        <f>'Données projet'!D66</f>
        <v>24.358974358974358</v>
      </c>
      <c r="C58" s="191">
        <v>25</v>
      </c>
      <c r="D58" s="179">
        <f t="shared" si="4"/>
        <v>608.97435897435889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60</v>
      </c>
      <c r="B59" s="181">
        <f>'Données projet'!D67</f>
        <v>24.358974358974358</v>
      </c>
      <c r="C59" s="191">
        <v>30</v>
      </c>
      <c r="D59" s="179">
        <f t="shared" si="4"/>
        <v>730.76923076923072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70</v>
      </c>
      <c r="B60" s="181">
        <f>'Données projet'!D68</f>
        <v>23.076923076923077</v>
      </c>
      <c r="C60" s="191">
        <v>35</v>
      </c>
      <c r="D60" s="179">
        <f t="shared" si="4"/>
        <v>807.69230769230774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80</v>
      </c>
      <c r="B61" s="181">
        <f>'Données projet'!D69</f>
        <v>22.435897435897434</v>
      </c>
      <c r="C61" s="191">
        <v>40</v>
      </c>
      <c r="D61" s="179">
        <f t="shared" si="4"/>
        <v>897.43589743589735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90</v>
      </c>
      <c r="B62" s="181">
        <f>'Données projet'!D70</f>
        <v>21.153846153846153</v>
      </c>
      <c r="C62" s="191">
        <v>40</v>
      </c>
      <c r="D62" s="179">
        <f t="shared" si="4"/>
        <v>846.15384615384619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100</v>
      </c>
      <c r="B63" s="181">
        <f>'Données projet'!D71</f>
        <v>20.512820512820511</v>
      </c>
      <c r="C63" s="191">
        <v>40</v>
      </c>
      <c r="D63" s="179">
        <f t="shared" si="4"/>
        <v>820.51282051282044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110</v>
      </c>
      <c r="B64" s="181">
        <f>'Données projet'!D72</f>
        <v>19.23076923076923</v>
      </c>
      <c r="C64" s="191">
        <v>40</v>
      </c>
      <c r="D64" s="179">
        <f t="shared" si="4"/>
        <v>769.23076923076917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120</v>
      </c>
      <c r="B65" s="181">
        <f>'Données projet'!D73</f>
        <v>17.948717948717949</v>
      </c>
      <c r="C65" s="191">
        <v>40</v>
      </c>
      <c r="D65" s="179">
        <f t="shared" si="4"/>
        <v>717.94871794871801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130</v>
      </c>
      <c r="B66" s="181">
        <f>'Données projet'!D74</f>
        <v>339.10256410256409</v>
      </c>
      <c r="C66" s="191">
        <v>150</v>
      </c>
      <c r="D66" s="179">
        <f t="shared" si="4"/>
        <v>50865.38461538461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20</v>
      </c>
      <c r="B76" s="174" t="str">
        <f>IF('Données projet'!B11="","",'Données projet'!B11)</f>
        <v>Alisier torminal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54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193</v>
      </c>
      <c r="C79" s="198" t="s">
        <v>193</v>
      </c>
      <c r="D79" s="197" t="s">
        <v>193</v>
      </c>
      <c r="E79" s="193">
        <v>5915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0</v>
      </c>
      <c r="C85" s="191">
        <v>20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9</v>
      </c>
      <c r="C86" s="191">
        <v>30</v>
      </c>
      <c r="D86" s="179">
        <f t="shared" ref="D86:D104" si="6">B86*C86</f>
        <v>270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17</v>
      </c>
      <c r="C87" s="191">
        <v>40</v>
      </c>
      <c r="D87" s="179">
        <f t="shared" si="6"/>
        <v>680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18</v>
      </c>
      <c r="C88" s="191">
        <v>50</v>
      </c>
      <c r="D88" s="179">
        <f t="shared" si="6"/>
        <v>900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20</v>
      </c>
      <c r="C89" s="191">
        <v>60</v>
      </c>
      <c r="D89" s="179">
        <f t="shared" si="6"/>
        <v>1200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20</v>
      </c>
      <c r="C90" s="191">
        <v>70</v>
      </c>
      <c r="D90" s="179">
        <f t="shared" si="6"/>
        <v>1400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19</v>
      </c>
      <c r="C91" s="191">
        <v>70</v>
      </c>
      <c r="D91" s="179">
        <f t="shared" si="6"/>
        <v>1330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90</v>
      </c>
      <c r="B92" s="181">
        <f>'Données projet'!D95</f>
        <v>18</v>
      </c>
      <c r="C92" s="191">
        <v>70</v>
      </c>
      <c r="D92" s="179">
        <f t="shared" si="6"/>
        <v>1260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100</v>
      </c>
      <c r="B93" s="181">
        <f>'Données projet'!D96</f>
        <v>18</v>
      </c>
      <c r="C93" s="191">
        <v>70</v>
      </c>
      <c r="D93" s="179">
        <f t="shared" si="6"/>
        <v>1260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110</v>
      </c>
      <c r="B94" s="181">
        <f>'Données projet'!D97</f>
        <v>19</v>
      </c>
      <c r="C94" s="191">
        <v>70</v>
      </c>
      <c r="D94" s="179">
        <f t="shared" si="6"/>
        <v>1330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120</v>
      </c>
      <c r="B95" s="181">
        <f>'Données projet'!D98</f>
        <v>20</v>
      </c>
      <c r="C95" s="191">
        <v>120</v>
      </c>
      <c r="D95" s="179">
        <f t="shared" si="6"/>
        <v>2400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22</v>
      </c>
      <c r="B107" s="174" t="str">
        <f>IF('Données projet'!B12="","",'Données projet'!B12)</f>
        <v>Bouleau verruqueux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54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193</v>
      </c>
      <c r="C110" s="198" t="s">
        <v>193</v>
      </c>
      <c r="D110" s="197" t="s">
        <v>193</v>
      </c>
      <c r="E110" s="193">
        <v>1400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20</v>
      </c>
      <c r="B116" s="181">
        <f>'Données projet'!D114</f>
        <v>15</v>
      </c>
      <c r="C116" s="191">
        <v>20</v>
      </c>
      <c r="D116" s="179">
        <f>B116*C116</f>
        <v>300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30</v>
      </c>
      <c r="B117" s="181">
        <f>'Données projet'!D115</f>
        <v>21</v>
      </c>
      <c r="C117" s="191">
        <v>30</v>
      </c>
      <c r="D117" s="179">
        <f t="shared" ref="D117:D135" si="8">B117*C117</f>
        <v>630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40</v>
      </c>
      <c r="B118" s="181">
        <f>'Données projet'!D116</f>
        <v>25</v>
      </c>
      <c r="C118" s="191">
        <v>40</v>
      </c>
      <c r="D118" s="179">
        <f t="shared" si="8"/>
        <v>1000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50</v>
      </c>
      <c r="B119" s="181">
        <f>'Données projet'!D117</f>
        <v>28</v>
      </c>
      <c r="C119" s="191">
        <v>50</v>
      </c>
      <c r="D119" s="179">
        <f t="shared" si="8"/>
        <v>1400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60</v>
      </c>
      <c r="B120" s="181">
        <f>'Données projet'!D118</f>
        <v>28</v>
      </c>
      <c r="C120" s="191">
        <v>50</v>
      </c>
      <c r="D120" s="179">
        <f t="shared" si="8"/>
        <v>1400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70</v>
      </c>
      <c r="B121" s="181">
        <f>'Données projet'!D119</f>
        <v>28</v>
      </c>
      <c r="C121" s="191">
        <v>50</v>
      </c>
      <c r="D121" s="179">
        <f t="shared" si="8"/>
        <v>1400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80</v>
      </c>
      <c r="B122" s="181">
        <f>'Données projet'!D120</f>
        <v>27</v>
      </c>
      <c r="C122" s="191">
        <v>50</v>
      </c>
      <c r="D122" s="179">
        <f t="shared" si="8"/>
        <v>1350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90</v>
      </c>
      <c r="B123" s="181">
        <f>'Données projet'!D121</f>
        <v>25</v>
      </c>
      <c r="C123" s="191">
        <v>100</v>
      </c>
      <c r="D123" s="179">
        <f t="shared" si="8"/>
        <v>2500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24</v>
      </c>
      <c r="B138" s="174" t="str">
        <f>IF('Données projet'!B13="","",'Données projet'!B13)</f>
        <v>Tilleul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54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193</v>
      </c>
      <c r="C141" s="198" t="s">
        <v>193</v>
      </c>
      <c r="D141" s="197" t="s">
        <v>193</v>
      </c>
      <c r="E141" s="193">
        <v>1537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20</v>
      </c>
      <c r="B147" s="175">
        <f>'Données projet'!D140</f>
        <v>11</v>
      </c>
      <c r="C147" s="191">
        <v>20</v>
      </c>
      <c r="D147" s="182">
        <f>B147*C147</f>
        <v>220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30</v>
      </c>
      <c r="B148" s="175">
        <f>'Données projet'!D141</f>
        <v>32</v>
      </c>
      <c r="C148" s="191">
        <v>30</v>
      </c>
      <c r="D148" s="182">
        <f t="shared" ref="D148:D166" si="10">B148*C148</f>
        <v>960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40</v>
      </c>
      <c r="B149" s="175">
        <f>'Données projet'!D142</f>
        <v>39</v>
      </c>
      <c r="C149" s="191">
        <v>40</v>
      </c>
      <c r="D149" s="182">
        <f t="shared" si="10"/>
        <v>1560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50</v>
      </c>
      <c r="B150" s="175">
        <f>'Données projet'!D143</f>
        <v>43</v>
      </c>
      <c r="C150" s="191">
        <v>50</v>
      </c>
      <c r="D150" s="182">
        <f t="shared" si="10"/>
        <v>2150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60</v>
      </c>
      <c r="B151" s="175">
        <f>'Données projet'!D144</f>
        <v>44</v>
      </c>
      <c r="C151" s="191">
        <v>60</v>
      </c>
      <c r="D151" s="182">
        <f t="shared" si="10"/>
        <v>2640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70</v>
      </c>
      <c r="B152" s="175">
        <f>'Données projet'!D145</f>
        <v>44</v>
      </c>
      <c r="C152" s="191">
        <v>70</v>
      </c>
      <c r="D152" s="182">
        <f t="shared" si="10"/>
        <v>3080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80</v>
      </c>
      <c r="B153" s="175">
        <f>'Données projet'!D146</f>
        <v>43</v>
      </c>
      <c r="C153" s="191">
        <v>70</v>
      </c>
      <c r="D153" s="182">
        <f t="shared" si="10"/>
        <v>3010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90</v>
      </c>
      <c r="B154" s="175">
        <f>'Données projet'!D147</f>
        <v>40</v>
      </c>
      <c r="C154" s="191">
        <v>70</v>
      </c>
      <c r="D154" s="182">
        <f t="shared" si="10"/>
        <v>2800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100</v>
      </c>
      <c r="B155" s="175">
        <f>'Données projet'!D148</f>
        <v>37</v>
      </c>
      <c r="C155" s="191">
        <v>70</v>
      </c>
      <c r="D155" s="182">
        <f t="shared" si="10"/>
        <v>2590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110</v>
      </c>
      <c r="B156" s="175">
        <f>'Données projet'!D149</f>
        <v>34</v>
      </c>
      <c r="C156" s="191">
        <v>70</v>
      </c>
      <c r="D156" s="182">
        <f t="shared" si="10"/>
        <v>2380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120</v>
      </c>
      <c r="B157" s="175">
        <f>'Données projet'!D150</f>
        <v>31</v>
      </c>
      <c r="C157" s="191">
        <v>120</v>
      </c>
      <c r="D157" s="182">
        <f t="shared" si="10"/>
        <v>3720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26</v>
      </c>
      <c r="B169" s="174" t="str">
        <f>IF('Données projet'!B14="","",'Données projet'!B14)</f>
        <v>Cèdre de l'Atlas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54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193</v>
      </c>
      <c r="C172" s="198" t="s">
        <v>193</v>
      </c>
      <c r="D172" s="197" t="s">
        <v>193</v>
      </c>
      <c r="E172" s="193">
        <v>3260.6750351074916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30</v>
      </c>
      <c r="B178" s="181">
        <f>'Données projet'!D166</f>
        <v>0</v>
      </c>
      <c r="C178" s="193">
        <v>10</v>
      </c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42</v>
      </c>
      <c r="B179" s="181">
        <f>'Données projet'!D167</f>
        <v>179.84615384615384</v>
      </c>
      <c r="C179" s="193">
        <v>15</v>
      </c>
      <c r="D179" s="179">
        <f t="shared" ref="D179:D197" si="11">B179*C179</f>
        <v>2697.6923076923076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49</v>
      </c>
      <c r="B180" s="181">
        <f>'Données projet'!D168</f>
        <v>94.476923076923072</v>
      </c>
      <c r="C180" s="193">
        <v>25</v>
      </c>
      <c r="D180" s="179">
        <f t="shared" si="11"/>
        <v>2361.9230769230767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56</v>
      </c>
      <c r="B181" s="181">
        <f>'Données projet'!D169</f>
        <v>72.769230769230759</v>
      </c>
      <c r="C181" s="193">
        <v>35</v>
      </c>
      <c r="D181" s="179">
        <f t="shared" si="11"/>
        <v>2546.9230769230767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63</v>
      </c>
      <c r="B182" s="181">
        <f>'Données projet'!D170</f>
        <v>71.123076923076923</v>
      </c>
      <c r="C182" s="193">
        <v>40</v>
      </c>
      <c r="D182" s="179">
        <f t="shared" si="11"/>
        <v>2844.9230769230771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71</v>
      </c>
      <c r="B183" s="181">
        <f>'Données projet'!D171</f>
        <v>80.399999999999991</v>
      </c>
      <c r="C183" s="193">
        <v>50</v>
      </c>
      <c r="D183" s="179">
        <f t="shared" si="11"/>
        <v>4019.9999999999995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79</v>
      </c>
      <c r="B184" s="181">
        <f>'Données projet'!D172</f>
        <v>77.338461538461544</v>
      </c>
      <c r="C184" s="193">
        <v>60</v>
      </c>
      <c r="D184" s="179">
        <f t="shared" si="11"/>
        <v>4640.3076923076924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87</v>
      </c>
      <c r="B185" s="181">
        <f>'Données projet'!D173</f>
        <v>77.330769230769235</v>
      </c>
      <c r="C185" s="193">
        <v>80</v>
      </c>
      <c r="D185" s="179">
        <f t="shared" si="11"/>
        <v>6186.461538461539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95</v>
      </c>
      <c r="B186" s="181">
        <f>'Données projet'!D174</f>
        <v>234.42307692307691</v>
      </c>
      <c r="C186" s="193">
        <v>130</v>
      </c>
      <c r="D186" s="179">
        <f t="shared" si="11"/>
        <v>30474.999999999996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105</v>
      </c>
      <c r="B187" s="181">
        <f>'Données projet'!D175</f>
        <v>309.71538461538461</v>
      </c>
      <c r="C187" s="193">
        <v>150</v>
      </c>
      <c r="D187" s="179">
        <f t="shared" si="11"/>
        <v>46457.307692307688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28</v>
      </c>
      <c r="B200" s="174" t="str">
        <f>IF('Données projet'!$B$15="","",'Données projet'!$B$15)</f>
        <v>Erable plane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54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193</v>
      </c>
      <c r="C203" s="198" t="s">
        <v>193</v>
      </c>
      <c r="D203" s="197" t="s">
        <v>193</v>
      </c>
      <c r="E203" s="193">
        <v>2353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20</v>
      </c>
      <c r="B209" s="181">
        <f>'Données projet'!D192</f>
        <v>43</v>
      </c>
      <c r="C209" s="193">
        <v>20</v>
      </c>
      <c r="D209" s="179">
        <f>B209*C209</f>
        <v>860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30</v>
      </c>
      <c r="B210" s="181">
        <f>'Données projet'!D193</f>
        <v>56</v>
      </c>
      <c r="C210" s="193">
        <v>30</v>
      </c>
      <c r="D210" s="179">
        <f t="shared" ref="D210:D228" si="12">B210*C210</f>
        <v>1680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40</v>
      </c>
      <c r="B211" s="181">
        <f>'Données projet'!D194</f>
        <v>56</v>
      </c>
      <c r="C211" s="193">
        <v>40</v>
      </c>
      <c r="D211" s="179">
        <f t="shared" si="12"/>
        <v>2240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50</v>
      </c>
      <c r="B212" s="181">
        <f>'Données projet'!D195</f>
        <v>39</v>
      </c>
      <c r="C212" s="193">
        <v>50</v>
      </c>
      <c r="D212" s="179">
        <f t="shared" si="12"/>
        <v>1950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60</v>
      </c>
      <c r="B213" s="181">
        <f>'Données projet'!D196</f>
        <v>25</v>
      </c>
      <c r="C213" s="193">
        <v>60</v>
      </c>
      <c r="D213" s="179">
        <f t="shared" si="12"/>
        <v>1500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70</v>
      </c>
      <c r="B214" s="181">
        <f>'Données projet'!D197</f>
        <v>21</v>
      </c>
      <c r="C214" s="193">
        <v>70</v>
      </c>
      <c r="D214" s="179">
        <f t="shared" si="12"/>
        <v>1470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80</v>
      </c>
      <c r="B215" s="181">
        <f>'Données projet'!D198</f>
        <v>284</v>
      </c>
      <c r="C215" s="193">
        <v>120</v>
      </c>
      <c r="D215" s="179">
        <f t="shared" si="12"/>
        <v>34080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30</v>
      </c>
      <c r="B231" s="174" t="str">
        <f>IF('Données projet'!$B$16="","",'Données projet'!$B$16)</f>
        <v>Pin laricio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54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193</v>
      </c>
      <c r="C234" s="198" t="s">
        <v>193</v>
      </c>
      <c r="D234" s="197" t="s">
        <v>193</v>
      </c>
      <c r="E234" s="193">
        <v>1956.5813756297073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15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22</v>
      </c>
      <c r="B241" s="181">
        <f>'Données projet'!D219</f>
        <v>52.746153846153838</v>
      </c>
      <c r="C241" s="193">
        <v>10</v>
      </c>
      <c r="D241" s="179">
        <f t="shared" ref="D241:D259" si="13">B241*C241</f>
        <v>527.46153846153834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27</v>
      </c>
      <c r="B242" s="181">
        <f>'Données projet'!D220</f>
        <v>34.646153846153844</v>
      </c>
      <c r="C242" s="193">
        <v>15</v>
      </c>
      <c r="D242" s="179">
        <f t="shared" si="13"/>
        <v>519.69230769230762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33</v>
      </c>
      <c r="B243" s="181">
        <f>'Données projet'!D221</f>
        <v>43.007692307692302</v>
      </c>
      <c r="C243" s="193">
        <v>25</v>
      </c>
      <c r="D243" s="179">
        <f t="shared" si="13"/>
        <v>1075.1923076923076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41</v>
      </c>
      <c r="B244" s="181">
        <f>'Données projet'!D222</f>
        <v>58.484615384615381</v>
      </c>
      <c r="C244" s="193">
        <v>35</v>
      </c>
      <c r="D244" s="179">
        <f t="shared" si="13"/>
        <v>2046.9615384615383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50</v>
      </c>
      <c r="B245" s="181">
        <f>'Données projet'!D223</f>
        <v>55.292307692307688</v>
      </c>
      <c r="C245" s="193">
        <v>40</v>
      </c>
      <c r="D245" s="179">
        <f t="shared" si="13"/>
        <v>2211.6923076923076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60</v>
      </c>
      <c r="B246" s="181">
        <f>'Données projet'!D224</f>
        <v>54.261538461538464</v>
      </c>
      <c r="C246" s="193">
        <v>50</v>
      </c>
      <c r="D246" s="179">
        <f t="shared" si="13"/>
        <v>2713.0769230769233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70</v>
      </c>
      <c r="B247" s="181">
        <f>'Données projet'!D225</f>
        <v>52.669230769230765</v>
      </c>
      <c r="C247" s="193">
        <v>60</v>
      </c>
      <c r="D247" s="179">
        <f t="shared" si="13"/>
        <v>3160.1538461538457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80</v>
      </c>
      <c r="B248" s="181">
        <f>'Données projet'!D226</f>
        <v>402.90769230769229</v>
      </c>
      <c r="C248" s="193">
        <v>130</v>
      </c>
      <c r="D248" s="179">
        <f t="shared" si="13"/>
        <v>52378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32</v>
      </c>
      <c r="B262" s="174" t="str">
        <f>IF('Données projet'!$B$17="","",'Données projet'!$B$17)</f>
        <v>Cormier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54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193</v>
      </c>
      <c r="C265" s="198" t="s">
        <v>193</v>
      </c>
      <c r="D265" s="197" t="s">
        <v>193</v>
      </c>
      <c r="E265" s="193">
        <v>4430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20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30</v>
      </c>
      <c r="B272" s="181">
        <f>'Données projet'!D245</f>
        <v>9</v>
      </c>
      <c r="C272" s="193">
        <v>20</v>
      </c>
      <c r="D272" s="179">
        <f t="shared" ref="D272:D290" si="14">B272*C272</f>
        <v>180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40</v>
      </c>
      <c r="B273" s="181">
        <f>'Données projet'!D246</f>
        <v>17</v>
      </c>
      <c r="C273" s="193">
        <v>30</v>
      </c>
      <c r="D273" s="179">
        <f t="shared" si="14"/>
        <v>510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50</v>
      </c>
      <c r="B274" s="181">
        <f>'Données projet'!D247</f>
        <v>18</v>
      </c>
      <c r="C274" s="193">
        <v>40</v>
      </c>
      <c r="D274" s="179">
        <f t="shared" si="14"/>
        <v>720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60</v>
      </c>
      <c r="B275" s="181">
        <f>'Données projet'!D248</f>
        <v>20</v>
      </c>
      <c r="C275" s="193">
        <v>50</v>
      </c>
      <c r="D275" s="179">
        <f t="shared" si="14"/>
        <v>1000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70</v>
      </c>
      <c r="B276" s="181">
        <f>'Données projet'!D249</f>
        <v>20</v>
      </c>
      <c r="C276" s="193">
        <v>60</v>
      </c>
      <c r="D276" s="179">
        <f t="shared" si="14"/>
        <v>1200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80</v>
      </c>
      <c r="B277" s="181">
        <f>'Données projet'!D250</f>
        <v>19</v>
      </c>
      <c r="C277" s="193">
        <v>70</v>
      </c>
      <c r="D277" s="179">
        <f t="shared" si="14"/>
        <v>1330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90</v>
      </c>
      <c r="B278" s="181">
        <f>'Données projet'!D251</f>
        <v>18</v>
      </c>
      <c r="C278" s="193">
        <v>70</v>
      </c>
      <c r="D278" s="179">
        <f t="shared" si="14"/>
        <v>1260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100</v>
      </c>
      <c r="B279" s="181">
        <f>'Données projet'!D252</f>
        <v>18</v>
      </c>
      <c r="C279" s="193">
        <v>70</v>
      </c>
      <c r="D279" s="179">
        <f t="shared" si="14"/>
        <v>1260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110</v>
      </c>
      <c r="B280" s="181">
        <f>'Données projet'!D253</f>
        <v>19</v>
      </c>
      <c r="C280" s="193">
        <v>70</v>
      </c>
      <c r="D280" s="179">
        <f t="shared" si="14"/>
        <v>1330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120</v>
      </c>
      <c r="B281" s="181">
        <f>'Données projet'!D254</f>
        <v>20</v>
      </c>
      <c r="C281" s="193">
        <v>150</v>
      </c>
      <c r="D281" s="179">
        <f t="shared" si="14"/>
        <v>3000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34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54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9" ma:contentTypeDescription="Create a new document." ma:contentTypeScope="" ma:versionID="32c77494547fa4ebb9dba89c2b2b8bd3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c7ebb5e439b25fddb41802d2bacbf3e5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5929c3-d7c5-4e51-b5f8-f25933e16e57" xsi:nil="true"/>
    <lcf76f155ced4ddcb4097134ff3c332f xmlns="7f778677-e8d3-4866-966d-dd352b4d4b9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ECEFA4-EC7C-424B-8178-22B0579D24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E111BA-5826-487C-A0C8-1C9A366986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A15ECE-87F7-4871-BDD9-BD54150DB1AE}">
  <ds:schemaRefs>
    <ds:schemaRef ds:uri="http://schemas.microsoft.com/office/2006/metadata/properties"/>
    <ds:schemaRef ds:uri="http://schemas.microsoft.com/office/infopath/2007/PartnerControls"/>
    <ds:schemaRef ds:uri="655929c3-d7c5-4e51-b5f8-f25933e16e57"/>
    <ds:schemaRef ds:uri="7f778677-e8d3-4866-966d-dd352b4d4b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Thomas ROBINET</cp:lastModifiedBy>
  <cp:revision/>
  <dcterms:created xsi:type="dcterms:W3CDTF">2021-02-01T08:22:39Z</dcterms:created>
  <dcterms:modified xsi:type="dcterms:W3CDTF">2025-07-22T15:01:04Z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0x0101004E006D02EFB7524E92A31806A20933C4</vt:lpwstr>
  </property>
  <property fmtid="{D5CDD505-2E9C-101B-9397-08002B2CF9AE}" pid="3" name="MediaServiceImageTags">
    <vt:lpwstr/>
  </property>
</Properties>
</file>